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defaultThemeVersion="124226"/>
  <mc:AlternateContent xmlns:mc="http://schemas.openxmlformats.org/markup-compatibility/2006">
    <mc:Choice Requires="x15">
      <x15ac:absPath xmlns:x15ac="http://schemas.microsoft.com/office/spreadsheetml/2010/11/ac" url="H:\Literatuur hfdst 1\"/>
    </mc:Choice>
  </mc:AlternateContent>
  <xr:revisionPtr revIDLastSave="0" documentId="13_ncr:1_{ACE68130-5BC0-481A-8EFE-A9A8A8085212}" xr6:coauthVersionLast="41" xr6:coauthVersionMax="41" xr10:uidLastSave="{00000000-0000-0000-0000-000000000000}"/>
  <workbookProtection workbookAlgorithmName="SHA-512" workbookHashValue="BPqa6KHpydd4QizN9ay0bNNuTEb1HV3Hq2hhM7zMIAaP7FX7LP1+yY02/3IqNSYGfRS/1BEyD2IHkgZCru5V3Q==" workbookSaltValue="nvAGdGOjH3ypf/iISuzE0A==" workbookSpinCount="100000" lockStructure="1"/>
  <bookViews>
    <workbookView xWindow="-108" yWindow="-108" windowWidth="23256" windowHeight="12576" activeTab="3" xr2:uid="{00000000-000D-0000-FFFF-FFFF00000000}"/>
  </bookViews>
  <sheets>
    <sheet name="Macrogegevens" sheetId="4" r:id="rId1"/>
    <sheet name="Balansprognose" sheetId="6" r:id="rId2"/>
    <sheet name="Investeringen &amp; financiering" sheetId="3" r:id="rId3"/>
    <sheet name="Inkomsten &amp; uitgaven" sheetId="1" r:id="rId4"/>
    <sheet name="Balans &amp; kengetallen 2017" sheetId="24" state="hidden" r:id="rId5"/>
    <sheet name="Data macrogegevens" sheetId="23" state="hidden" r:id="rId6"/>
    <sheet name="Data investeringen" sheetId="7" state="hidden" r:id="rId7"/>
    <sheet name="Inkomsten" sheetId="22" state="hidden" r:id="rId8"/>
    <sheet name="Uitgaven" sheetId="25" state="hidden" r:id="rId9"/>
    <sheet name=" Data belastingen 2019" sheetId="21" state="hidden" r:id="rId10"/>
  </sheets>
  <externalReferences>
    <externalReference r:id="rId11"/>
  </externalReferences>
  <definedNames>
    <definedName name="_xlnm._FilterDatabase" localSheetId="0" hidden="1">Macrogegevens!$A$1:$C$19</definedName>
    <definedName name="gemc">[1]uitk_jr_18!$A$17:$A$18</definedName>
    <definedName name="over_uit">[1]overig!$A$3:$DP$384</definedName>
    <definedName name="solver_adj" localSheetId="0" hidden="1">Macrogegevens!$G$17</definedName>
    <definedName name="solver_cvg" localSheetId="0" hidden="1">0.0001</definedName>
    <definedName name="solver_drv" localSheetId="0" hidden="1">1</definedName>
    <definedName name="solver_eng" localSheetId="0" hidden="1">2</definedName>
    <definedName name="solver_est" localSheetId="0" hidden="1">1</definedName>
    <definedName name="solver_itr" localSheetId="0" hidden="1">2147483647</definedName>
    <definedName name="solver_lhs1" localSheetId="0" hidden="1">Macrogegevens!$K$11</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2</definedName>
    <definedName name="solver_nod" localSheetId="0" hidden="1">2147483647</definedName>
    <definedName name="solver_num" localSheetId="0" hidden="1">1</definedName>
    <definedName name="solver_nwt" localSheetId="0" hidden="1">1</definedName>
    <definedName name="solver_opt" localSheetId="0" hidden="1">Macrogegevens!$K$11</definedName>
    <definedName name="solver_pre" localSheetId="0" hidden="1">0.000001</definedName>
    <definedName name="solver_rbv" localSheetId="0" hidden="1">1</definedName>
    <definedName name="solver_rel1" localSheetId="0" hidden="1">1</definedName>
    <definedName name="solver_rhs1" localSheetId="0" hidden="1">Macrogegevens!$K$10</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2</definedName>
    <definedName name="solver_val" localSheetId="0" hidden="1">0</definedName>
    <definedName name="solver_ver" localSheetId="0" hidden="1">3</definedName>
  </definedNames>
  <calcPr calcId="181029"/>
  <customWorkbookViews>
    <customWorkbookView name="Jan van der Lei  - Persoonlijke weergave" guid="{B41B624D-DA5C-4FA3-85F1-D5B8087B6A65}" mergeInterval="0" personalView="1" maximized="1" xWindow="1" yWindow="1" windowWidth="1676" windowHeight="832" activeSheetId="1"/>
  </customWorkbookViews>
</workbook>
</file>

<file path=xl/calcChain.xml><?xml version="1.0" encoding="utf-8"?>
<calcChain xmlns="http://schemas.openxmlformats.org/spreadsheetml/2006/main">
  <c r="M40" i="4" l="1"/>
  <c r="M39" i="4"/>
  <c r="G14" i="4"/>
  <c r="G13" i="4"/>
  <c r="G12" i="4"/>
  <c r="G10" i="4"/>
  <c r="G9" i="4"/>
  <c r="G8" i="4"/>
  <c r="G7" i="4"/>
  <c r="G6" i="4"/>
  <c r="G5" i="4"/>
  <c r="G4" i="4"/>
  <c r="G3" i="4"/>
  <c r="J125" i="25" l="1"/>
  <c r="I125" i="25"/>
  <c r="S327" i="25"/>
  <c r="S325" i="25"/>
  <c r="S308" i="25"/>
  <c r="S212" i="25"/>
  <c r="S208" i="25"/>
  <c r="S197" i="25"/>
  <c r="S144" i="25"/>
  <c r="S138" i="25"/>
  <c r="S118" i="25"/>
  <c r="S113" i="25"/>
  <c r="S28" i="25"/>
  <c r="S13" i="25"/>
  <c r="R356" i="25"/>
  <c r="R355" i="25"/>
  <c r="R354" i="25"/>
  <c r="R353" i="25"/>
  <c r="R352" i="25"/>
  <c r="R351" i="25"/>
  <c r="R350" i="25"/>
  <c r="R349" i="25"/>
  <c r="R348" i="25"/>
  <c r="R347" i="25"/>
  <c r="R346" i="25"/>
  <c r="R345" i="25"/>
  <c r="R344" i="25"/>
  <c r="R343" i="25"/>
  <c r="R342" i="25"/>
  <c r="R341" i="25"/>
  <c r="R340" i="25"/>
  <c r="R339" i="25"/>
  <c r="R338" i="25"/>
  <c r="R337" i="25"/>
  <c r="R336" i="25"/>
  <c r="R335" i="25"/>
  <c r="R334" i="25"/>
  <c r="R333" i="25"/>
  <c r="R332" i="25"/>
  <c r="R331" i="25"/>
  <c r="R330" i="25"/>
  <c r="R329" i="25"/>
  <c r="R328" i="25"/>
  <c r="R327" i="25"/>
  <c r="R326" i="25"/>
  <c r="R325" i="25"/>
  <c r="R324" i="25"/>
  <c r="R323" i="25"/>
  <c r="R322" i="25"/>
  <c r="R321" i="25"/>
  <c r="R320" i="25"/>
  <c r="R319" i="25"/>
  <c r="R318" i="25"/>
  <c r="R317" i="25"/>
  <c r="R316" i="25"/>
  <c r="R315" i="25"/>
  <c r="R314" i="25"/>
  <c r="R313" i="25"/>
  <c r="R312" i="25"/>
  <c r="R311" i="25"/>
  <c r="R310" i="25"/>
  <c r="R309" i="25"/>
  <c r="R308" i="25"/>
  <c r="R307" i="25"/>
  <c r="R306" i="25"/>
  <c r="R305" i="25"/>
  <c r="R304" i="25"/>
  <c r="R303" i="25"/>
  <c r="R302" i="25"/>
  <c r="R301" i="25"/>
  <c r="R300" i="25"/>
  <c r="R299" i="25"/>
  <c r="R298" i="25"/>
  <c r="R297" i="25"/>
  <c r="R296" i="25"/>
  <c r="R295" i="25"/>
  <c r="R294" i="25"/>
  <c r="R293" i="25"/>
  <c r="R292" i="25"/>
  <c r="R291" i="25"/>
  <c r="R290" i="25"/>
  <c r="R289" i="25"/>
  <c r="R288" i="25"/>
  <c r="R287" i="25"/>
  <c r="R286" i="25"/>
  <c r="R285" i="25"/>
  <c r="R284" i="25"/>
  <c r="R283" i="25"/>
  <c r="R282" i="25"/>
  <c r="R281" i="25"/>
  <c r="R280" i="25"/>
  <c r="R279" i="25"/>
  <c r="R278" i="25"/>
  <c r="R277" i="25"/>
  <c r="R276" i="25"/>
  <c r="R275" i="25"/>
  <c r="R274" i="25"/>
  <c r="R273" i="25"/>
  <c r="R272" i="25"/>
  <c r="R271" i="25"/>
  <c r="R270" i="25"/>
  <c r="R269" i="25"/>
  <c r="R268" i="25"/>
  <c r="R267" i="25"/>
  <c r="R266" i="25"/>
  <c r="R265" i="25"/>
  <c r="R264" i="25"/>
  <c r="R263" i="25"/>
  <c r="R262" i="25"/>
  <c r="R261" i="25"/>
  <c r="R260" i="25"/>
  <c r="R259" i="25"/>
  <c r="R258" i="25"/>
  <c r="R257" i="25"/>
  <c r="R256" i="25"/>
  <c r="R255" i="25"/>
  <c r="R254" i="25"/>
  <c r="R253" i="25"/>
  <c r="R252" i="25"/>
  <c r="R251" i="25"/>
  <c r="R250" i="25"/>
  <c r="R249" i="25"/>
  <c r="R248" i="25"/>
  <c r="R247" i="25"/>
  <c r="R246" i="25"/>
  <c r="R245" i="25"/>
  <c r="R244" i="25"/>
  <c r="R243" i="25"/>
  <c r="R242" i="25"/>
  <c r="R241" i="25"/>
  <c r="R240" i="25"/>
  <c r="R239" i="25"/>
  <c r="R238" i="25"/>
  <c r="R237" i="25"/>
  <c r="R236" i="25"/>
  <c r="R235" i="25"/>
  <c r="R234" i="25"/>
  <c r="R233" i="25"/>
  <c r="R232" i="25"/>
  <c r="R231" i="25"/>
  <c r="R230" i="25"/>
  <c r="R229" i="25"/>
  <c r="R228" i="25"/>
  <c r="R227" i="25"/>
  <c r="R226" i="25"/>
  <c r="R225" i="25"/>
  <c r="R224" i="25"/>
  <c r="R223" i="25"/>
  <c r="R222" i="25"/>
  <c r="R221" i="25"/>
  <c r="R220" i="25"/>
  <c r="R219" i="25"/>
  <c r="R218" i="25"/>
  <c r="R217" i="25"/>
  <c r="R216" i="25"/>
  <c r="R215" i="25"/>
  <c r="R214" i="25"/>
  <c r="R213" i="25"/>
  <c r="R212" i="25"/>
  <c r="R211" i="25"/>
  <c r="R210" i="25"/>
  <c r="R209" i="25"/>
  <c r="R208" i="25"/>
  <c r="R207" i="25"/>
  <c r="R206" i="25"/>
  <c r="R205" i="25"/>
  <c r="R204" i="25"/>
  <c r="R203" i="25"/>
  <c r="R202" i="25"/>
  <c r="R201" i="25"/>
  <c r="R200" i="25"/>
  <c r="R199" i="25"/>
  <c r="R198" i="25"/>
  <c r="R197" i="25"/>
  <c r="R196" i="25"/>
  <c r="R195" i="25"/>
  <c r="R194" i="25"/>
  <c r="R193" i="25"/>
  <c r="R192" i="25"/>
  <c r="R191" i="25"/>
  <c r="R190" i="25"/>
  <c r="R189" i="25"/>
  <c r="R188" i="25"/>
  <c r="R187" i="25"/>
  <c r="R186" i="25"/>
  <c r="R185" i="25"/>
  <c r="R184" i="25"/>
  <c r="R183" i="25"/>
  <c r="R182" i="25"/>
  <c r="R181" i="25"/>
  <c r="R180" i="25"/>
  <c r="R179" i="25"/>
  <c r="R178" i="25"/>
  <c r="R177" i="25"/>
  <c r="R176" i="25"/>
  <c r="R175" i="25"/>
  <c r="R174" i="25"/>
  <c r="R173" i="25"/>
  <c r="R172" i="25"/>
  <c r="R171" i="25"/>
  <c r="R170" i="25"/>
  <c r="R169" i="25"/>
  <c r="R168" i="25"/>
  <c r="R167" i="25"/>
  <c r="R166" i="25"/>
  <c r="R165" i="25"/>
  <c r="R164" i="25"/>
  <c r="R163" i="25"/>
  <c r="R162" i="25"/>
  <c r="R161" i="25"/>
  <c r="R160" i="25"/>
  <c r="R159" i="25"/>
  <c r="R158" i="25"/>
  <c r="R157" i="25"/>
  <c r="R156" i="25"/>
  <c r="R155" i="25"/>
  <c r="R154" i="25"/>
  <c r="R153" i="25"/>
  <c r="R152" i="25"/>
  <c r="R151" i="25"/>
  <c r="R150" i="25"/>
  <c r="R149" i="25"/>
  <c r="R148" i="25"/>
  <c r="R147" i="25"/>
  <c r="R146" i="25"/>
  <c r="R145" i="25"/>
  <c r="R144" i="25"/>
  <c r="R143" i="25"/>
  <c r="R142" i="25"/>
  <c r="R141" i="25"/>
  <c r="R140" i="25"/>
  <c r="R139" i="25"/>
  <c r="R138" i="25"/>
  <c r="R137" i="25"/>
  <c r="R136" i="25"/>
  <c r="R135" i="25"/>
  <c r="R134" i="25"/>
  <c r="R133" i="25"/>
  <c r="R132" i="25"/>
  <c r="R131" i="25"/>
  <c r="R130" i="25"/>
  <c r="R129" i="25"/>
  <c r="R128" i="25"/>
  <c r="R127" i="25"/>
  <c r="R126" i="25"/>
  <c r="R124" i="25"/>
  <c r="R123" i="25"/>
  <c r="R122" i="25"/>
  <c r="R121" i="25"/>
  <c r="R120" i="25"/>
  <c r="R119" i="25"/>
  <c r="R118" i="25"/>
  <c r="R117" i="25"/>
  <c r="R116" i="25"/>
  <c r="R115" i="25"/>
  <c r="R114" i="25"/>
  <c r="R113" i="25"/>
  <c r="R112" i="25"/>
  <c r="R111" i="25"/>
  <c r="R110" i="25"/>
  <c r="R109" i="25"/>
  <c r="R108" i="25"/>
  <c r="R107" i="25"/>
  <c r="R106" i="25"/>
  <c r="R105" i="25"/>
  <c r="R104" i="25"/>
  <c r="R103" i="25"/>
  <c r="R102" i="25"/>
  <c r="R101" i="25"/>
  <c r="R100" i="25"/>
  <c r="R99" i="25"/>
  <c r="R98" i="25"/>
  <c r="R97" i="25"/>
  <c r="R96" i="25"/>
  <c r="R95" i="25"/>
  <c r="R94" i="25"/>
  <c r="R93" i="25"/>
  <c r="R92" i="25"/>
  <c r="R91" i="25"/>
  <c r="R90" i="25"/>
  <c r="R89" i="25"/>
  <c r="R88" i="25"/>
  <c r="R87" i="25"/>
  <c r="R86" i="25"/>
  <c r="R85" i="25"/>
  <c r="R84" i="25"/>
  <c r="R83" i="25"/>
  <c r="R82" i="25"/>
  <c r="R81" i="25"/>
  <c r="R80" i="25"/>
  <c r="R79" i="25"/>
  <c r="R78" i="25"/>
  <c r="R77" i="25"/>
  <c r="R76" i="25"/>
  <c r="R75" i="25"/>
  <c r="R74" i="25"/>
  <c r="R73" i="25"/>
  <c r="R72" i="25"/>
  <c r="R71" i="25"/>
  <c r="R70" i="25"/>
  <c r="R69" i="25"/>
  <c r="R68" i="25"/>
  <c r="R67" i="25"/>
  <c r="R66" i="25"/>
  <c r="R65" i="25"/>
  <c r="R64" i="25"/>
  <c r="R63" i="25"/>
  <c r="R62" i="25"/>
  <c r="R61" i="25"/>
  <c r="R60" i="25"/>
  <c r="R59" i="25"/>
  <c r="R58" i="25"/>
  <c r="R57" i="25"/>
  <c r="R56" i="25"/>
  <c r="R55" i="25"/>
  <c r="R54" i="25"/>
  <c r="R53" i="25"/>
  <c r="R52" i="25"/>
  <c r="R51" i="25"/>
  <c r="R50" i="25"/>
  <c r="R49" i="25"/>
  <c r="R48" i="25"/>
  <c r="R47" i="25"/>
  <c r="R46" i="25"/>
  <c r="R45" i="25"/>
  <c r="R44" i="25"/>
  <c r="R43" i="25"/>
  <c r="R42" i="25"/>
  <c r="R41" i="25"/>
  <c r="R40" i="25"/>
  <c r="R39" i="25"/>
  <c r="R38" i="25"/>
  <c r="R37" i="25"/>
  <c r="R36" i="25"/>
  <c r="R35" i="25"/>
  <c r="R34" i="25"/>
  <c r="R33" i="25"/>
  <c r="R32" i="25"/>
  <c r="R31" i="25"/>
  <c r="R30" i="25"/>
  <c r="R29" i="25"/>
  <c r="R28" i="25"/>
  <c r="R27" i="25"/>
  <c r="R26" i="25"/>
  <c r="R25" i="25"/>
  <c r="R24" i="25"/>
  <c r="R23" i="25"/>
  <c r="R22" i="25"/>
  <c r="G34" i="1" s="1"/>
  <c r="R21" i="25"/>
  <c r="R20" i="25"/>
  <c r="R19" i="25"/>
  <c r="R18" i="25"/>
  <c r="R17" i="25"/>
  <c r="R16" i="25"/>
  <c r="R15" i="25"/>
  <c r="R14" i="25"/>
  <c r="R13" i="25"/>
  <c r="R12" i="25"/>
  <c r="R11" i="25"/>
  <c r="R10" i="25"/>
  <c r="R9" i="25"/>
  <c r="R8" i="25"/>
  <c r="R7" i="25"/>
  <c r="R6" i="25"/>
  <c r="R5" i="25"/>
  <c r="R4" i="25"/>
  <c r="R357" i="25" s="1"/>
  <c r="R3" i="25"/>
  <c r="R2" i="25"/>
  <c r="P356" i="25"/>
  <c r="P355" i="25"/>
  <c r="P354" i="25"/>
  <c r="P353" i="25"/>
  <c r="P352" i="25"/>
  <c r="P351" i="25"/>
  <c r="P350" i="25"/>
  <c r="P349" i="25"/>
  <c r="P348" i="25"/>
  <c r="P347" i="25"/>
  <c r="P346" i="25"/>
  <c r="P345" i="25"/>
  <c r="P344" i="25"/>
  <c r="P343" i="25"/>
  <c r="P342" i="25"/>
  <c r="P341" i="25"/>
  <c r="P340" i="25"/>
  <c r="P339" i="25"/>
  <c r="P338" i="25"/>
  <c r="P337" i="25"/>
  <c r="P336" i="25"/>
  <c r="P335" i="25"/>
  <c r="P334" i="25"/>
  <c r="P333" i="25"/>
  <c r="P332" i="25"/>
  <c r="P331" i="25"/>
  <c r="P330" i="25"/>
  <c r="P329" i="25"/>
  <c r="P328" i="25"/>
  <c r="P327" i="25"/>
  <c r="P326" i="25"/>
  <c r="P325" i="25"/>
  <c r="P324" i="25"/>
  <c r="P323" i="25"/>
  <c r="P322" i="25"/>
  <c r="P321" i="25"/>
  <c r="P320" i="25"/>
  <c r="P319" i="25"/>
  <c r="P318" i="25"/>
  <c r="P317" i="25"/>
  <c r="P316" i="25"/>
  <c r="P315" i="25"/>
  <c r="P314" i="25"/>
  <c r="P313" i="25"/>
  <c r="P312" i="25"/>
  <c r="P311" i="25"/>
  <c r="P310" i="25"/>
  <c r="P309" i="25"/>
  <c r="P308" i="25"/>
  <c r="P307" i="25"/>
  <c r="P306" i="25"/>
  <c r="P305" i="25"/>
  <c r="P304" i="25"/>
  <c r="P303" i="25"/>
  <c r="P302" i="25"/>
  <c r="P301" i="25"/>
  <c r="P300" i="25"/>
  <c r="P299" i="25"/>
  <c r="P298" i="25"/>
  <c r="P297" i="25"/>
  <c r="P296" i="25"/>
  <c r="P295" i="25"/>
  <c r="P294" i="25"/>
  <c r="P293" i="25"/>
  <c r="P292" i="25"/>
  <c r="P291" i="25"/>
  <c r="P290" i="25"/>
  <c r="P289" i="25"/>
  <c r="P288" i="25"/>
  <c r="P287" i="25"/>
  <c r="P286" i="25"/>
  <c r="P285" i="25"/>
  <c r="P284" i="25"/>
  <c r="P283" i="25"/>
  <c r="P282" i="25"/>
  <c r="P281" i="25"/>
  <c r="P280" i="25"/>
  <c r="P279" i="25"/>
  <c r="P278" i="25"/>
  <c r="P277" i="25"/>
  <c r="P276" i="25"/>
  <c r="P275" i="25"/>
  <c r="P274" i="25"/>
  <c r="P273" i="25"/>
  <c r="P272" i="25"/>
  <c r="P271" i="25"/>
  <c r="P270" i="25"/>
  <c r="P269" i="25"/>
  <c r="P268" i="25"/>
  <c r="P267" i="25"/>
  <c r="P266" i="25"/>
  <c r="P265" i="25"/>
  <c r="P264" i="25"/>
  <c r="P263" i="25"/>
  <c r="P262" i="25"/>
  <c r="P261" i="25"/>
  <c r="P260" i="25"/>
  <c r="P259" i="25"/>
  <c r="P258" i="25"/>
  <c r="P257" i="25"/>
  <c r="P256" i="25"/>
  <c r="P255" i="25"/>
  <c r="P254" i="25"/>
  <c r="P253" i="25"/>
  <c r="P252" i="25"/>
  <c r="P251" i="25"/>
  <c r="P250" i="25"/>
  <c r="P249" i="25"/>
  <c r="P248" i="25"/>
  <c r="P247" i="25"/>
  <c r="P246" i="25"/>
  <c r="P245" i="25"/>
  <c r="P244" i="25"/>
  <c r="P243" i="25"/>
  <c r="P242" i="25"/>
  <c r="P241" i="25"/>
  <c r="P240" i="25"/>
  <c r="P239" i="25"/>
  <c r="P238" i="25"/>
  <c r="P237" i="25"/>
  <c r="P236" i="25"/>
  <c r="P235" i="25"/>
  <c r="P234" i="25"/>
  <c r="P233" i="25"/>
  <c r="P232" i="25"/>
  <c r="P231" i="25"/>
  <c r="P230" i="25"/>
  <c r="P229" i="25"/>
  <c r="P228" i="25"/>
  <c r="P227" i="25"/>
  <c r="P226" i="25"/>
  <c r="P225" i="25"/>
  <c r="P224" i="25"/>
  <c r="P223" i="25"/>
  <c r="P222" i="25"/>
  <c r="P221" i="25"/>
  <c r="P220" i="25"/>
  <c r="P219" i="25"/>
  <c r="P218" i="25"/>
  <c r="P217" i="25"/>
  <c r="P216" i="25"/>
  <c r="P215" i="25"/>
  <c r="P214" i="25"/>
  <c r="P213" i="25"/>
  <c r="P212" i="25"/>
  <c r="P211" i="25"/>
  <c r="P210" i="25"/>
  <c r="P209" i="25"/>
  <c r="P208" i="25"/>
  <c r="P207" i="25"/>
  <c r="P206" i="25"/>
  <c r="P205" i="25"/>
  <c r="P204" i="25"/>
  <c r="P203" i="25"/>
  <c r="P202" i="25"/>
  <c r="P201" i="25"/>
  <c r="P200" i="25"/>
  <c r="P199" i="25"/>
  <c r="P198" i="25"/>
  <c r="P197" i="25"/>
  <c r="P196" i="25"/>
  <c r="P195" i="25"/>
  <c r="P194" i="25"/>
  <c r="P193" i="25"/>
  <c r="P192" i="25"/>
  <c r="P191" i="25"/>
  <c r="P190" i="25"/>
  <c r="P189" i="25"/>
  <c r="P188" i="25"/>
  <c r="P187" i="25"/>
  <c r="P186" i="25"/>
  <c r="P185" i="25"/>
  <c r="P184" i="25"/>
  <c r="P183" i="25"/>
  <c r="P182" i="25"/>
  <c r="P181" i="25"/>
  <c r="P180" i="25"/>
  <c r="P179" i="25"/>
  <c r="P178" i="25"/>
  <c r="P177" i="25"/>
  <c r="P176" i="25"/>
  <c r="P175" i="25"/>
  <c r="P174" i="25"/>
  <c r="P173" i="25"/>
  <c r="P172" i="25"/>
  <c r="P171" i="25"/>
  <c r="P170" i="25"/>
  <c r="P169" i="25"/>
  <c r="P168" i="25"/>
  <c r="P167" i="25"/>
  <c r="P166" i="25"/>
  <c r="P165" i="25"/>
  <c r="P164" i="25"/>
  <c r="P163" i="25"/>
  <c r="P162" i="25"/>
  <c r="P161" i="25"/>
  <c r="P160" i="25"/>
  <c r="P159" i="25"/>
  <c r="P158" i="25"/>
  <c r="P157" i="25"/>
  <c r="P156" i="25"/>
  <c r="P155" i="25"/>
  <c r="P154" i="25"/>
  <c r="P153" i="25"/>
  <c r="P152" i="25"/>
  <c r="P151" i="25"/>
  <c r="P150" i="25"/>
  <c r="P149" i="25"/>
  <c r="P148" i="25"/>
  <c r="P147" i="25"/>
  <c r="P146" i="25"/>
  <c r="P145" i="25"/>
  <c r="P144" i="25"/>
  <c r="P143" i="25"/>
  <c r="P142" i="25"/>
  <c r="P141" i="25"/>
  <c r="P140" i="25"/>
  <c r="P139" i="25"/>
  <c r="P138" i="25"/>
  <c r="P137" i="25"/>
  <c r="P136" i="25"/>
  <c r="P135" i="25"/>
  <c r="P13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G4" i="1" s="1"/>
  <c r="P21" i="25"/>
  <c r="P20" i="25"/>
  <c r="P19" i="25"/>
  <c r="P18" i="25"/>
  <c r="P17" i="25"/>
  <c r="P16" i="25"/>
  <c r="P15" i="25"/>
  <c r="P14" i="25"/>
  <c r="P13" i="25"/>
  <c r="P12" i="25"/>
  <c r="P11" i="25"/>
  <c r="P10" i="25"/>
  <c r="P9" i="25"/>
  <c r="P8" i="25"/>
  <c r="P7" i="25"/>
  <c r="P6" i="25"/>
  <c r="P5" i="25"/>
  <c r="P4" i="25"/>
  <c r="P3" i="25"/>
  <c r="P2" i="25"/>
  <c r="Q327" i="25"/>
  <c r="Q325" i="25"/>
  <c r="Q308" i="25"/>
  <c r="Q212" i="25"/>
  <c r="Q208" i="25"/>
  <c r="Q197" i="25"/>
  <c r="Q144" i="25"/>
  <c r="Q138" i="25"/>
  <c r="Q118" i="25"/>
  <c r="Q113" i="25"/>
  <c r="Q28" i="25"/>
  <c r="Q13" i="25"/>
  <c r="O356" i="25"/>
  <c r="O355" i="25"/>
  <c r="O354" i="25"/>
  <c r="O353" i="25"/>
  <c r="O352" i="25"/>
  <c r="O351" i="25"/>
  <c r="O350" i="25"/>
  <c r="O349" i="25"/>
  <c r="O348" i="25"/>
  <c r="O347" i="25"/>
  <c r="O346" i="25"/>
  <c r="O345" i="25"/>
  <c r="O344" i="25"/>
  <c r="O343" i="25"/>
  <c r="O342" i="25"/>
  <c r="O341" i="25"/>
  <c r="O340" i="25"/>
  <c r="O339" i="25"/>
  <c r="O338" i="25"/>
  <c r="O337" i="25"/>
  <c r="O336" i="25"/>
  <c r="O335" i="25"/>
  <c r="O334" i="25"/>
  <c r="O333" i="25"/>
  <c r="O332" i="25"/>
  <c r="O331" i="25"/>
  <c r="O330" i="25"/>
  <c r="O329" i="25"/>
  <c r="O328" i="25"/>
  <c r="O327" i="25"/>
  <c r="O326" i="25"/>
  <c r="O325" i="25"/>
  <c r="O324" i="25"/>
  <c r="O323" i="25"/>
  <c r="O322" i="25"/>
  <c r="O321" i="25"/>
  <c r="O320" i="25"/>
  <c r="O319" i="25"/>
  <c r="O318" i="25"/>
  <c r="O317" i="25"/>
  <c r="O316" i="25"/>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7" i="25"/>
  <c r="O276" i="25"/>
  <c r="O275" i="25"/>
  <c r="O274" i="25"/>
  <c r="O273" i="25"/>
  <c r="O272" i="25"/>
  <c r="O271" i="25"/>
  <c r="O270" i="25"/>
  <c r="O269" i="25"/>
  <c r="O268" i="25"/>
  <c r="O267" i="25"/>
  <c r="O266" i="25"/>
  <c r="O265" i="25"/>
  <c r="O264" i="25"/>
  <c r="O263" i="25"/>
  <c r="O262" i="25"/>
  <c r="O261" i="25"/>
  <c r="O260" i="25"/>
  <c r="O259" i="25"/>
  <c r="O258" i="25"/>
  <c r="O257" i="25"/>
  <c r="O256" i="25"/>
  <c r="O255" i="25"/>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O211" i="25"/>
  <c r="O210" i="25"/>
  <c r="O209" i="25"/>
  <c r="O208" i="25"/>
  <c r="O207" i="25"/>
  <c r="O206" i="25"/>
  <c r="O205" i="25"/>
  <c r="O204" i="25"/>
  <c r="O203" i="25"/>
  <c r="O202" i="25"/>
  <c r="O201" i="25"/>
  <c r="O200" i="25"/>
  <c r="O199" i="25"/>
  <c r="O198" i="25"/>
  <c r="O197" i="25"/>
  <c r="O196" i="25"/>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6" i="25"/>
  <c r="O155" i="25"/>
  <c r="O154" i="25"/>
  <c r="O153" i="25"/>
  <c r="O152" i="25"/>
  <c r="O151" i="25"/>
  <c r="O150" i="25"/>
  <c r="O149" i="25"/>
  <c r="O148" i="25"/>
  <c r="O147" i="25"/>
  <c r="O146" i="25"/>
  <c r="O145" i="25"/>
  <c r="O144" i="25"/>
  <c r="O143" i="25"/>
  <c r="O142" i="25"/>
  <c r="O141" i="25"/>
  <c r="O140" i="25"/>
  <c r="O139" i="25"/>
  <c r="O138" i="25"/>
  <c r="O137" i="25"/>
  <c r="O136" i="25"/>
  <c r="O135" i="25"/>
  <c r="O134" i="25"/>
  <c r="O133" i="25"/>
  <c r="O132" i="25"/>
  <c r="O131" i="25"/>
  <c r="O130" i="25"/>
  <c r="O129" i="25"/>
  <c r="O128" i="25"/>
  <c r="O127" i="25"/>
  <c r="O126" i="25"/>
  <c r="O124" i="25"/>
  <c r="O123" i="25"/>
  <c r="O122" i="25"/>
  <c r="O121" i="25"/>
  <c r="O120" i="25"/>
  <c r="O119" i="25"/>
  <c r="O118" i="25"/>
  <c r="O117" i="25"/>
  <c r="O116" i="25"/>
  <c r="O115" i="25"/>
  <c r="O114"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O89"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O61" i="25"/>
  <c r="O60" i="25"/>
  <c r="O59" i="25"/>
  <c r="O58" i="25"/>
  <c r="O57" i="25"/>
  <c r="O56" i="25"/>
  <c r="O55" i="25"/>
  <c r="O54" i="25"/>
  <c r="O53" i="25"/>
  <c r="O52" i="25"/>
  <c r="O51" i="25"/>
  <c r="O50" i="25"/>
  <c r="O49" i="25"/>
  <c r="O48" i="25"/>
  <c r="O47" i="25"/>
  <c r="O46" i="25"/>
  <c r="O45" i="25"/>
  <c r="O44" i="25"/>
  <c r="O43" i="25"/>
  <c r="O42" i="25"/>
  <c r="O41" i="25"/>
  <c r="O40" i="25"/>
  <c r="O39" i="25"/>
  <c r="O38" i="25"/>
  <c r="O37" i="25"/>
  <c r="O36" i="25"/>
  <c r="O35" i="25"/>
  <c r="O34" i="25"/>
  <c r="O33" i="25"/>
  <c r="O32" i="25"/>
  <c r="O31" i="25"/>
  <c r="O30" i="25"/>
  <c r="O29" i="25"/>
  <c r="O28" i="25"/>
  <c r="O27" i="25"/>
  <c r="O26" i="25"/>
  <c r="O25" i="25"/>
  <c r="O24" i="25"/>
  <c r="O23" i="25"/>
  <c r="O22" i="25"/>
  <c r="G33" i="1" s="1"/>
  <c r="O21" i="25"/>
  <c r="O20" i="25"/>
  <c r="O19" i="25"/>
  <c r="O18" i="25"/>
  <c r="O17" i="25"/>
  <c r="O16" i="25"/>
  <c r="O15" i="25"/>
  <c r="O14" i="25"/>
  <c r="O13" i="25"/>
  <c r="O12" i="25"/>
  <c r="O11" i="25"/>
  <c r="O10" i="25"/>
  <c r="O9" i="25"/>
  <c r="O8" i="25"/>
  <c r="O7" i="25"/>
  <c r="O6" i="25"/>
  <c r="O5" i="25"/>
  <c r="O4" i="25"/>
  <c r="O357" i="25" s="1"/>
  <c r="O3" i="25"/>
  <c r="O2" i="25"/>
  <c r="N356" i="25"/>
  <c r="N355" i="25"/>
  <c r="N354" i="25"/>
  <c r="N353" i="25"/>
  <c r="N352" i="25"/>
  <c r="N351" i="25"/>
  <c r="N350" i="25"/>
  <c r="N349" i="25"/>
  <c r="N348" i="25"/>
  <c r="N347" i="25"/>
  <c r="N346" i="25"/>
  <c r="N345" i="25"/>
  <c r="N344" i="25"/>
  <c r="N343" i="25"/>
  <c r="N342" i="25"/>
  <c r="N341" i="25"/>
  <c r="N340" i="25"/>
  <c r="N339" i="25"/>
  <c r="N338" i="25"/>
  <c r="N337" i="25"/>
  <c r="N336" i="25"/>
  <c r="N335" i="25"/>
  <c r="N334" i="25"/>
  <c r="N333" i="25"/>
  <c r="N332" i="25"/>
  <c r="N331" i="25"/>
  <c r="N330" i="25"/>
  <c r="N329" i="25"/>
  <c r="N328" i="25"/>
  <c r="N327" i="25"/>
  <c r="N326" i="25"/>
  <c r="N325" i="25"/>
  <c r="N324" i="25"/>
  <c r="N323" i="25"/>
  <c r="N322" i="25"/>
  <c r="N321" i="25"/>
  <c r="N320" i="25"/>
  <c r="N319" i="25"/>
  <c r="N318" i="25"/>
  <c r="N317" i="25"/>
  <c r="N316" i="25"/>
  <c r="N315" i="25"/>
  <c r="N314" i="25"/>
  <c r="N313" i="25"/>
  <c r="N312" i="25"/>
  <c r="N311" i="25"/>
  <c r="N310" i="25"/>
  <c r="N309" i="25"/>
  <c r="N308" i="25"/>
  <c r="N307" i="25"/>
  <c r="N306" i="25"/>
  <c r="N305" i="25"/>
  <c r="N304" i="25"/>
  <c r="N303" i="25"/>
  <c r="N302" i="25"/>
  <c r="N301" i="25"/>
  <c r="N300" i="25"/>
  <c r="N299" i="25"/>
  <c r="N298" i="25"/>
  <c r="N297" i="25"/>
  <c r="N296" i="25"/>
  <c r="N295" i="25"/>
  <c r="N294" i="25"/>
  <c r="N293" i="25"/>
  <c r="N292" i="25"/>
  <c r="N291" i="25"/>
  <c r="N290" i="25"/>
  <c r="N289" i="25"/>
  <c r="N288" i="25"/>
  <c r="N287" i="25"/>
  <c r="N286" i="25"/>
  <c r="N285" i="25"/>
  <c r="N284" i="25"/>
  <c r="N283" i="25"/>
  <c r="N282" i="25"/>
  <c r="N281" i="25"/>
  <c r="N280" i="25"/>
  <c r="N279" i="25"/>
  <c r="N278" i="25"/>
  <c r="N277" i="25"/>
  <c r="N276" i="25"/>
  <c r="N275" i="25"/>
  <c r="N274" i="25"/>
  <c r="N273" i="25"/>
  <c r="N272" i="25"/>
  <c r="N271" i="25"/>
  <c r="N270" i="25"/>
  <c r="N269" i="25"/>
  <c r="N268" i="25"/>
  <c r="N267" i="25"/>
  <c r="N266" i="25"/>
  <c r="N265" i="25"/>
  <c r="N264" i="25"/>
  <c r="N263" i="25"/>
  <c r="N262" i="25"/>
  <c r="N261" i="25"/>
  <c r="N260" i="25"/>
  <c r="N259" i="25"/>
  <c r="N258" i="25"/>
  <c r="N257" i="25"/>
  <c r="N256" i="25"/>
  <c r="N255" i="25"/>
  <c r="N254" i="25"/>
  <c r="N253" i="25"/>
  <c r="N252" i="25"/>
  <c r="N251" i="25"/>
  <c r="N250" i="25"/>
  <c r="N249" i="25"/>
  <c r="N248" i="25"/>
  <c r="N247" i="25"/>
  <c r="N246" i="25"/>
  <c r="N245" i="25"/>
  <c r="N244" i="25"/>
  <c r="N243" i="25"/>
  <c r="N242" i="25"/>
  <c r="N241" i="25"/>
  <c r="N240" i="25"/>
  <c r="N239" i="25"/>
  <c r="N238" i="25"/>
  <c r="N237" i="25"/>
  <c r="N236" i="25"/>
  <c r="N235" i="25"/>
  <c r="N234" i="25"/>
  <c r="N233" i="25"/>
  <c r="N232" i="25"/>
  <c r="N231" i="25"/>
  <c r="N230" i="25"/>
  <c r="N229" i="25"/>
  <c r="N228" i="25"/>
  <c r="N227" i="25"/>
  <c r="N226" i="25"/>
  <c r="N225" i="25"/>
  <c r="N224" i="25"/>
  <c r="N223" i="25"/>
  <c r="N222" i="25"/>
  <c r="N221" i="25"/>
  <c r="N220" i="25"/>
  <c r="N219" i="25"/>
  <c r="N218" i="25"/>
  <c r="N217" i="25"/>
  <c r="N216" i="25"/>
  <c r="N215" i="25"/>
  <c r="N214" i="25"/>
  <c r="N213" i="25"/>
  <c r="N212" i="25"/>
  <c r="N211" i="25"/>
  <c r="N210" i="25"/>
  <c r="N209" i="25"/>
  <c r="N208" i="25"/>
  <c r="N207" i="25"/>
  <c r="N206" i="25"/>
  <c r="N205" i="25"/>
  <c r="N204" i="25"/>
  <c r="N203" i="25"/>
  <c r="N202" i="25"/>
  <c r="N201" i="25"/>
  <c r="N200" i="25"/>
  <c r="N199" i="25"/>
  <c r="N198" i="25"/>
  <c r="N197" i="25"/>
  <c r="N196" i="25"/>
  <c r="N195" i="25"/>
  <c r="N194" i="25"/>
  <c r="N193" i="25"/>
  <c r="N192" i="25"/>
  <c r="N191" i="25"/>
  <c r="N190" i="25"/>
  <c r="N189" i="25"/>
  <c r="N188" i="25"/>
  <c r="N187" i="25"/>
  <c r="N186" i="25"/>
  <c r="N185" i="25"/>
  <c r="N184" i="25"/>
  <c r="N183" i="25"/>
  <c r="N182" i="25"/>
  <c r="N181" i="25"/>
  <c r="N180" i="25"/>
  <c r="N179" i="25"/>
  <c r="N178" i="25"/>
  <c r="N177" i="25"/>
  <c r="N176" i="25"/>
  <c r="N175" i="25"/>
  <c r="N174" i="25"/>
  <c r="N173" i="25"/>
  <c r="N172" i="25"/>
  <c r="N171" i="25"/>
  <c r="N170" i="25"/>
  <c r="N169" i="25"/>
  <c r="N168" i="25"/>
  <c r="N167" i="25"/>
  <c r="N166" i="25"/>
  <c r="N165" i="25"/>
  <c r="N164" i="25"/>
  <c r="N163" i="25"/>
  <c r="N162" i="25"/>
  <c r="N161" i="25"/>
  <c r="N160" i="25"/>
  <c r="N159" i="25"/>
  <c r="N158" i="25"/>
  <c r="N157" i="25"/>
  <c r="N156" i="25"/>
  <c r="N155" i="25"/>
  <c r="N154" i="25"/>
  <c r="N153" i="25"/>
  <c r="N152" i="25"/>
  <c r="N151" i="25"/>
  <c r="N150" i="25"/>
  <c r="N149" i="25"/>
  <c r="N148" i="25"/>
  <c r="N147" i="25"/>
  <c r="N146" i="25"/>
  <c r="N145" i="25"/>
  <c r="N144" i="25"/>
  <c r="N143" i="25"/>
  <c r="N142" i="25"/>
  <c r="N141" i="25"/>
  <c r="N140" i="25"/>
  <c r="N139" i="25"/>
  <c r="N138" i="25"/>
  <c r="N137" i="25"/>
  <c r="N136" i="25"/>
  <c r="N135" i="25"/>
  <c r="N134" i="25"/>
  <c r="N133" i="25"/>
  <c r="N132" i="25"/>
  <c r="N131" i="25"/>
  <c r="N130" i="25"/>
  <c r="N129" i="25"/>
  <c r="N128" i="25"/>
  <c r="N127" i="25"/>
  <c r="N126" i="25"/>
  <c r="N124" i="25"/>
  <c r="N123" i="25"/>
  <c r="N122" i="25"/>
  <c r="N121" i="25"/>
  <c r="N120" i="25"/>
  <c r="N119" i="25"/>
  <c r="N118" i="25"/>
  <c r="N117" i="25"/>
  <c r="N116" i="25"/>
  <c r="N115" i="25"/>
  <c r="N114" i="25"/>
  <c r="N113" i="25"/>
  <c r="N112" i="25"/>
  <c r="N111" i="25"/>
  <c r="N110" i="25"/>
  <c r="N109" i="25"/>
  <c r="N108" i="25"/>
  <c r="N107" i="25"/>
  <c r="N106" i="25"/>
  <c r="N105" i="25"/>
  <c r="N104" i="25"/>
  <c r="N103" i="25"/>
  <c r="N102" i="25"/>
  <c r="N101" i="25"/>
  <c r="N100" i="25"/>
  <c r="N99" i="25"/>
  <c r="N98" i="25"/>
  <c r="N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N71" i="25"/>
  <c r="N70" i="25"/>
  <c r="N69" i="25"/>
  <c r="N68" i="25"/>
  <c r="N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N35" i="25"/>
  <c r="N34" i="25"/>
  <c r="N33" i="25"/>
  <c r="N32" i="25"/>
  <c r="N31" i="25"/>
  <c r="N30" i="25"/>
  <c r="N29" i="25"/>
  <c r="N28" i="25"/>
  <c r="N27" i="25"/>
  <c r="N26" i="25"/>
  <c r="N25" i="25"/>
  <c r="N24" i="25"/>
  <c r="N23" i="25"/>
  <c r="N22" i="25"/>
  <c r="G20" i="1" s="1"/>
  <c r="N21" i="25"/>
  <c r="N20" i="25"/>
  <c r="N19" i="25"/>
  <c r="N18" i="25"/>
  <c r="N17" i="25"/>
  <c r="N16" i="25"/>
  <c r="N15" i="25"/>
  <c r="N14" i="25"/>
  <c r="N13" i="25"/>
  <c r="N12" i="25"/>
  <c r="N11" i="25"/>
  <c r="N10" i="25"/>
  <c r="N9" i="25"/>
  <c r="N8" i="25"/>
  <c r="N7" i="25"/>
  <c r="N6" i="25"/>
  <c r="N5" i="25"/>
  <c r="N4" i="25"/>
  <c r="N3" i="25"/>
  <c r="N2" i="25"/>
  <c r="N357" i="25" s="1"/>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G27" i="1" s="1"/>
  <c r="G30" i="1" s="1"/>
  <c r="M21" i="25"/>
  <c r="M20" i="25"/>
  <c r="M19" i="25"/>
  <c r="M18" i="25"/>
  <c r="M17" i="25"/>
  <c r="M16" i="25"/>
  <c r="M15" i="25"/>
  <c r="M14" i="25"/>
  <c r="M13" i="25"/>
  <c r="M12" i="25"/>
  <c r="M11" i="25"/>
  <c r="M10" i="25"/>
  <c r="M9" i="25"/>
  <c r="M8" i="25"/>
  <c r="M7" i="25"/>
  <c r="M6" i="25"/>
  <c r="M5" i="25"/>
  <c r="M4" i="25"/>
  <c r="M3" i="25"/>
  <c r="M2" i="25"/>
  <c r="M357" i="25" s="1"/>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3"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L69" i="25"/>
  <c r="L68" i="25"/>
  <c r="L67" i="25"/>
  <c r="L66" i="25"/>
  <c r="L65" i="25"/>
  <c r="L64" i="25"/>
  <c r="L63" i="25"/>
  <c r="L62" i="25"/>
  <c r="L61" i="25"/>
  <c r="L60" i="25"/>
  <c r="L59" i="25"/>
  <c r="L58" i="25"/>
  <c r="L57" i="25"/>
  <c r="L56" i="25"/>
  <c r="L55" i="25"/>
  <c r="L54" i="25"/>
  <c r="L53" i="25"/>
  <c r="L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G19" i="1" s="1"/>
  <c r="L21" i="25"/>
  <c r="L20" i="25"/>
  <c r="L19" i="25"/>
  <c r="L18" i="25"/>
  <c r="L17" i="25"/>
  <c r="L16" i="25"/>
  <c r="L15" i="25"/>
  <c r="L14" i="25"/>
  <c r="L13" i="25"/>
  <c r="L12" i="25"/>
  <c r="L11" i="25"/>
  <c r="L10" i="25"/>
  <c r="L9" i="25"/>
  <c r="L8" i="25"/>
  <c r="L7" i="25"/>
  <c r="L6" i="25"/>
  <c r="L5" i="25"/>
  <c r="L4" i="25"/>
  <c r="L3" i="25"/>
  <c r="L2" i="25"/>
  <c r="L357" i="25" s="1"/>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G18" i="1" s="1"/>
  <c r="G24" i="1" s="1"/>
  <c r="K21" i="25"/>
  <c r="K20" i="25"/>
  <c r="K19" i="25"/>
  <c r="K18" i="25"/>
  <c r="K17" i="25"/>
  <c r="K16" i="25"/>
  <c r="K15" i="25"/>
  <c r="K14" i="25"/>
  <c r="K13" i="25"/>
  <c r="K12" i="25"/>
  <c r="K11" i="25"/>
  <c r="K10" i="25"/>
  <c r="K9" i="25"/>
  <c r="K8" i="25"/>
  <c r="K7" i="25"/>
  <c r="K6" i="25"/>
  <c r="K5" i="25"/>
  <c r="K4" i="25"/>
  <c r="K3" i="25"/>
  <c r="K2" i="25"/>
  <c r="K357" i="25" s="1"/>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G3" i="1" s="1"/>
  <c r="G8" i="1" s="1"/>
  <c r="J21" i="25"/>
  <c r="J20" i="25"/>
  <c r="J19" i="25"/>
  <c r="J18" i="25"/>
  <c r="J17" i="25"/>
  <c r="J16" i="25"/>
  <c r="J15" i="25"/>
  <c r="J14" i="25"/>
  <c r="J13" i="25"/>
  <c r="J12" i="25"/>
  <c r="J11" i="25"/>
  <c r="J10" i="25"/>
  <c r="J9" i="25"/>
  <c r="J8" i="25"/>
  <c r="J7" i="25"/>
  <c r="J6" i="25"/>
  <c r="J5" i="25"/>
  <c r="J4" i="25"/>
  <c r="J3" i="25"/>
  <c r="J2" i="25"/>
  <c r="I356" i="25"/>
  <c r="I355" i="25"/>
  <c r="I354" i="25"/>
  <c r="I353" i="25"/>
  <c r="I352" i="25"/>
  <c r="I351" i="25"/>
  <c r="I350" i="25"/>
  <c r="I349" i="25"/>
  <c r="I348" i="25"/>
  <c r="I347" i="25"/>
  <c r="I346" i="25"/>
  <c r="I345" i="25"/>
  <c r="I344" i="25"/>
  <c r="I343" i="25"/>
  <c r="I342" i="25"/>
  <c r="I341" i="25"/>
  <c r="I340" i="25"/>
  <c r="I339" i="25"/>
  <c r="I338" i="25"/>
  <c r="I337" i="25"/>
  <c r="I336" i="25"/>
  <c r="I335" i="25"/>
  <c r="I334" i="25"/>
  <c r="I333" i="25"/>
  <c r="I332" i="25"/>
  <c r="I331" i="25"/>
  <c r="I330" i="25"/>
  <c r="I329" i="25"/>
  <c r="I328" i="25"/>
  <c r="I327" i="25"/>
  <c r="I326" i="25"/>
  <c r="I325" i="25"/>
  <c r="I324" i="25"/>
  <c r="I323" i="25"/>
  <c r="I322" i="25"/>
  <c r="I321" i="25"/>
  <c r="I320" i="25"/>
  <c r="I319" i="25"/>
  <c r="I318" i="25"/>
  <c r="I317" i="25"/>
  <c r="I316" i="25"/>
  <c r="I315" i="25"/>
  <c r="I314" i="25"/>
  <c r="I313" i="25"/>
  <c r="I312" i="25"/>
  <c r="I311" i="25"/>
  <c r="I310" i="25"/>
  <c r="I309" i="25"/>
  <c r="I308" i="25"/>
  <c r="I307" i="25"/>
  <c r="I306" i="25"/>
  <c r="I305" i="25"/>
  <c r="I304" i="25"/>
  <c r="I303" i="25"/>
  <c r="I302" i="25"/>
  <c r="I301" i="25"/>
  <c r="I300" i="25"/>
  <c r="I299" i="25"/>
  <c r="I298" i="25"/>
  <c r="I297" i="25"/>
  <c r="I296" i="25"/>
  <c r="I295" i="25"/>
  <c r="I294" i="25"/>
  <c r="I293" i="25"/>
  <c r="I292" i="25"/>
  <c r="I291" i="25"/>
  <c r="I290" i="25"/>
  <c r="I289" i="25"/>
  <c r="I288" i="25"/>
  <c r="I287" i="25"/>
  <c r="I286" i="25"/>
  <c r="I285" i="25"/>
  <c r="I284" i="25"/>
  <c r="I283" i="25"/>
  <c r="I282" i="25"/>
  <c r="I281" i="25"/>
  <c r="I280" i="25"/>
  <c r="I279" i="25"/>
  <c r="I278" i="25"/>
  <c r="I277" i="25"/>
  <c r="I276" i="25"/>
  <c r="I275" i="25"/>
  <c r="I274" i="25"/>
  <c r="I273" i="25"/>
  <c r="I272" i="25"/>
  <c r="I271" i="25"/>
  <c r="I270" i="25"/>
  <c r="I269" i="25"/>
  <c r="I268" i="25"/>
  <c r="I267" i="25"/>
  <c r="I266" i="25"/>
  <c r="I265" i="25"/>
  <c r="I264" i="25"/>
  <c r="I263" i="25"/>
  <c r="I262" i="25"/>
  <c r="I261" i="25"/>
  <c r="I260" i="25"/>
  <c r="I259" i="25"/>
  <c r="I258" i="25"/>
  <c r="I257" i="25"/>
  <c r="I256" i="25"/>
  <c r="I255" i="25"/>
  <c r="I254" i="25"/>
  <c r="I253" i="25"/>
  <c r="I252" i="25"/>
  <c r="I251" i="25"/>
  <c r="I250" i="25"/>
  <c r="I249" i="25"/>
  <c r="I248" i="25"/>
  <c r="I247" i="25"/>
  <c r="I246" i="25"/>
  <c r="I245" i="25"/>
  <c r="I244" i="25"/>
  <c r="I243" i="25"/>
  <c r="I242" i="25"/>
  <c r="I241" i="25"/>
  <c r="I240" i="25"/>
  <c r="I239" i="25"/>
  <c r="I238" i="25"/>
  <c r="I237" i="25"/>
  <c r="I236" i="25"/>
  <c r="I235" i="25"/>
  <c r="I234" i="25"/>
  <c r="I233" i="25"/>
  <c r="I232" i="25"/>
  <c r="I231" i="25"/>
  <c r="I230" i="25"/>
  <c r="I229" i="25"/>
  <c r="I228" i="25"/>
  <c r="I227" i="25"/>
  <c r="I226" i="25"/>
  <c r="I225" i="25"/>
  <c r="I224" i="25"/>
  <c r="I223" i="25"/>
  <c r="I222" i="25"/>
  <c r="I221" i="25"/>
  <c r="I220" i="25"/>
  <c r="I219" i="25"/>
  <c r="I218" i="25"/>
  <c r="I217" i="25"/>
  <c r="I216" i="25"/>
  <c r="I215" i="25"/>
  <c r="I214" i="25"/>
  <c r="I213" i="25"/>
  <c r="I212" i="25"/>
  <c r="I211" i="25"/>
  <c r="I210" i="25"/>
  <c r="I209" i="25"/>
  <c r="I208" i="25"/>
  <c r="I207" i="25"/>
  <c r="I206" i="25"/>
  <c r="I205" i="25"/>
  <c r="I204" i="25"/>
  <c r="I203" i="25"/>
  <c r="I202" i="25"/>
  <c r="I201" i="25"/>
  <c r="I200" i="25"/>
  <c r="I199" i="25"/>
  <c r="I198" i="25"/>
  <c r="I197" i="25"/>
  <c r="I196" i="25"/>
  <c r="I195" i="25"/>
  <c r="I194" i="25"/>
  <c r="I193" i="25"/>
  <c r="I192" i="25"/>
  <c r="I191" i="25"/>
  <c r="I190" i="25"/>
  <c r="I189" i="25"/>
  <c r="I188" i="25"/>
  <c r="I187" i="25"/>
  <c r="I186" i="25"/>
  <c r="I185" i="25"/>
  <c r="I184" i="25"/>
  <c r="I183" i="25"/>
  <c r="I182"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9" i="25"/>
  <c r="I148" i="25"/>
  <c r="I147" i="25"/>
  <c r="I146" i="25"/>
  <c r="I145" i="25"/>
  <c r="I144" i="25"/>
  <c r="I143" i="25"/>
  <c r="I142" i="25"/>
  <c r="I141" i="25"/>
  <c r="I140" i="25"/>
  <c r="I139" i="25"/>
  <c r="I138" i="25"/>
  <c r="I137" i="25"/>
  <c r="I136" i="25"/>
  <c r="I135" i="25"/>
  <c r="I134" i="25"/>
  <c r="I133" i="25"/>
  <c r="I132" i="25"/>
  <c r="I131" i="25"/>
  <c r="I130" i="25"/>
  <c r="I129" i="25"/>
  <c r="I128" i="25"/>
  <c r="I127" i="25"/>
  <c r="I126" i="25"/>
  <c r="I124" i="25"/>
  <c r="I123" i="25"/>
  <c r="I122" i="25"/>
  <c r="I121" i="25"/>
  <c r="I120" i="25"/>
  <c r="I119" i="25"/>
  <c r="I118" i="25"/>
  <c r="I117" i="25"/>
  <c r="I116" i="25"/>
  <c r="I115" i="25"/>
  <c r="I114" i="25"/>
  <c r="I113" i="25"/>
  <c r="I112" i="25"/>
  <c r="I111" i="25"/>
  <c r="I110" i="25"/>
  <c r="I109" i="25"/>
  <c r="I108" i="25"/>
  <c r="I107" i="25"/>
  <c r="I106" i="25"/>
  <c r="I105" i="25"/>
  <c r="I104" i="25"/>
  <c r="I103" i="25"/>
  <c r="I102" i="25"/>
  <c r="I101" i="25"/>
  <c r="I100" i="25"/>
  <c r="I99" i="25"/>
  <c r="I98" i="25"/>
  <c r="I97" i="25"/>
  <c r="I96" i="25"/>
  <c r="I95" i="25"/>
  <c r="I94" i="25"/>
  <c r="I93" i="25"/>
  <c r="I92" i="25"/>
  <c r="I91" i="25"/>
  <c r="I90" i="25"/>
  <c r="I89" i="25"/>
  <c r="I88" i="25"/>
  <c r="I87" i="25"/>
  <c r="I86" i="25"/>
  <c r="I85" i="25"/>
  <c r="I84" i="25"/>
  <c r="I83" i="25"/>
  <c r="I82" i="25"/>
  <c r="I81" i="25"/>
  <c r="I80" i="25"/>
  <c r="I79" i="25"/>
  <c r="I78" i="25"/>
  <c r="I77" i="25"/>
  <c r="I76" i="25"/>
  <c r="I75" i="25"/>
  <c r="I74" i="25"/>
  <c r="I73" i="25"/>
  <c r="I72" i="25"/>
  <c r="I71" i="25"/>
  <c r="I70" i="25"/>
  <c r="I69" i="25"/>
  <c r="I68" i="25"/>
  <c r="I67" i="25"/>
  <c r="I66" i="25"/>
  <c r="I65" i="25"/>
  <c r="I64" i="25"/>
  <c r="I63" i="25"/>
  <c r="I62" i="25"/>
  <c r="I61" i="25"/>
  <c r="I60" i="25"/>
  <c r="I59" i="25"/>
  <c r="I58" i="25"/>
  <c r="I57" i="25"/>
  <c r="I56" i="25"/>
  <c r="I55" i="25"/>
  <c r="I54" i="25"/>
  <c r="I53" i="25"/>
  <c r="I52" i="25"/>
  <c r="I51" i="25"/>
  <c r="I50" i="25"/>
  <c r="I49" i="25"/>
  <c r="I48" i="25"/>
  <c r="I47" i="25"/>
  <c r="I46" i="25"/>
  <c r="I45" i="25"/>
  <c r="I44" i="25"/>
  <c r="I43" i="25"/>
  <c r="I42" i="25"/>
  <c r="I41" i="25"/>
  <c r="I40" i="25"/>
  <c r="I39" i="25"/>
  <c r="I38" i="25"/>
  <c r="I37" i="25"/>
  <c r="I36" i="25"/>
  <c r="I35" i="25"/>
  <c r="I34" i="25"/>
  <c r="I33" i="25"/>
  <c r="I32" i="25"/>
  <c r="I31" i="25"/>
  <c r="I30" i="25"/>
  <c r="I29" i="25"/>
  <c r="I28" i="25"/>
  <c r="I27" i="25"/>
  <c r="I26" i="25"/>
  <c r="I25" i="25"/>
  <c r="I24" i="25"/>
  <c r="I23" i="25"/>
  <c r="I22" i="25"/>
  <c r="C36" i="6" s="1"/>
  <c r="I21" i="25"/>
  <c r="I20" i="25"/>
  <c r="I19" i="25"/>
  <c r="I18" i="25"/>
  <c r="I17" i="25"/>
  <c r="I16" i="25"/>
  <c r="I15" i="25"/>
  <c r="I14" i="25"/>
  <c r="I13" i="25"/>
  <c r="I12" i="25"/>
  <c r="I11" i="25"/>
  <c r="I10" i="25"/>
  <c r="I9" i="25"/>
  <c r="I8" i="25"/>
  <c r="I7" i="25"/>
  <c r="I6" i="25"/>
  <c r="I5" i="25"/>
  <c r="I4" i="25"/>
  <c r="I3" i="25"/>
  <c r="I2" i="25"/>
  <c r="P357" i="25" l="1"/>
  <c r="J357" i="25"/>
  <c r="I357" i="25"/>
  <c r="AI81" i="25"/>
  <c r="S81" i="25" s="1"/>
  <c r="AI356" i="25"/>
  <c r="S356" i="25" s="1"/>
  <c r="AI355" i="25"/>
  <c r="S355" i="25" s="1"/>
  <c r="AI354" i="25"/>
  <c r="S354" i="25" s="1"/>
  <c r="AI353" i="25"/>
  <c r="S353" i="25" s="1"/>
  <c r="AI352" i="25"/>
  <c r="S352" i="25" s="1"/>
  <c r="AI351" i="25"/>
  <c r="S351" i="25" s="1"/>
  <c r="AI350" i="25"/>
  <c r="S350" i="25" s="1"/>
  <c r="AI349" i="25"/>
  <c r="S349" i="25" s="1"/>
  <c r="AI348" i="25"/>
  <c r="S348" i="25" s="1"/>
  <c r="AI347" i="25"/>
  <c r="S347" i="25" s="1"/>
  <c r="AI346" i="25"/>
  <c r="S346" i="25" s="1"/>
  <c r="AI345" i="25"/>
  <c r="S345" i="25" s="1"/>
  <c r="AI344" i="25"/>
  <c r="S344" i="25" s="1"/>
  <c r="AI343" i="25"/>
  <c r="S343" i="25" s="1"/>
  <c r="AI342" i="25"/>
  <c r="S342" i="25" s="1"/>
  <c r="AI341" i="25"/>
  <c r="S341" i="25" s="1"/>
  <c r="AI340" i="25"/>
  <c r="S340" i="25" s="1"/>
  <c r="AI339" i="25"/>
  <c r="S339" i="25" s="1"/>
  <c r="AI338" i="25"/>
  <c r="S338" i="25" s="1"/>
  <c r="AI337" i="25"/>
  <c r="S337" i="25" s="1"/>
  <c r="AI336" i="25"/>
  <c r="S336" i="25" s="1"/>
  <c r="AI335" i="25"/>
  <c r="S335" i="25" s="1"/>
  <c r="AI334" i="25"/>
  <c r="S334" i="25" s="1"/>
  <c r="AI333" i="25"/>
  <c r="S333" i="25" s="1"/>
  <c r="AI332" i="25"/>
  <c r="S332" i="25" s="1"/>
  <c r="AI331" i="25"/>
  <c r="S331" i="25" s="1"/>
  <c r="AI330" i="25"/>
  <c r="S330" i="25" s="1"/>
  <c r="AI329" i="25"/>
  <c r="S329" i="25" s="1"/>
  <c r="AI328" i="25"/>
  <c r="S328" i="25" s="1"/>
  <c r="AI326" i="25"/>
  <c r="S326" i="25" s="1"/>
  <c r="AI324" i="25"/>
  <c r="S324" i="25" s="1"/>
  <c r="AI323" i="25"/>
  <c r="S323" i="25" s="1"/>
  <c r="AI322" i="25"/>
  <c r="S322" i="25" s="1"/>
  <c r="AI321" i="25"/>
  <c r="S321" i="25" s="1"/>
  <c r="AI320" i="25"/>
  <c r="S320" i="25" s="1"/>
  <c r="AI319" i="25"/>
  <c r="S319" i="25" s="1"/>
  <c r="AI318" i="25"/>
  <c r="S318" i="25" s="1"/>
  <c r="AI317" i="25"/>
  <c r="S317" i="25" s="1"/>
  <c r="AI316" i="25"/>
  <c r="S316" i="25" s="1"/>
  <c r="AI315" i="25"/>
  <c r="S315" i="25" s="1"/>
  <c r="AI314" i="25"/>
  <c r="S314" i="25" s="1"/>
  <c r="AI313" i="25"/>
  <c r="S313" i="25" s="1"/>
  <c r="AI312" i="25"/>
  <c r="S312" i="25" s="1"/>
  <c r="AI311" i="25"/>
  <c r="S311" i="25" s="1"/>
  <c r="AI310" i="25"/>
  <c r="S310" i="25" s="1"/>
  <c r="AI309" i="25"/>
  <c r="S309" i="25" s="1"/>
  <c r="AI307" i="25"/>
  <c r="S307" i="25" s="1"/>
  <c r="AI306" i="25"/>
  <c r="S306" i="25" s="1"/>
  <c r="AI305" i="25"/>
  <c r="S305" i="25" s="1"/>
  <c r="AI304" i="25"/>
  <c r="S304" i="25" s="1"/>
  <c r="AI303" i="25"/>
  <c r="S303" i="25" s="1"/>
  <c r="AI302" i="25"/>
  <c r="S302" i="25" s="1"/>
  <c r="AI301" i="25"/>
  <c r="S301" i="25" s="1"/>
  <c r="AI300" i="25"/>
  <c r="S300" i="25" s="1"/>
  <c r="AI299" i="25"/>
  <c r="S299" i="25" s="1"/>
  <c r="AI298" i="25"/>
  <c r="S298" i="25" s="1"/>
  <c r="AI297" i="25"/>
  <c r="S297" i="25" s="1"/>
  <c r="AI296" i="25"/>
  <c r="S296" i="25" s="1"/>
  <c r="AI295" i="25"/>
  <c r="S295" i="25" s="1"/>
  <c r="AI294" i="25"/>
  <c r="S294" i="25" s="1"/>
  <c r="AI293" i="25"/>
  <c r="S293" i="25" s="1"/>
  <c r="AI292" i="25"/>
  <c r="S292" i="25" s="1"/>
  <c r="AI291" i="25"/>
  <c r="S291" i="25" s="1"/>
  <c r="AI290" i="25"/>
  <c r="S290" i="25" s="1"/>
  <c r="AI289" i="25"/>
  <c r="S289" i="25" s="1"/>
  <c r="AI288" i="25"/>
  <c r="S288" i="25" s="1"/>
  <c r="AI287" i="25"/>
  <c r="S287" i="25" s="1"/>
  <c r="AI286" i="25"/>
  <c r="S286" i="25" s="1"/>
  <c r="AI285" i="25"/>
  <c r="S285" i="25" s="1"/>
  <c r="AI284" i="25"/>
  <c r="S284" i="25" s="1"/>
  <c r="AI283" i="25"/>
  <c r="S283" i="25" s="1"/>
  <c r="AI282" i="25"/>
  <c r="S282" i="25" s="1"/>
  <c r="AI281" i="25"/>
  <c r="S281" i="25" s="1"/>
  <c r="AI280" i="25"/>
  <c r="S280" i="25" s="1"/>
  <c r="AI279" i="25"/>
  <c r="S279" i="25" s="1"/>
  <c r="AI278" i="25"/>
  <c r="S278" i="25" s="1"/>
  <c r="AI277" i="25"/>
  <c r="S277" i="25" s="1"/>
  <c r="AI276" i="25"/>
  <c r="S276" i="25" s="1"/>
  <c r="AI275" i="25"/>
  <c r="S275" i="25" s="1"/>
  <c r="AI274" i="25"/>
  <c r="S274" i="25" s="1"/>
  <c r="AI273" i="25"/>
  <c r="S273" i="25" s="1"/>
  <c r="AI272" i="25"/>
  <c r="S272" i="25" s="1"/>
  <c r="AI271" i="25"/>
  <c r="S271" i="25" s="1"/>
  <c r="AI270" i="25"/>
  <c r="S270" i="25" s="1"/>
  <c r="AI269" i="25"/>
  <c r="S269" i="25" s="1"/>
  <c r="AI268" i="25"/>
  <c r="S268" i="25" s="1"/>
  <c r="AI267" i="25"/>
  <c r="S267" i="25" s="1"/>
  <c r="AI266" i="25"/>
  <c r="S266" i="25" s="1"/>
  <c r="AI265" i="25"/>
  <c r="S265" i="25" s="1"/>
  <c r="AI264" i="25"/>
  <c r="S264" i="25" s="1"/>
  <c r="AI263" i="25"/>
  <c r="S263" i="25" s="1"/>
  <c r="AI262" i="25"/>
  <c r="S262" i="25" s="1"/>
  <c r="AI260" i="25"/>
  <c r="S260" i="25" s="1"/>
  <c r="AI259" i="25"/>
  <c r="S259" i="25" s="1"/>
  <c r="AI258" i="25"/>
  <c r="S258" i="25" s="1"/>
  <c r="AI257" i="25"/>
  <c r="S257" i="25" s="1"/>
  <c r="AI256" i="25"/>
  <c r="S256" i="25" s="1"/>
  <c r="AI255" i="25"/>
  <c r="S255" i="25" s="1"/>
  <c r="AI254" i="25"/>
  <c r="S254" i="25" s="1"/>
  <c r="AI253" i="25"/>
  <c r="S253" i="25" s="1"/>
  <c r="AI252" i="25"/>
  <c r="S252" i="25" s="1"/>
  <c r="AI251" i="25"/>
  <c r="S251" i="25" s="1"/>
  <c r="AI250" i="25"/>
  <c r="S250" i="25" s="1"/>
  <c r="AI249" i="25"/>
  <c r="S249" i="25" s="1"/>
  <c r="AI248" i="25"/>
  <c r="S248" i="25" s="1"/>
  <c r="AI247" i="25"/>
  <c r="S247" i="25" s="1"/>
  <c r="AI246" i="25"/>
  <c r="S246" i="25" s="1"/>
  <c r="AI245" i="25"/>
  <c r="S245" i="25" s="1"/>
  <c r="AI244" i="25"/>
  <c r="S244" i="25" s="1"/>
  <c r="AI243" i="25"/>
  <c r="S243" i="25" s="1"/>
  <c r="AI242" i="25"/>
  <c r="S242" i="25" s="1"/>
  <c r="AI241" i="25"/>
  <c r="S241" i="25" s="1"/>
  <c r="AI240" i="25"/>
  <c r="S240" i="25" s="1"/>
  <c r="AI239" i="25"/>
  <c r="S239" i="25" s="1"/>
  <c r="AI238" i="25"/>
  <c r="S238" i="25" s="1"/>
  <c r="AI237" i="25"/>
  <c r="S237" i="25" s="1"/>
  <c r="AI236" i="25"/>
  <c r="S236" i="25" s="1"/>
  <c r="AI235" i="25"/>
  <c r="S235" i="25" s="1"/>
  <c r="AI234" i="25"/>
  <c r="S234" i="25" s="1"/>
  <c r="AI233" i="25"/>
  <c r="S233" i="25" s="1"/>
  <c r="AI232" i="25"/>
  <c r="S232" i="25" s="1"/>
  <c r="AI231" i="25"/>
  <c r="S231" i="25" s="1"/>
  <c r="AI230" i="25"/>
  <c r="S230" i="25" s="1"/>
  <c r="AI229" i="25"/>
  <c r="S229" i="25" s="1"/>
  <c r="AI228" i="25"/>
  <c r="S228" i="25" s="1"/>
  <c r="AI227" i="25"/>
  <c r="S227" i="25" s="1"/>
  <c r="AI226" i="25"/>
  <c r="S226" i="25" s="1"/>
  <c r="AI225" i="25"/>
  <c r="S225" i="25" s="1"/>
  <c r="AI224" i="25"/>
  <c r="S224" i="25" s="1"/>
  <c r="AI223" i="25"/>
  <c r="S223" i="25" s="1"/>
  <c r="AI222" i="25"/>
  <c r="S222" i="25" s="1"/>
  <c r="AI221" i="25"/>
  <c r="S221" i="25" s="1"/>
  <c r="AI220" i="25"/>
  <c r="S220" i="25" s="1"/>
  <c r="AI219" i="25"/>
  <c r="S219" i="25" s="1"/>
  <c r="AI218" i="25"/>
  <c r="S218" i="25" s="1"/>
  <c r="AI217" i="25"/>
  <c r="S217" i="25" s="1"/>
  <c r="AI216" i="25"/>
  <c r="S216" i="25" s="1"/>
  <c r="AI215" i="25"/>
  <c r="S215" i="25" s="1"/>
  <c r="AI214" i="25"/>
  <c r="S214" i="25" s="1"/>
  <c r="AI213" i="25"/>
  <c r="S213" i="25" s="1"/>
  <c r="AI211" i="25"/>
  <c r="S211" i="25" s="1"/>
  <c r="AI210" i="25"/>
  <c r="S210" i="25" s="1"/>
  <c r="AI209" i="25"/>
  <c r="S209" i="25" s="1"/>
  <c r="AI207" i="25"/>
  <c r="S207" i="25" s="1"/>
  <c r="AI206" i="25"/>
  <c r="S206" i="25" s="1"/>
  <c r="AI205" i="25"/>
  <c r="S205" i="25" s="1"/>
  <c r="AI204" i="25"/>
  <c r="S204" i="25" s="1"/>
  <c r="AI203" i="25"/>
  <c r="S203" i="25" s="1"/>
  <c r="AI202" i="25"/>
  <c r="S202" i="25" s="1"/>
  <c r="AI201" i="25"/>
  <c r="S201" i="25" s="1"/>
  <c r="AI200" i="25"/>
  <c r="S200" i="25" s="1"/>
  <c r="AI199" i="25"/>
  <c r="S199" i="25" s="1"/>
  <c r="AI198" i="25"/>
  <c r="S198" i="25" s="1"/>
  <c r="AI196" i="25"/>
  <c r="S196" i="25" s="1"/>
  <c r="AI195" i="25"/>
  <c r="S195" i="25" s="1"/>
  <c r="AI194" i="25"/>
  <c r="S194" i="25" s="1"/>
  <c r="AI193" i="25"/>
  <c r="S193" i="25" s="1"/>
  <c r="AI192" i="25"/>
  <c r="S192" i="25" s="1"/>
  <c r="AI191" i="25"/>
  <c r="S191" i="25" s="1"/>
  <c r="AI190" i="25"/>
  <c r="S190" i="25" s="1"/>
  <c r="AI189" i="25"/>
  <c r="S189" i="25" s="1"/>
  <c r="AI188" i="25"/>
  <c r="S188" i="25" s="1"/>
  <c r="AI187" i="25"/>
  <c r="S187" i="25" s="1"/>
  <c r="AI186" i="25"/>
  <c r="S186" i="25" s="1"/>
  <c r="AI185" i="25"/>
  <c r="S185" i="25" s="1"/>
  <c r="AI184" i="25"/>
  <c r="S184" i="25" s="1"/>
  <c r="AI183" i="25"/>
  <c r="S183" i="25" s="1"/>
  <c r="AI182" i="25"/>
  <c r="S182" i="25" s="1"/>
  <c r="AI181" i="25"/>
  <c r="S181" i="25" s="1"/>
  <c r="AI180" i="25"/>
  <c r="S180" i="25" s="1"/>
  <c r="AI179" i="25"/>
  <c r="S179" i="25" s="1"/>
  <c r="AI178" i="25"/>
  <c r="S178" i="25" s="1"/>
  <c r="AI177" i="25"/>
  <c r="S177" i="25" s="1"/>
  <c r="AI176" i="25"/>
  <c r="S176" i="25" s="1"/>
  <c r="AI175" i="25"/>
  <c r="S175" i="25" s="1"/>
  <c r="AI174" i="25"/>
  <c r="S174" i="25" s="1"/>
  <c r="AI173" i="25"/>
  <c r="S173" i="25" s="1"/>
  <c r="AI172" i="25"/>
  <c r="S172" i="25" s="1"/>
  <c r="AI171" i="25"/>
  <c r="S171" i="25" s="1"/>
  <c r="AI170" i="25"/>
  <c r="S170" i="25" s="1"/>
  <c r="AI169" i="25"/>
  <c r="S169" i="25" s="1"/>
  <c r="AI168" i="25"/>
  <c r="S168" i="25" s="1"/>
  <c r="AI167" i="25"/>
  <c r="S167" i="25" s="1"/>
  <c r="AI166" i="25"/>
  <c r="S166" i="25" s="1"/>
  <c r="AI165" i="25"/>
  <c r="S165" i="25" s="1"/>
  <c r="AI164" i="25"/>
  <c r="S164" i="25" s="1"/>
  <c r="AI163" i="25"/>
  <c r="S163" i="25" s="1"/>
  <c r="AI162" i="25"/>
  <c r="S162" i="25" s="1"/>
  <c r="AI161" i="25"/>
  <c r="S161" i="25" s="1"/>
  <c r="AI160" i="25"/>
  <c r="S160" i="25" s="1"/>
  <c r="AI159" i="25"/>
  <c r="S159" i="25" s="1"/>
  <c r="AI158" i="25"/>
  <c r="S158" i="25" s="1"/>
  <c r="AI157" i="25"/>
  <c r="S157" i="25" s="1"/>
  <c r="AI156" i="25"/>
  <c r="S156" i="25" s="1"/>
  <c r="AI155" i="25"/>
  <c r="S155" i="25" s="1"/>
  <c r="AI154" i="25"/>
  <c r="S154" i="25" s="1"/>
  <c r="AI153" i="25"/>
  <c r="S153" i="25" s="1"/>
  <c r="AI152" i="25"/>
  <c r="S152" i="25" s="1"/>
  <c r="AI151" i="25"/>
  <c r="S151" i="25" s="1"/>
  <c r="AI150" i="25"/>
  <c r="S150" i="25" s="1"/>
  <c r="AI149" i="25"/>
  <c r="S149" i="25" s="1"/>
  <c r="AI148" i="25"/>
  <c r="S148" i="25" s="1"/>
  <c r="AI147" i="25"/>
  <c r="S147" i="25" s="1"/>
  <c r="AI146" i="25"/>
  <c r="S146" i="25" s="1"/>
  <c r="AI145" i="25"/>
  <c r="S145" i="25" s="1"/>
  <c r="AI143" i="25"/>
  <c r="S143" i="25" s="1"/>
  <c r="AI142" i="25"/>
  <c r="S142" i="25" s="1"/>
  <c r="AI141" i="25"/>
  <c r="S141" i="25" s="1"/>
  <c r="AI140" i="25"/>
  <c r="S140" i="25" s="1"/>
  <c r="AI139" i="25"/>
  <c r="S139" i="25" s="1"/>
  <c r="AI137" i="25"/>
  <c r="S137" i="25" s="1"/>
  <c r="AI136" i="25"/>
  <c r="S136" i="25" s="1"/>
  <c r="AI135" i="25"/>
  <c r="S135" i="25" s="1"/>
  <c r="AI134" i="25"/>
  <c r="S134" i="25" s="1"/>
  <c r="AI133" i="25"/>
  <c r="S133" i="25" s="1"/>
  <c r="AI132" i="25"/>
  <c r="S132" i="25" s="1"/>
  <c r="AI131" i="25"/>
  <c r="S131" i="25" s="1"/>
  <c r="AI130" i="25"/>
  <c r="S130" i="25" s="1"/>
  <c r="AI129" i="25"/>
  <c r="S129" i="25" s="1"/>
  <c r="AI128" i="25"/>
  <c r="S128" i="25" s="1"/>
  <c r="AI127" i="25"/>
  <c r="S127" i="25" s="1"/>
  <c r="AI126" i="25"/>
  <c r="S126" i="25" s="1"/>
  <c r="AI125" i="25"/>
  <c r="AI124" i="25"/>
  <c r="S124" i="25" s="1"/>
  <c r="AI123" i="25"/>
  <c r="S123" i="25" s="1"/>
  <c r="AI122" i="25"/>
  <c r="S122" i="25" s="1"/>
  <c r="AI121" i="25"/>
  <c r="S121" i="25" s="1"/>
  <c r="AI120" i="25"/>
  <c r="S120" i="25" s="1"/>
  <c r="AI119" i="25"/>
  <c r="S119" i="25" s="1"/>
  <c r="AI117" i="25"/>
  <c r="S117" i="25" s="1"/>
  <c r="AI116" i="25"/>
  <c r="S116" i="25" s="1"/>
  <c r="AI115" i="25"/>
  <c r="S115" i="25" s="1"/>
  <c r="AI114" i="25"/>
  <c r="S114" i="25" s="1"/>
  <c r="AI112" i="25"/>
  <c r="S112" i="25" s="1"/>
  <c r="AI111" i="25"/>
  <c r="S111" i="25" s="1"/>
  <c r="AI110" i="25"/>
  <c r="S110" i="25" s="1"/>
  <c r="AI109" i="25"/>
  <c r="S109" i="25" s="1"/>
  <c r="AI108" i="25"/>
  <c r="S108" i="25" s="1"/>
  <c r="AI107" i="25"/>
  <c r="S107" i="25" s="1"/>
  <c r="AI106" i="25"/>
  <c r="S106" i="25" s="1"/>
  <c r="AI105" i="25"/>
  <c r="S105" i="25" s="1"/>
  <c r="AI104" i="25"/>
  <c r="S104" i="25" s="1"/>
  <c r="AI103" i="25"/>
  <c r="S103" i="25" s="1"/>
  <c r="AI102" i="25"/>
  <c r="S102" i="25" s="1"/>
  <c r="AI101" i="25"/>
  <c r="S101" i="25" s="1"/>
  <c r="AI100" i="25"/>
  <c r="S100" i="25" s="1"/>
  <c r="AI99" i="25"/>
  <c r="S99" i="25" s="1"/>
  <c r="AI98" i="25"/>
  <c r="S98" i="25" s="1"/>
  <c r="AI97" i="25"/>
  <c r="S97" i="25" s="1"/>
  <c r="AI96" i="25"/>
  <c r="S96" i="25" s="1"/>
  <c r="AI95" i="25"/>
  <c r="S95" i="25" s="1"/>
  <c r="AI94" i="25"/>
  <c r="S94" i="25" s="1"/>
  <c r="AI93" i="25"/>
  <c r="S93" i="25" s="1"/>
  <c r="AI92" i="25"/>
  <c r="S92" i="25" s="1"/>
  <c r="AI91" i="25"/>
  <c r="S91" i="25" s="1"/>
  <c r="AI90" i="25"/>
  <c r="S90" i="25" s="1"/>
  <c r="AI89" i="25"/>
  <c r="S89" i="25" s="1"/>
  <c r="AI88" i="25"/>
  <c r="S88" i="25" s="1"/>
  <c r="AI87" i="25"/>
  <c r="S87" i="25" s="1"/>
  <c r="AI86" i="25"/>
  <c r="S86" i="25" s="1"/>
  <c r="AI85" i="25"/>
  <c r="S85" i="25" s="1"/>
  <c r="AI84" i="25"/>
  <c r="S84" i="25" s="1"/>
  <c r="AI83" i="25"/>
  <c r="S83" i="25" s="1"/>
  <c r="AI82" i="25"/>
  <c r="S82" i="25" s="1"/>
  <c r="AI80" i="25"/>
  <c r="S80" i="25" s="1"/>
  <c r="AI79" i="25"/>
  <c r="S79" i="25" s="1"/>
  <c r="AI78" i="25"/>
  <c r="S78" i="25" s="1"/>
  <c r="AI77" i="25"/>
  <c r="S77" i="25" s="1"/>
  <c r="AI76" i="25"/>
  <c r="S76" i="25" s="1"/>
  <c r="AI75" i="25"/>
  <c r="S75" i="25" s="1"/>
  <c r="AI74" i="25"/>
  <c r="S74" i="25" s="1"/>
  <c r="AI73" i="25"/>
  <c r="S73" i="25" s="1"/>
  <c r="AI261" i="25"/>
  <c r="S261" i="25" s="1"/>
  <c r="AI72" i="25"/>
  <c r="S72" i="25" s="1"/>
  <c r="AI71" i="25"/>
  <c r="S71" i="25" s="1"/>
  <c r="AI70" i="25"/>
  <c r="S70" i="25" s="1"/>
  <c r="AI69" i="25"/>
  <c r="S69" i="25" s="1"/>
  <c r="AI68" i="25"/>
  <c r="S68" i="25" s="1"/>
  <c r="AI67" i="25"/>
  <c r="S67" i="25" s="1"/>
  <c r="AI66" i="25"/>
  <c r="S66" i="25" s="1"/>
  <c r="AI65" i="25"/>
  <c r="S65" i="25" s="1"/>
  <c r="AI64" i="25"/>
  <c r="S64" i="25" s="1"/>
  <c r="AI63" i="25"/>
  <c r="S63" i="25" s="1"/>
  <c r="AI62" i="25"/>
  <c r="S62" i="25" s="1"/>
  <c r="AI61" i="25"/>
  <c r="S61" i="25" s="1"/>
  <c r="AI60" i="25"/>
  <c r="S60" i="25" s="1"/>
  <c r="AI59" i="25"/>
  <c r="S59" i="25" s="1"/>
  <c r="AI58" i="25"/>
  <c r="S58" i="25" s="1"/>
  <c r="AI57" i="25"/>
  <c r="S57" i="25" s="1"/>
  <c r="AI56" i="25"/>
  <c r="S56" i="25" s="1"/>
  <c r="AI55" i="25"/>
  <c r="S55" i="25" s="1"/>
  <c r="AI54" i="25"/>
  <c r="S54" i="25" s="1"/>
  <c r="AI53" i="25"/>
  <c r="S53" i="25" s="1"/>
  <c r="AI52" i="25"/>
  <c r="S52" i="25" s="1"/>
  <c r="AI51" i="25"/>
  <c r="S51" i="25" s="1"/>
  <c r="AI50" i="25"/>
  <c r="S50" i="25" s="1"/>
  <c r="AI49" i="25"/>
  <c r="S49" i="25" s="1"/>
  <c r="AI48" i="25"/>
  <c r="S48" i="25" s="1"/>
  <c r="AI47" i="25"/>
  <c r="S47" i="25" s="1"/>
  <c r="AI46" i="25"/>
  <c r="S46" i="25" s="1"/>
  <c r="AI45" i="25"/>
  <c r="S45" i="25" s="1"/>
  <c r="AI44" i="25"/>
  <c r="S44" i="25" s="1"/>
  <c r="AI43" i="25"/>
  <c r="S43" i="25" s="1"/>
  <c r="AI42" i="25"/>
  <c r="S42" i="25" s="1"/>
  <c r="AI41" i="25"/>
  <c r="S41" i="25" s="1"/>
  <c r="AI40" i="25"/>
  <c r="S40" i="25" s="1"/>
  <c r="AI39" i="25"/>
  <c r="S39" i="25" s="1"/>
  <c r="AI38" i="25"/>
  <c r="S38" i="25" s="1"/>
  <c r="AI37" i="25"/>
  <c r="S37" i="25" s="1"/>
  <c r="AI36" i="25"/>
  <c r="S36" i="25" s="1"/>
  <c r="AI35" i="25"/>
  <c r="S35" i="25" s="1"/>
  <c r="AI34" i="25"/>
  <c r="S34" i="25" s="1"/>
  <c r="AI33" i="25"/>
  <c r="S33" i="25" s="1"/>
  <c r="AI32" i="25"/>
  <c r="S32" i="25" s="1"/>
  <c r="AI31" i="25"/>
  <c r="S31" i="25" s="1"/>
  <c r="AI30" i="25"/>
  <c r="S30" i="25" s="1"/>
  <c r="AI29" i="25"/>
  <c r="S29" i="25" s="1"/>
  <c r="AI27" i="25"/>
  <c r="S27" i="25" s="1"/>
  <c r="AI26" i="25"/>
  <c r="S26" i="25" s="1"/>
  <c r="AI25" i="25"/>
  <c r="S25" i="25" s="1"/>
  <c r="AI24" i="25"/>
  <c r="S24" i="25" s="1"/>
  <c r="AI23" i="25"/>
  <c r="S23" i="25" s="1"/>
  <c r="AI22" i="25"/>
  <c r="S22" i="25" s="1"/>
  <c r="G35" i="1" s="1"/>
  <c r="AI21" i="25"/>
  <c r="S21" i="25" s="1"/>
  <c r="AI20" i="25"/>
  <c r="S20" i="25" s="1"/>
  <c r="AI19" i="25"/>
  <c r="S19" i="25" s="1"/>
  <c r="AI18" i="25"/>
  <c r="S18" i="25" s="1"/>
  <c r="AI17" i="25"/>
  <c r="S17" i="25" s="1"/>
  <c r="AI16" i="25"/>
  <c r="S16" i="25" s="1"/>
  <c r="AI15" i="25"/>
  <c r="S15" i="25" s="1"/>
  <c r="AI14" i="25"/>
  <c r="S14" i="25" s="1"/>
  <c r="AI12" i="25"/>
  <c r="S12" i="25" s="1"/>
  <c r="AI11" i="25"/>
  <c r="S11" i="25" s="1"/>
  <c r="AI10" i="25"/>
  <c r="S10" i="25" s="1"/>
  <c r="AI9" i="25"/>
  <c r="S9" i="25" s="1"/>
  <c r="AI8" i="25"/>
  <c r="S8" i="25" s="1"/>
  <c r="AI7" i="25"/>
  <c r="S7" i="25" s="1"/>
  <c r="AI6" i="25"/>
  <c r="S6" i="25" s="1"/>
  <c r="AI5" i="25"/>
  <c r="S5" i="25" s="1"/>
  <c r="AI4" i="25"/>
  <c r="S4" i="25" s="1"/>
  <c r="AI3" i="25"/>
  <c r="S3" i="25" s="1"/>
  <c r="AI2" i="25"/>
  <c r="S2" i="25" s="1"/>
  <c r="AE356" i="25"/>
  <c r="Q356" i="25" s="1"/>
  <c r="AE355" i="25"/>
  <c r="Q355" i="25" s="1"/>
  <c r="AE354" i="25"/>
  <c r="Q354" i="25" s="1"/>
  <c r="AE353" i="25"/>
  <c r="Q353" i="25" s="1"/>
  <c r="AE352" i="25"/>
  <c r="Q352" i="25" s="1"/>
  <c r="AE351" i="25"/>
  <c r="Q351" i="25" s="1"/>
  <c r="AE350" i="25"/>
  <c r="Q350" i="25" s="1"/>
  <c r="AE349" i="25"/>
  <c r="Q349" i="25" s="1"/>
  <c r="AE348" i="25"/>
  <c r="Q348" i="25" s="1"/>
  <c r="AE347" i="25"/>
  <c r="Q347" i="25" s="1"/>
  <c r="AE346" i="25"/>
  <c r="Q346" i="25" s="1"/>
  <c r="AE345" i="25"/>
  <c r="Q345" i="25" s="1"/>
  <c r="AE344" i="25"/>
  <c r="Q344" i="25" s="1"/>
  <c r="AE343" i="25"/>
  <c r="Q343" i="25" s="1"/>
  <c r="AE342" i="25"/>
  <c r="Q342" i="25" s="1"/>
  <c r="AE341" i="25"/>
  <c r="Q341" i="25" s="1"/>
  <c r="AE340" i="25"/>
  <c r="Q340" i="25" s="1"/>
  <c r="AE339" i="25"/>
  <c r="Q339" i="25" s="1"/>
  <c r="AE338" i="25"/>
  <c r="Q338" i="25" s="1"/>
  <c r="AE337" i="25"/>
  <c r="Q337" i="25" s="1"/>
  <c r="AE336" i="25"/>
  <c r="Q336" i="25" s="1"/>
  <c r="AE335" i="25"/>
  <c r="Q335" i="25" s="1"/>
  <c r="AE334" i="25"/>
  <c r="Q334" i="25" s="1"/>
  <c r="AE333" i="25"/>
  <c r="Q333" i="25" s="1"/>
  <c r="AE332" i="25"/>
  <c r="Q332" i="25" s="1"/>
  <c r="AE331" i="25"/>
  <c r="Q331" i="25" s="1"/>
  <c r="AE330" i="25"/>
  <c r="Q330" i="25" s="1"/>
  <c r="AE329" i="25"/>
  <c r="Q329" i="25" s="1"/>
  <c r="AE328" i="25"/>
  <c r="Q328" i="25" s="1"/>
  <c r="AE326" i="25"/>
  <c r="Q326" i="25" s="1"/>
  <c r="AE324" i="25"/>
  <c r="Q324" i="25" s="1"/>
  <c r="AE323" i="25"/>
  <c r="Q323" i="25" s="1"/>
  <c r="AE322" i="25"/>
  <c r="Q322" i="25" s="1"/>
  <c r="AE321" i="25"/>
  <c r="Q321" i="25" s="1"/>
  <c r="AE320" i="25"/>
  <c r="Q320" i="25" s="1"/>
  <c r="AE319" i="25"/>
  <c r="Q319" i="25" s="1"/>
  <c r="AE318" i="25"/>
  <c r="Q318" i="25" s="1"/>
  <c r="AE317" i="25"/>
  <c r="Q317" i="25" s="1"/>
  <c r="AE316" i="25"/>
  <c r="Q316" i="25" s="1"/>
  <c r="AE315" i="25"/>
  <c r="Q315" i="25" s="1"/>
  <c r="AE314" i="25"/>
  <c r="Q314" i="25" s="1"/>
  <c r="AE313" i="25"/>
  <c r="Q313" i="25" s="1"/>
  <c r="AE312" i="25"/>
  <c r="Q312" i="25" s="1"/>
  <c r="AE311" i="25"/>
  <c r="Q311" i="25" s="1"/>
  <c r="AE310" i="25"/>
  <c r="Q310" i="25" s="1"/>
  <c r="AE309" i="25"/>
  <c r="Q309" i="25" s="1"/>
  <c r="AE307" i="25"/>
  <c r="Q307" i="25" s="1"/>
  <c r="AE306" i="25"/>
  <c r="Q306" i="25" s="1"/>
  <c r="AE305" i="25"/>
  <c r="Q305" i="25" s="1"/>
  <c r="AE304" i="25"/>
  <c r="Q304" i="25" s="1"/>
  <c r="AE303" i="25"/>
  <c r="Q303" i="25" s="1"/>
  <c r="AE302" i="25"/>
  <c r="Q302" i="25" s="1"/>
  <c r="AE301" i="25"/>
  <c r="Q301" i="25" s="1"/>
  <c r="AE300" i="25"/>
  <c r="Q300" i="25" s="1"/>
  <c r="AE299" i="25"/>
  <c r="Q299" i="25" s="1"/>
  <c r="AE298" i="25"/>
  <c r="Q298" i="25" s="1"/>
  <c r="AE297" i="25"/>
  <c r="Q297" i="25" s="1"/>
  <c r="AE296" i="25"/>
  <c r="Q296" i="25" s="1"/>
  <c r="AE295" i="25"/>
  <c r="Q295" i="25" s="1"/>
  <c r="AE294" i="25"/>
  <c r="Q294" i="25" s="1"/>
  <c r="AE293" i="25"/>
  <c r="Q293" i="25" s="1"/>
  <c r="AE292" i="25"/>
  <c r="Q292" i="25" s="1"/>
  <c r="AE291" i="25"/>
  <c r="Q291" i="25" s="1"/>
  <c r="AE290" i="25"/>
  <c r="Q290" i="25" s="1"/>
  <c r="AE289" i="25"/>
  <c r="Q289" i="25" s="1"/>
  <c r="AE288" i="25"/>
  <c r="Q288" i="25" s="1"/>
  <c r="AE287" i="25"/>
  <c r="Q287" i="25" s="1"/>
  <c r="AE286" i="25"/>
  <c r="Q286" i="25" s="1"/>
  <c r="AE285" i="25"/>
  <c r="Q285" i="25" s="1"/>
  <c r="AE284" i="25"/>
  <c r="Q284" i="25" s="1"/>
  <c r="AE283" i="25"/>
  <c r="Q283" i="25" s="1"/>
  <c r="AE282" i="25"/>
  <c r="Q282" i="25" s="1"/>
  <c r="AE281" i="25"/>
  <c r="Q281" i="25" s="1"/>
  <c r="AE280" i="25"/>
  <c r="Q280" i="25" s="1"/>
  <c r="AE279" i="25"/>
  <c r="Q279" i="25" s="1"/>
  <c r="AE278" i="25"/>
  <c r="Q278" i="25" s="1"/>
  <c r="AE277" i="25"/>
  <c r="Q277" i="25" s="1"/>
  <c r="AE276" i="25"/>
  <c r="Q276" i="25" s="1"/>
  <c r="AE275" i="25"/>
  <c r="Q275" i="25" s="1"/>
  <c r="AE274" i="25"/>
  <c r="Q274" i="25" s="1"/>
  <c r="AE273" i="25"/>
  <c r="Q273" i="25" s="1"/>
  <c r="AE272" i="25"/>
  <c r="Q272" i="25" s="1"/>
  <c r="AE271" i="25"/>
  <c r="Q271" i="25" s="1"/>
  <c r="AE270" i="25"/>
  <c r="Q270" i="25" s="1"/>
  <c r="AE269" i="25"/>
  <c r="Q269" i="25" s="1"/>
  <c r="AE268" i="25"/>
  <c r="Q268" i="25" s="1"/>
  <c r="AE267" i="25"/>
  <c r="Q267" i="25" s="1"/>
  <c r="AE266" i="25"/>
  <c r="Q266" i="25" s="1"/>
  <c r="AE265" i="25"/>
  <c r="Q265" i="25" s="1"/>
  <c r="AE264" i="25"/>
  <c r="Q264" i="25" s="1"/>
  <c r="AE263" i="25"/>
  <c r="Q263" i="25" s="1"/>
  <c r="AE262" i="25"/>
  <c r="Q262" i="25" s="1"/>
  <c r="AE260" i="25"/>
  <c r="Q260" i="25" s="1"/>
  <c r="AE259" i="25"/>
  <c r="Q259" i="25" s="1"/>
  <c r="AE258" i="25"/>
  <c r="Q258" i="25" s="1"/>
  <c r="AE257" i="25"/>
  <c r="Q257" i="25" s="1"/>
  <c r="AE256" i="25"/>
  <c r="Q256" i="25" s="1"/>
  <c r="AE255" i="25"/>
  <c r="Q255" i="25" s="1"/>
  <c r="AE254" i="25"/>
  <c r="Q254" i="25" s="1"/>
  <c r="AE253" i="25"/>
  <c r="Q253" i="25" s="1"/>
  <c r="AE252" i="25"/>
  <c r="Q252" i="25" s="1"/>
  <c r="AE251" i="25"/>
  <c r="Q251" i="25" s="1"/>
  <c r="AE250" i="25"/>
  <c r="Q250" i="25" s="1"/>
  <c r="AE249" i="25"/>
  <c r="Q249" i="25" s="1"/>
  <c r="AE248" i="25"/>
  <c r="Q248" i="25" s="1"/>
  <c r="AE247" i="25"/>
  <c r="Q247" i="25" s="1"/>
  <c r="AE246" i="25"/>
  <c r="Q246" i="25" s="1"/>
  <c r="AE245" i="25"/>
  <c r="Q245" i="25" s="1"/>
  <c r="AE244" i="25"/>
  <c r="Q244" i="25" s="1"/>
  <c r="AE243" i="25"/>
  <c r="Q243" i="25" s="1"/>
  <c r="AE242" i="25"/>
  <c r="Q242" i="25" s="1"/>
  <c r="AE241" i="25"/>
  <c r="Q241" i="25" s="1"/>
  <c r="AE240" i="25"/>
  <c r="Q240" i="25" s="1"/>
  <c r="AE239" i="25"/>
  <c r="Q239" i="25" s="1"/>
  <c r="AE238" i="25"/>
  <c r="Q238" i="25" s="1"/>
  <c r="AE237" i="25"/>
  <c r="Q237" i="25" s="1"/>
  <c r="AE236" i="25"/>
  <c r="Q236" i="25" s="1"/>
  <c r="AE235" i="25"/>
  <c r="Q235" i="25" s="1"/>
  <c r="AE234" i="25"/>
  <c r="Q234" i="25" s="1"/>
  <c r="AE233" i="25"/>
  <c r="Q233" i="25" s="1"/>
  <c r="AE232" i="25"/>
  <c r="Q232" i="25" s="1"/>
  <c r="AE231" i="25"/>
  <c r="Q231" i="25" s="1"/>
  <c r="AE230" i="25"/>
  <c r="Q230" i="25" s="1"/>
  <c r="AE229" i="25"/>
  <c r="Q229" i="25" s="1"/>
  <c r="AE228" i="25"/>
  <c r="Q228" i="25" s="1"/>
  <c r="AE227" i="25"/>
  <c r="Q227" i="25" s="1"/>
  <c r="AE226" i="25"/>
  <c r="Q226" i="25" s="1"/>
  <c r="AE225" i="25"/>
  <c r="Q225" i="25" s="1"/>
  <c r="AE224" i="25"/>
  <c r="Q224" i="25" s="1"/>
  <c r="AE223" i="25"/>
  <c r="Q223" i="25" s="1"/>
  <c r="AE222" i="25"/>
  <c r="Q222" i="25" s="1"/>
  <c r="AE221" i="25"/>
  <c r="Q221" i="25" s="1"/>
  <c r="AE220" i="25"/>
  <c r="Q220" i="25" s="1"/>
  <c r="AE219" i="25"/>
  <c r="Q219" i="25" s="1"/>
  <c r="AE218" i="25"/>
  <c r="Q218" i="25" s="1"/>
  <c r="AE217" i="25"/>
  <c r="Q217" i="25" s="1"/>
  <c r="AE216" i="25"/>
  <c r="Q216" i="25" s="1"/>
  <c r="AE215" i="25"/>
  <c r="Q215" i="25" s="1"/>
  <c r="AE214" i="25"/>
  <c r="Q214" i="25" s="1"/>
  <c r="AE213" i="25"/>
  <c r="Q213" i="25" s="1"/>
  <c r="AE211" i="25"/>
  <c r="Q211" i="25" s="1"/>
  <c r="AE210" i="25"/>
  <c r="Q210" i="25" s="1"/>
  <c r="AE209" i="25"/>
  <c r="Q209" i="25" s="1"/>
  <c r="AE207" i="25"/>
  <c r="Q207" i="25" s="1"/>
  <c r="AE206" i="25"/>
  <c r="Q206" i="25" s="1"/>
  <c r="AE205" i="25"/>
  <c r="Q205" i="25" s="1"/>
  <c r="AE204" i="25"/>
  <c r="Q204" i="25" s="1"/>
  <c r="AE203" i="25"/>
  <c r="Q203" i="25" s="1"/>
  <c r="AE202" i="25"/>
  <c r="Q202" i="25" s="1"/>
  <c r="AE201" i="25"/>
  <c r="Q201" i="25" s="1"/>
  <c r="AE200" i="25"/>
  <c r="Q200" i="25" s="1"/>
  <c r="AE199" i="25"/>
  <c r="Q199" i="25" s="1"/>
  <c r="AE198" i="25"/>
  <c r="Q198" i="25" s="1"/>
  <c r="AE196" i="25"/>
  <c r="Q196" i="25" s="1"/>
  <c r="AE195" i="25"/>
  <c r="Q195" i="25" s="1"/>
  <c r="AE194" i="25"/>
  <c r="Q194" i="25" s="1"/>
  <c r="AE193" i="25"/>
  <c r="Q193" i="25" s="1"/>
  <c r="AE192" i="25"/>
  <c r="Q192" i="25" s="1"/>
  <c r="AE191" i="25"/>
  <c r="Q191" i="25" s="1"/>
  <c r="AE190" i="25"/>
  <c r="Q190" i="25" s="1"/>
  <c r="AE189" i="25"/>
  <c r="Q189" i="25" s="1"/>
  <c r="AE188" i="25"/>
  <c r="Q188" i="25" s="1"/>
  <c r="AE187" i="25"/>
  <c r="Q187" i="25" s="1"/>
  <c r="AE186" i="25"/>
  <c r="Q186" i="25" s="1"/>
  <c r="AE185" i="25"/>
  <c r="Q185" i="25" s="1"/>
  <c r="AE184" i="25"/>
  <c r="Q184" i="25" s="1"/>
  <c r="AE183" i="25"/>
  <c r="Q183" i="25" s="1"/>
  <c r="AE182" i="25"/>
  <c r="Q182" i="25" s="1"/>
  <c r="AE181" i="25"/>
  <c r="Q181" i="25" s="1"/>
  <c r="AE180" i="25"/>
  <c r="Q180" i="25" s="1"/>
  <c r="AE179" i="25"/>
  <c r="Q179" i="25" s="1"/>
  <c r="AE178" i="25"/>
  <c r="Q178" i="25" s="1"/>
  <c r="AE177" i="25"/>
  <c r="Q177" i="25" s="1"/>
  <c r="AE176" i="25"/>
  <c r="Q176" i="25" s="1"/>
  <c r="AE175" i="25"/>
  <c r="Q175" i="25" s="1"/>
  <c r="AE174" i="25"/>
  <c r="Q174" i="25" s="1"/>
  <c r="AE173" i="25"/>
  <c r="Q173" i="25" s="1"/>
  <c r="AE172" i="25"/>
  <c r="Q172" i="25" s="1"/>
  <c r="AE171" i="25"/>
  <c r="Q171" i="25" s="1"/>
  <c r="AE170" i="25"/>
  <c r="Q170" i="25" s="1"/>
  <c r="AE169" i="25"/>
  <c r="Q169" i="25" s="1"/>
  <c r="AE168" i="25"/>
  <c r="Q168" i="25" s="1"/>
  <c r="AE167" i="25"/>
  <c r="Q167" i="25" s="1"/>
  <c r="AE166" i="25"/>
  <c r="Q166" i="25" s="1"/>
  <c r="AE165" i="25"/>
  <c r="Q165" i="25" s="1"/>
  <c r="AE164" i="25"/>
  <c r="Q164" i="25" s="1"/>
  <c r="AE163" i="25"/>
  <c r="Q163" i="25" s="1"/>
  <c r="AE162" i="25"/>
  <c r="Q162" i="25" s="1"/>
  <c r="AE161" i="25"/>
  <c r="Q161" i="25" s="1"/>
  <c r="AE160" i="25"/>
  <c r="Q160" i="25" s="1"/>
  <c r="AE159" i="25"/>
  <c r="Q159" i="25" s="1"/>
  <c r="AE158" i="25"/>
  <c r="Q158" i="25" s="1"/>
  <c r="AE157" i="25"/>
  <c r="Q157" i="25" s="1"/>
  <c r="AE156" i="25"/>
  <c r="Q156" i="25" s="1"/>
  <c r="AE155" i="25"/>
  <c r="Q155" i="25" s="1"/>
  <c r="AE154" i="25"/>
  <c r="Q154" i="25" s="1"/>
  <c r="AE153" i="25"/>
  <c r="Q153" i="25" s="1"/>
  <c r="AE152" i="25"/>
  <c r="Q152" i="25" s="1"/>
  <c r="AE151" i="25"/>
  <c r="Q151" i="25" s="1"/>
  <c r="AE150" i="25"/>
  <c r="Q150" i="25" s="1"/>
  <c r="AE149" i="25"/>
  <c r="Q149" i="25" s="1"/>
  <c r="AE148" i="25"/>
  <c r="Q148" i="25" s="1"/>
  <c r="AE147" i="25"/>
  <c r="Q147" i="25" s="1"/>
  <c r="AE146" i="25"/>
  <c r="Q146" i="25" s="1"/>
  <c r="AE145" i="25"/>
  <c r="Q145" i="25" s="1"/>
  <c r="AE143" i="25"/>
  <c r="Q143" i="25" s="1"/>
  <c r="AE142" i="25"/>
  <c r="Q142" i="25" s="1"/>
  <c r="AE141" i="25"/>
  <c r="Q141" i="25" s="1"/>
  <c r="AE140" i="25"/>
  <c r="Q140" i="25" s="1"/>
  <c r="AE139" i="25"/>
  <c r="Q139" i="25" s="1"/>
  <c r="AE137" i="25"/>
  <c r="Q137" i="25" s="1"/>
  <c r="AE136" i="25"/>
  <c r="Q136" i="25" s="1"/>
  <c r="AE135" i="25"/>
  <c r="Q135" i="25" s="1"/>
  <c r="AE134" i="25"/>
  <c r="Q134" i="25" s="1"/>
  <c r="AE133" i="25"/>
  <c r="Q133" i="25" s="1"/>
  <c r="AE132" i="25"/>
  <c r="Q132" i="25" s="1"/>
  <c r="AE131" i="25"/>
  <c r="Q131" i="25" s="1"/>
  <c r="AE130" i="25"/>
  <c r="Q130" i="25" s="1"/>
  <c r="AE129" i="25"/>
  <c r="Q129" i="25" s="1"/>
  <c r="AE128" i="25"/>
  <c r="Q128" i="25" s="1"/>
  <c r="AE127" i="25"/>
  <c r="Q127" i="25" s="1"/>
  <c r="AE126" i="25"/>
  <c r="Q126" i="25" s="1"/>
  <c r="AE125" i="25"/>
  <c r="AE124" i="25"/>
  <c r="Q124" i="25" s="1"/>
  <c r="AE123" i="25"/>
  <c r="Q123" i="25" s="1"/>
  <c r="AE122" i="25"/>
  <c r="Q122" i="25" s="1"/>
  <c r="AE121" i="25"/>
  <c r="Q121" i="25" s="1"/>
  <c r="AE120" i="25"/>
  <c r="Q120" i="25" s="1"/>
  <c r="AE119" i="25"/>
  <c r="Q119" i="25" s="1"/>
  <c r="AE117" i="25"/>
  <c r="Q117" i="25" s="1"/>
  <c r="AE116" i="25"/>
  <c r="Q116" i="25" s="1"/>
  <c r="AE115" i="25"/>
  <c r="Q115" i="25" s="1"/>
  <c r="AE114" i="25"/>
  <c r="Q114" i="25" s="1"/>
  <c r="AE112" i="25"/>
  <c r="Q112" i="25" s="1"/>
  <c r="AE111" i="25"/>
  <c r="Q111" i="25" s="1"/>
  <c r="AE110" i="25"/>
  <c r="Q110" i="25" s="1"/>
  <c r="AE109" i="25"/>
  <c r="Q109" i="25" s="1"/>
  <c r="AE108" i="25"/>
  <c r="Q108" i="25" s="1"/>
  <c r="AE107" i="25"/>
  <c r="Q107" i="25" s="1"/>
  <c r="AE106" i="25"/>
  <c r="Q106" i="25" s="1"/>
  <c r="AE105" i="25"/>
  <c r="Q105" i="25" s="1"/>
  <c r="AE104" i="25"/>
  <c r="Q104" i="25" s="1"/>
  <c r="AE103" i="25"/>
  <c r="Q103" i="25" s="1"/>
  <c r="AE102" i="25"/>
  <c r="Q102" i="25" s="1"/>
  <c r="AE101" i="25"/>
  <c r="Q101" i="25" s="1"/>
  <c r="AE100" i="25"/>
  <c r="Q100" i="25" s="1"/>
  <c r="AE99" i="25"/>
  <c r="Q99" i="25" s="1"/>
  <c r="AE98" i="25"/>
  <c r="Q98" i="25" s="1"/>
  <c r="AE97" i="25"/>
  <c r="Q97" i="25" s="1"/>
  <c r="AE96" i="25"/>
  <c r="Q96" i="25" s="1"/>
  <c r="AE95" i="25"/>
  <c r="Q95" i="25" s="1"/>
  <c r="AE94" i="25"/>
  <c r="Q94" i="25" s="1"/>
  <c r="AE93" i="25"/>
  <c r="Q93" i="25" s="1"/>
  <c r="AE92" i="25"/>
  <c r="Q92" i="25" s="1"/>
  <c r="AE91" i="25"/>
  <c r="Q91" i="25" s="1"/>
  <c r="AE90" i="25"/>
  <c r="Q90" i="25" s="1"/>
  <c r="AE89" i="25"/>
  <c r="Q89" i="25" s="1"/>
  <c r="AE88" i="25"/>
  <c r="Q88" i="25" s="1"/>
  <c r="AE87" i="25"/>
  <c r="Q87" i="25" s="1"/>
  <c r="AE86" i="25"/>
  <c r="Q86" i="25" s="1"/>
  <c r="AE85" i="25"/>
  <c r="Q85" i="25" s="1"/>
  <c r="AE84" i="25"/>
  <c r="Q84" i="25" s="1"/>
  <c r="AE83" i="25"/>
  <c r="Q83" i="25" s="1"/>
  <c r="AE82" i="25"/>
  <c r="Q82" i="25" s="1"/>
  <c r="AE81" i="25"/>
  <c r="Q81" i="25" s="1"/>
  <c r="AE80" i="25"/>
  <c r="Q80" i="25" s="1"/>
  <c r="AE79" i="25"/>
  <c r="Q79" i="25" s="1"/>
  <c r="AE78" i="25"/>
  <c r="Q78" i="25" s="1"/>
  <c r="AE77" i="25"/>
  <c r="Q77" i="25" s="1"/>
  <c r="AE76" i="25"/>
  <c r="Q76" i="25" s="1"/>
  <c r="AE75" i="25"/>
  <c r="Q75" i="25" s="1"/>
  <c r="AE74" i="25"/>
  <c r="Q74" i="25" s="1"/>
  <c r="AE73" i="25"/>
  <c r="Q73" i="25" s="1"/>
  <c r="AE261" i="25"/>
  <c r="Q261" i="25" s="1"/>
  <c r="AE72" i="25"/>
  <c r="Q72" i="25" s="1"/>
  <c r="AE71" i="25"/>
  <c r="Q71" i="25" s="1"/>
  <c r="AE70" i="25"/>
  <c r="Q70" i="25" s="1"/>
  <c r="AE69" i="25"/>
  <c r="Q69" i="25" s="1"/>
  <c r="AE68" i="25"/>
  <c r="Q68" i="25" s="1"/>
  <c r="AE67" i="25"/>
  <c r="Q67" i="25" s="1"/>
  <c r="AE66" i="25"/>
  <c r="Q66" i="25" s="1"/>
  <c r="AE65" i="25"/>
  <c r="Q65" i="25" s="1"/>
  <c r="AE64" i="25"/>
  <c r="Q64" i="25" s="1"/>
  <c r="AE63" i="25"/>
  <c r="Q63" i="25" s="1"/>
  <c r="AE62" i="25"/>
  <c r="Q62" i="25" s="1"/>
  <c r="AE61" i="25"/>
  <c r="Q61" i="25" s="1"/>
  <c r="AE60" i="25"/>
  <c r="Q60" i="25" s="1"/>
  <c r="AE59" i="25"/>
  <c r="Q59" i="25" s="1"/>
  <c r="AE58" i="25"/>
  <c r="Q58" i="25" s="1"/>
  <c r="AE57" i="25"/>
  <c r="Q57" i="25" s="1"/>
  <c r="AE56" i="25"/>
  <c r="Q56" i="25" s="1"/>
  <c r="AE55" i="25"/>
  <c r="Q55" i="25" s="1"/>
  <c r="AE54" i="25"/>
  <c r="Q54" i="25" s="1"/>
  <c r="AE53" i="25"/>
  <c r="Q53" i="25" s="1"/>
  <c r="AE52" i="25"/>
  <c r="Q52" i="25" s="1"/>
  <c r="AE51" i="25"/>
  <c r="Q51" i="25" s="1"/>
  <c r="AE50" i="25"/>
  <c r="Q50" i="25" s="1"/>
  <c r="AE49" i="25"/>
  <c r="Q49" i="25" s="1"/>
  <c r="AE48" i="25"/>
  <c r="Q48" i="25" s="1"/>
  <c r="AE47" i="25"/>
  <c r="Q47" i="25" s="1"/>
  <c r="AE46" i="25"/>
  <c r="Q46" i="25" s="1"/>
  <c r="AE45" i="25"/>
  <c r="Q45" i="25" s="1"/>
  <c r="AE44" i="25"/>
  <c r="Q44" i="25" s="1"/>
  <c r="AE43" i="25"/>
  <c r="Q43" i="25" s="1"/>
  <c r="AE42" i="25"/>
  <c r="Q42" i="25" s="1"/>
  <c r="AE41" i="25"/>
  <c r="Q41" i="25" s="1"/>
  <c r="AE40" i="25"/>
  <c r="Q40" i="25" s="1"/>
  <c r="AE39" i="25"/>
  <c r="Q39" i="25" s="1"/>
  <c r="AE38" i="25"/>
  <c r="Q38" i="25" s="1"/>
  <c r="AE37" i="25"/>
  <c r="Q37" i="25" s="1"/>
  <c r="AE36" i="25"/>
  <c r="Q36" i="25" s="1"/>
  <c r="AE35" i="25"/>
  <c r="Q35" i="25" s="1"/>
  <c r="AE34" i="25"/>
  <c r="Q34" i="25" s="1"/>
  <c r="AE33" i="25"/>
  <c r="Q33" i="25" s="1"/>
  <c r="AE32" i="25"/>
  <c r="Q32" i="25" s="1"/>
  <c r="AE31" i="25"/>
  <c r="Q31" i="25" s="1"/>
  <c r="AE30" i="25"/>
  <c r="Q30" i="25" s="1"/>
  <c r="AE29" i="25"/>
  <c r="Q29" i="25" s="1"/>
  <c r="AE27" i="25"/>
  <c r="Q27" i="25" s="1"/>
  <c r="AE26" i="25"/>
  <c r="Q26" i="25" s="1"/>
  <c r="AE25" i="25"/>
  <c r="Q25" i="25" s="1"/>
  <c r="AE24" i="25"/>
  <c r="Q24" i="25" s="1"/>
  <c r="AE23" i="25"/>
  <c r="Q23" i="25" s="1"/>
  <c r="AE22" i="25"/>
  <c r="Q22" i="25" s="1"/>
  <c r="G11" i="1" s="1"/>
  <c r="G15" i="1" s="1"/>
  <c r="AE21" i="25"/>
  <c r="Q21" i="25" s="1"/>
  <c r="AE20" i="25"/>
  <c r="Q20" i="25" s="1"/>
  <c r="AE19" i="25"/>
  <c r="Q19" i="25" s="1"/>
  <c r="AE18" i="25"/>
  <c r="Q18" i="25" s="1"/>
  <c r="AE17" i="25"/>
  <c r="Q17" i="25" s="1"/>
  <c r="AE16" i="25"/>
  <c r="Q16" i="25" s="1"/>
  <c r="AE15" i="25"/>
  <c r="Q15" i="25" s="1"/>
  <c r="AE14" i="25"/>
  <c r="Q14" i="25" s="1"/>
  <c r="AE12" i="25"/>
  <c r="Q12" i="25" s="1"/>
  <c r="AE11" i="25"/>
  <c r="Q11" i="25" s="1"/>
  <c r="AE10" i="25"/>
  <c r="Q10" i="25" s="1"/>
  <c r="AE9" i="25"/>
  <c r="Q9" i="25" s="1"/>
  <c r="AE8" i="25"/>
  <c r="Q8" i="25" s="1"/>
  <c r="AE7" i="25"/>
  <c r="Q7" i="25" s="1"/>
  <c r="AE6" i="25"/>
  <c r="Q6" i="25" s="1"/>
  <c r="AE5" i="25"/>
  <c r="Q5" i="25" s="1"/>
  <c r="AE4" i="25"/>
  <c r="Q4" i="25" s="1"/>
  <c r="AE3" i="25"/>
  <c r="Q3" i="25" s="1"/>
  <c r="AE2" i="25"/>
  <c r="Q2" i="25" s="1"/>
  <c r="S357" i="25" l="1"/>
  <c r="Q357" i="25"/>
  <c r="H357" i="25"/>
  <c r="G357" i="25"/>
  <c r="D357" i="25"/>
  <c r="H421" i="25"/>
  <c r="G421" i="25"/>
  <c r="E421" i="25"/>
  <c r="D421" i="25"/>
  <c r="H417" i="25"/>
  <c r="G417" i="25"/>
  <c r="E417" i="25"/>
  <c r="D417" i="25"/>
  <c r="H412" i="25"/>
  <c r="G412" i="25"/>
  <c r="E412" i="25"/>
  <c r="D412" i="25"/>
  <c r="H408" i="25"/>
  <c r="G408" i="25"/>
  <c r="E408" i="25"/>
  <c r="D408" i="25"/>
  <c r="H402" i="25" l="1"/>
  <c r="G402" i="25"/>
  <c r="E402" i="25"/>
  <c r="D402" i="25"/>
  <c r="H397" i="25"/>
  <c r="G397" i="25"/>
  <c r="E397" i="25"/>
  <c r="D397" i="25"/>
  <c r="H393" i="25"/>
  <c r="G393" i="25"/>
  <c r="E393" i="25"/>
  <c r="D393" i="25"/>
  <c r="H388" i="25"/>
  <c r="G388" i="25"/>
  <c r="E388" i="25"/>
  <c r="D388" i="25"/>
  <c r="H383" i="25"/>
  <c r="G383" i="25"/>
  <c r="E383" i="25"/>
  <c r="D383" i="25"/>
  <c r="H376" i="25"/>
  <c r="G376" i="25"/>
  <c r="E376" i="25"/>
  <c r="D376" i="25"/>
  <c r="H371" i="25"/>
  <c r="G371" i="25"/>
  <c r="E371" i="25"/>
  <c r="D371" i="25"/>
  <c r="H365" i="25"/>
  <c r="G365" i="25"/>
  <c r="E365" i="25"/>
  <c r="D365" i="25"/>
  <c r="F356" i="25"/>
  <c r="F355" i="25"/>
  <c r="F354" i="25"/>
  <c r="F353" i="25"/>
  <c r="F352" i="25"/>
  <c r="F351" i="25"/>
  <c r="F407" i="25"/>
  <c r="F350" i="25"/>
  <c r="F349" i="25"/>
  <c r="F348" i="25"/>
  <c r="F347" i="25"/>
  <c r="F346" i="25"/>
  <c r="F416" i="25"/>
  <c r="F345" i="25"/>
  <c r="F344" i="25"/>
  <c r="F343" i="25"/>
  <c r="F364" i="25"/>
  <c r="F342" i="25"/>
  <c r="F341" i="25"/>
  <c r="F340" i="25"/>
  <c r="F339" i="25"/>
  <c r="F338" i="25"/>
  <c r="F370" i="25"/>
  <c r="F337" i="25"/>
  <c r="F336" i="25"/>
  <c r="F335" i="25"/>
  <c r="F334" i="25"/>
  <c r="F333" i="25"/>
  <c r="F332" i="25"/>
  <c r="F331" i="25"/>
  <c r="F330" i="25"/>
  <c r="F329" i="25"/>
  <c r="F328" i="25"/>
  <c r="F325" i="25"/>
  <c r="F363" i="25"/>
  <c r="F324" i="25"/>
  <c r="F323" i="25"/>
  <c r="F322" i="25"/>
  <c r="F321" i="25"/>
  <c r="F320" i="25"/>
  <c r="F319" i="25"/>
  <c r="F318" i="25"/>
  <c r="F317" i="25"/>
  <c r="F315" i="25"/>
  <c r="F314" i="25"/>
  <c r="F313" i="25"/>
  <c r="F312" i="25"/>
  <c r="F311" i="25"/>
  <c r="F310" i="25"/>
  <c r="F309" i="25"/>
  <c r="F415"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401" i="25"/>
  <c r="F280" i="25"/>
  <c r="F382" i="25"/>
  <c r="F279" i="25"/>
  <c r="F278" i="25"/>
  <c r="F277" i="25"/>
  <c r="F276" i="25"/>
  <c r="F275" i="25"/>
  <c r="F274" i="25"/>
  <c r="F273" i="25"/>
  <c r="F272" i="25"/>
  <c r="F271" i="25"/>
  <c r="F270" i="25"/>
  <c r="F269" i="25"/>
  <c r="F268" i="25"/>
  <c r="F267" i="25"/>
  <c r="F266" i="25"/>
  <c r="F265" i="25"/>
  <c r="F264" i="25"/>
  <c r="F263" i="25"/>
  <c r="F262" i="25"/>
  <c r="F260" i="25"/>
  <c r="F375"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381" i="25"/>
  <c r="F229" i="25"/>
  <c r="F228" i="25"/>
  <c r="F227" i="25"/>
  <c r="F226" i="25"/>
  <c r="F225" i="25"/>
  <c r="F224" i="25"/>
  <c r="F223" i="25"/>
  <c r="F374" i="25"/>
  <c r="F222" i="25"/>
  <c r="F221" i="25"/>
  <c r="F220" i="25"/>
  <c r="F219" i="25"/>
  <c r="F218" i="25"/>
  <c r="F217" i="25"/>
  <c r="F216" i="25"/>
  <c r="F215" i="25"/>
  <c r="F373" i="25"/>
  <c r="F214" i="25"/>
  <c r="F213" i="25"/>
  <c r="F420" i="25"/>
  <c r="F419" i="25"/>
  <c r="F211" i="25"/>
  <c r="F210" i="25"/>
  <c r="F209" i="25"/>
  <c r="F207" i="25"/>
  <c r="F206" i="25"/>
  <c r="F205" i="25"/>
  <c r="F204" i="25"/>
  <c r="F203" i="25"/>
  <c r="F392" i="25"/>
  <c r="F202" i="25"/>
  <c r="F201" i="25"/>
  <c r="F200" i="25"/>
  <c r="F199" i="25"/>
  <c r="F198" i="25"/>
  <c r="F396" i="25"/>
  <c r="F196" i="25"/>
  <c r="F195" i="25"/>
  <c r="F194" i="25"/>
  <c r="F193" i="25"/>
  <c r="F192" i="25"/>
  <c r="F191" i="25"/>
  <c r="F190" i="25"/>
  <c r="F189" i="25"/>
  <c r="F188" i="25"/>
  <c r="F187" i="25"/>
  <c r="F406" i="25"/>
  <c r="F186" i="25"/>
  <c r="F185" i="25"/>
  <c r="F184" i="25"/>
  <c r="F183" i="25"/>
  <c r="F182" i="25"/>
  <c r="F181" i="25"/>
  <c r="F180" i="25"/>
  <c r="F179" i="25"/>
  <c r="F178" i="25"/>
  <c r="F177" i="25"/>
  <c r="F176" i="25"/>
  <c r="F391" i="25"/>
  <c r="F175" i="25"/>
  <c r="F174" i="25"/>
  <c r="F173" i="25"/>
  <c r="F172" i="25"/>
  <c r="F171" i="25"/>
  <c r="F170" i="25"/>
  <c r="F169" i="25"/>
  <c r="F414" i="25"/>
  <c r="F405" i="25"/>
  <c r="F168" i="25"/>
  <c r="F167" i="25"/>
  <c r="F166" i="25"/>
  <c r="F165" i="25"/>
  <c r="F164" i="25"/>
  <c r="F163" i="25"/>
  <c r="F162" i="25"/>
  <c r="F161" i="25"/>
  <c r="F160" i="25"/>
  <c r="F380" i="25"/>
  <c r="F387" i="25"/>
  <c r="F159" i="25"/>
  <c r="F158" i="25"/>
  <c r="F157" i="25"/>
  <c r="F156" i="25"/>
  <c r="F155" i="25"/>
  <c r="F154" i="25"/>
  <c r="F153" i="25"/>
  <c r="F152" i="25"/>
  <c r="F151" i="25"/>
  <c r="F150" i="25"/>
  <c r="F149" i="25"/>
  <c r="F148" i="25"/>
  <c r="F147" i="25"/>
  <c r="F146" i="25"/>
  <c r="F145" i="25"/>
  <c r="F143" i="25"/>
  <c r="F142" i="25"/>
  <c r="F141" i="25"/>
  <c r="F140" i="25"/>
  <c r="F139" i="25"/>
  <c r="F137" i="25"/>
  <c r="F136" i="25"/>
  <c r="F135" i="25"/>
  <c r="F134" i="25"/>
  <c r="F133" i="25"/>
  <c r="F132" i="25"/>
  <c r="F131" i="25"/>
  <c r="F130" i="25"/>
  <c r="F129" i="25"/>
  <c r="F128" i="25"/>
  <c r="F127" i="25"/>
  <c r="F126" i="25"/>
  <c r="F125" i="25"/>
  <c r="F124" i="25"/>
  <c r="F123" i="25"/>
  <c r="F400" i="25"/>
  <c r="F122" i="25"/>
  <c r="F121" i="25"/>
  <c r="F120" i="25"/>
  <c r="F119" i="25"/>
  <c r="F411" i="25"/>
  <c r="F410" i="25"/>
  <c r="F117" i="25"/>
  <c r="F116" i="25"/>
  <c r="F115" i="25"/>
  <c r="F114" i="25"/>
  <c r="F399" i="25"/>
  <c r="F112" i="25"/>
  <c r="F111" i="25"/>
  <c r="F110" i="25"/>
  <c r="F109" i="25"/>
  <c r="F108" i="25"/>
  <c r="F107" i="25"/>
  <c r="F106" i="25"/>
  <c r="F105" i="25"/>
  <c r="F395" i="25"/>
  <c r="F104" i="25"/>
  <c r="F103" i="25"/>
  <c r="F102" i="25"/>
  <c r="F390" i="25"/>
  <c r="F101" i="25"/>
  <c r="F386" i="25"/>
  <c r="F100" i="25"/>
  <c r="F99" i="25"/>
  <c r="F98" i="25"/>
  <c r="F97" i="25"/>
  <c r="F96" i="25"/>
  <c r="F95" i="25"/>
  <c r="F94" i="25"/>
  <c r="F93" i="25"/>
  <c r="F92" i="25"/>
  <c r="F91" i="25"/>
  <c r="F369" i="25"/>
  <c r="F90" i="25"/>
  <c r="F89" i="25"/>
  <c r="F88" i="25"/>
  <c r="F87" i="25"/>
  <c r="F86" i="25"/>
  <c r="F85" i="25"/>
  <c r="F84" i="25"/>
  <c r="F83" i="25"/>
  <c r="F82" i="25"/>
  <c r="F81" i="25"/>
  <c r="F385" i="25"/>
  <c r="F80" i="25"/>
  <c r="F79" i="25"/>
  <c r="F78" i="25"/>
  <c r="F77" i="25"/>
  <c r="F76" i="25"/>
  <c r="F75" i="25"/>
  <c r="F74" i="25"/>
  <c r="F73" i="25"/>
  <c r="F261" i="25"/>
  <c r="F72" i="25"/>
  <c r="F71" i="25"/>
  <c r="F70" i="25"/>
  <c r="F69" i="25"/>
  <c r="F368" i="25"/>
  <c r="F68" i="25"/>
  <c r="F67" i="25"/>
  <c r="F66" i="25"/>
  <c r="F65" i="25"/>
  <c r="F64" i="25"/>
  <c r="F63" i="25"/>
  <c r="F379" i="25"/>
  <c r="F62" i="25"/>
  <c r="F61" i="25"/>
  <c r="F60" i="25"/>
  <c r="F59" i="25"/>
  <c r="F58" i="25"/>
  <c r="F57" i="25"/>
  <c r="F56" i="25"/>
  <c r="F55" i="25"/>
  <c r="F54" i="25"/>
  <c r="F53" i="25"/>
  <c r="F52" i="25"/>
  <c r="F51" i="25"/>
  <c r="F50" i="25"/>
  <c r="F49" i="25"/>
  <c r="F48" i="25"/>
  <c r="F47" i="25"/>
  <c r="F46" i="25"/>
  <c r="F45" i="25"/>
  <c r="F44" i="25"/>
  <c r="F43" i="25"/>
  <c r="F42" i="25"/>
  <c r="F41" i="25"/>
  <c r="F378" i="25"/>
  <c r="F40" i="25"/>
  <c r="F39" i="25"/>
  <c r="F38" i="25"/>
  <c r="F37" i="25"/>
  <c r="F36" i="25"/>
  <c r="F35" i="25"/>
  <c r="F34" i="25"/>
  <c r="F33" i="25"/>
  <c r="F32" i="25"/>
  <c r="F31" i="25"/>
  <c r="F30" i="25"/>
  <c r="F29" i="25"/>
  <c r="F27" i="25"/>
  <c r="F367" i="25"/>
  <c r="F26" i="25"/>
  <c r="F25" i="25"/>
  <c r="F24" i="25"/>
  <c r="F23" i="25"/>
  <c r="F22" i="25"/>
  <c r="F21" i="25"/>
  <c r="F20" i="25"/>
  <c r="F19" i="25"/>
  <c r="F18" i="25"/>
  <c r="F17" i="25"/>
  <c r="F16" i="25"/>
  <c r="F15" i="25"/>
  <c r="F14" i="25"/>
  <c r="F12" i="25"/>
  <c r="F11" i="25"/>
  <c r="F10" i="25"/>
  <c r="F9" i="25"/>
  <c r="F8" i="25"/>
  <c r="F7" i="25"/>
  <c r="F6" i="25"/>
  <c r="F5" i="25"/>
  <c r="F4" i="25"/>
  <c r="F3" i="25"/>
  <c r="F362" i="25"/>
  <c r="C356" i="25"/>
  <c r="C355" i="25"/>
  <c r="C354" i="25"/>
  <c r="C353" i="25"/>
  <c r="C352" i="25"/>
  <c r="C351" i="25"/>
  <c r="C407" i="25"/>
  <c r="C350" i="25"/>
  <c r="C349" i="25"/>
  <c r="C348" i="25"/>
  <c r="C347" i="25"/>
  <c r="C346" i="25"/>
  <c r="C416" i="25"/>
  <c r="C345" i="25"/>
  <c r="C344" i="25"/>
  <c r="C343" i="25"/>
  <c r="C364" i="25"/>
  <c r="C342" i="25"/>
  <c r="C341" i="25"/>
  <c r="C340" i="25"/>
  <c r="C339" i="25"/>
  <c r="C338" i="25"/>
  <c r="C370" i="25"/>
  <c r="C337" i="25"/>
  <c r="C336" i="25"/>
  <c r="C335" i="25"/>
  <c r="C334" i="25"/>
  <c r="C333" i="25"/>
  <c r="C332" i="25"/>
  <c r="C331" i="25"/>
  <c r="C330" i="25"/>
  <c r="C329" i="25"/>
  <c r="C328" i="25"/>
  <c r="C325" i="25"/>
  <c r="C363" i="25"/>
  <c r="C324" i="25"/>
  <c r="C323" i="25"/>
  <c r="C322" i="25"/>
  <c r="C321" i="25"/>
  <c r="C320" i="25"/>
  <c r="C319" i="25"/>
  <c r="C318" i="25"/>
  <c r="C317" i="25"/>
  <c r="C316" i="25"/>
  <c r="C315" i="25"/>
  <c r="C314" i="25"/>
  <c r="C313" i="25"/>
  <c r="C312" i="25"/>
  <c r="C311" i="25"/>
  <c r="C310" i="25"/>
  <c r="C309" i="25"/>
  <c r="C415" i="25"/>
  <c r="C307" i="25"/>
  <c r="C306" i="25"/>
  <c r="C305" i="25"/>
  <c r="C304" i="25"/>
  <c r="C303" i="25"/>
  <c r="C302" i="25"/>
  <c r="C301" i="25"/>
  <c r="C300" i="25"/>
  <c r="C299" i="25"/>
  <c r="C298" i="25"/>
  <c r="C297" i="25"/>
  <c r="C296" i="25"/>
  <c r="C295" i="25"/>
  <c r="C294" i="25"/>
  <c r="C293" i="25"/>
  <c r="C292" i="25"/>
  <c r="C291" i="25"/>
  <c r="C290" i="25"/>
  <c r="C289" i="25"/>
  <c r="C288" i="25"/>
  <c r="C287" i="25"/>
  <c r="C286" i="25"/>
  <c r="C285" i="25"/>
  <c r="C284" i="25"/>
  <c r="C283" i="25"/>
  <c r="C282" i="25"/>
  <c r="C281" i="25"/>
  <c r="C401" i="25"/>
  <c r="C280" i="25"/>
  <c r="C382" i="25"/>
  <c r="C279" i="25"/>
  <c r="C278" i="25"/>
  <c r="C277" i="25"/>
  <c r="C276" i="25"/>
  <c r="C275" i="25"/>
  <c r="C274" i="25"/>
  <c r="C273" i="25"/>
  <c r="C272" i="25"/>
  <c r="C271" i="25"/>
  <c r="C270" i="25"/>
  <c r="C269" i="25"/>
  <c r="C268" i="25"/>
  <c r="C267" i="25"/>
  <c r="C266" i="25"/>
  <c r="C265" i="25"/>
  <c r="C264" i="25"/>
  <c r="C263" i="25"/>
  <c r="C262" i="25"/>
  <c r="C260" i="25"/>
  <c r="C375" i="25"/>
  <c r="C259" i="25"/>
  <c r="C258" i="25"/>
  <c r="C257" i="25"/>
  <c r="C256" i="25"/>
  <c r="C255" i="25"/>
  <c r="C254" i="25"/>
  <c r="C253" i="25"/>
  <c r="C252" i="25"/>
  <c r="C251" i="25"/>
  <c r="C250" i="25"/>
  <c r="C249" i="25"/>
  <c r="C248" i="25"/>
  <c r="C247" i="25"/>
  <c r="C246" i="25"/>
  <c r="C245" i="25"/>
  <c r="C244" i="25"/>
  <c r="C243" i="25"/>
  <c r="C242" i="25"/>
  <c r="C241" i="25"/>
  <c r="C240" i="25"/>
  <c r="C239" i="25"/>
  <c r="C238" i="25"/>
  <c r="C237" i="25"/>
  <c r="C236" i="25"/>
  <c r="C235" i="25"/>
  <c r="C234" i="25"/>
  <c r="C233" i="25"/>
  <c r="C232" i="25"/>
  <c r="C231" i="25"/>
  <c r="C230" i="25"/>
  <c r="C381" i="25"/>
  <c r="C229" i="25"/>
  <c r="C228" i="25"/>
  <c r="C227" i="25"/>
  <c r="C226" i="25"/>
  <c r="C225" i="25"/>
  <c r="C224" i="25"/>
  <c r="C223" i="25"/>
  <c r="C374" i="25"/>
  <c r="C222" i="25"/>
  <c r="C221" i="25"/>
  <c r="C220" i="25"/>
  <c r="C219" i="25"/>
  <c r="C218" i="25"/>
  <c r="C217" i="25"/>
  <c r="C216" i="25"/>
  <c r="C215" i="25"/>
  <c r="C373" i="25"/>
  <c r="C214" i="25"/>
  <c r="C213" i="25"/>
  <c r="C420" i="25"/>
  <c r="C419" i="25"/>
  <c r="C211" i="25"/>
  <c r="C210" i="25"/>
  <c r="C209" i="25"/>
  <c r="C207" i="25"/>
  <c r="C206" i="25"/>
  <c r="C205" i="25"/>
  <c r="C204" i="25"/>
  <c r="C203" i="25"/>
  <c r="C392" i="25"/>
  <c r="C202" i="25"/>
  <c r="C201" i="25"/>
  <c r="C200" i="25"/>
  <c r="C199" i="25"/>
  <c r="C198" i="25"/>
  <c r="C396" i="25"/>
  <c r="C196" i="25"/>
  <c r="C195" i="25"/>
  <c r="C194" i="25"/>
  <c r="C193" i="25"/>
  <c r="C192" i="25"/>
  <c r="C191" i="25"/>
  <c r="C190" i="25"/>
  <c r="C189" i="25"/>
  <c r="C188" i="25"/>
  <c r="C187" i="25"/>
  <c r="C406" i="25"/>
  <c r="C186" i="25"/>
  <c r="C185" i="25"/>
  <c r="C184" i="25"/>
  <c r="C183" i="25"/>
  <c r="C182" i="25"/>
  <c r="C181" i="25"/>
  <c r="C180" i="25"/>
  <c r="C179" i="25"/>
  <c r="C178" i="25"/>
  <c r="C177" i="25"/>
  <c r="C176" i="25"/>
  <c r="C391" i="25"/>
  <c r="C175" i="25"/>
  <c r="C174" i="25"/>
  <c r="C173" i="25"/>
  <c r="C172" i="25"/>
  <c r="C171" i="25"/>
  <c r="C170" i="25"/>
  <c r="C169" i="25"/>
  <c r="C414" i="25"/>
  <c r="C405" i="25"/>
  <c r="C168" i="25"/>
  <c r="C167" i="25"/>
  <c r="C166" i="25"/>
  <c r="C165" i="25"/>
  <c r="C164" i="25"/>
  <c r="C163" i="25"/>
  <c r="C162" i="25"/>
  <c r="C161" i="25"/>
  <c r="C160" i="25"/>
  <c r="C380" i="25"/>
  <c r="C387" i="25"/>
  <c r="C159" i="25"/>
  <c r="C158" i="25"/>
  <c r="C157" i="25"/>
  <c r="C156" i="25"/>
  <c r="C155" i="25"/>
  <c r="C154" i="25"/>
  <c r="C153" i="25"/>
  <c r="C152" i="25"/>
  <c r="C151" i="25"/>
  <c r="C150" i="25"/>
  <c r="C149" i="25"/>
  <c r="C148" i="25"/>
  <c r="C147" i="25"/>
  <c r="C146" i="25"/>
  <c r="C145" i="25"/>
  <c r="C143" i="25"/>
  <c r="C142" i="25"/>
  <c r="C141" i="25"/>
  <c r="C140" i="25"/>
  <c r="C139" i="25"/>
  <c r="C137" i="25"/>
  <c r="C136" i="25"/>
  <c r="C135" i="25"/>
  <c r="C134" i="25"/>
  <c r="C133" i="25"/>
  <c r="C132" i="25"/>
  <c r="C131" i="25"/>
  <c r="C130" i="25"/>
  <c r="C129" i="25"/>
  <c r="C128" i="25"/>
  <c r="C127" i="25"/>
  <c r="C126" i="25"/>
  <c r="C125" i="25"/>
  <c r="C124" i="25"/>
  <c r="C123" i="25"/>
  <c r="C400" i="25"/>
  <c r="C122" i="25"/>
  <c r="C121" i="25"/>
  <c r="C120" i="25"/>
  <c r="C119" i="25"/>
  <c r="C411" i="25"/>
  <c r="C410" i="25"/>
  <c r="C117" i="25"/>
  <c r="C116" i="25"/>
  <c r="C115" i="25"/>
  <c r="C114" i="25"/>
  <c r="C399" i="25"/>
  <c r="C112" i="25"/>
  <c r="C111" i="25"/>
  <c r="C110" i="25"/>
  <c r="C109" i="25"/>
  <c r="C108" i="25"/>
  <c r="C107" i="25"/>
  <c r="C106" i="25"/>
  <c r="C105" i="25"/>
  <c r="C395" i="25"/>
  <c r="C104" i="25"/>
  <c r="C103" i="25"/>
  <c r="C102" i="25"/>
  <c r="C390" i="25"/>
  <c r="C101" i="25"/>
  <c r="C386" i="25"/>
  <c r="C100" i="25"/>
  <c r="C99" i="25"/>
  <c r="C98" i="25"/>
  <c r="C97" i="25"/>
  <c r="C96" i="25"/>
  <c r="C95" i="25"/>
  <c r="C94" i="25"/>
  <c r="C93" i="25"/>
  <c r="C92" i="25"/>
  <c r="C91" i="25"/>
  <c r="C369" i="25"/>
  <c r="C90" i="25"/>
  <c r="C89" i="25"/>
  <c r="C88" i="25"/>
  <c r="C87" i="25"/>
  <c r="C86" i="25"/>
  <c r="C85" i="25"/>
  <c r="C84" i="25"/>
  <c r="C83" i="25"/>
  <c r="C82" i="25"/>
  <c r="C81" i="25"/>
  <c r="C385" i="25"/>
  <c r="C80" i="25"/>
  <c r="C79" i="25"/>
  <c r="C78" i="25"/>
  <c r="C77" i="25"/>
  <c r="C76" i="25"/>
  <c r="C75" i="25"/>
  <c r="C74" i="25"/>
  <c r="C73" i="25"/>
  <c r="C261" i="25"/>
  <c r="C72" i="25"/>
  <c r="C71" i="25"/>
  <c r="C70" i="25"/>
  <c r="C69" i="25"/>
  <c r="C368" i="25"/>
  <c r="C68" i="25"/>
  <c r="C67" i="25"/>
  <c r="C66" i="25"/>
  <c r="C65" i="25"/>
  <c r="C64" i="25"/>
  <c r="C63" i="25"/>
  <c r="C379" i="25"/>
  <c r="C62" i="25"/>
  <c r="C61" i="25"/>
  <c r="C60" i="25"/>
  <c r="C59" i="25"/>
  <c r="C58" i="25"/>
  <c r="C57" i="25"/>
  <c r="C56" i="25"/>
  <c r="C55" i="25"/>
  <c r="C54" i="25"/>
  <c r="C53" i="25"/>
  <c r="C52" i="25"/>
  <c r="C51" i="25"/>
  <c r="C50" i="25"/>
  <c r="C49" i="25"/>
  <c r="C48" i="25"/>
  <c r="C47" i="25"/>
  <c r="C46" i="25"/>
  <c r="C45" i="25"/>
  <c r="C44" i="25"/>
  <c r="C43" i="25"/>
  <c r="C42" i="25"/>
  <c r="C41" i="25"/>
  <c r="C378" i="25"/>
  <c r="C40" i="25"/>
  <c r="C39" i="25"/>
  <c r="C38" i="25"/>
  <c r="C37" i="25"/>
  <c r="C36" i="25"/>
  <c r="C35" i="25"/>
  <c r="C34" i="25"/>
  <c r="C33" i="25"/>
  <c r="C32" i="25"/>
  <c r="C31" i="25"/>
  <c r="C30" i="25"/>
  <c r="C29" i="25"/>
  <c r="C27" i="25"/>
  <c r="C367" i="25"/>
  <c r="C26" i="25"/>
  <c r="C25" i="25"/>
  <c r="C24" i="25"/>
  <c r="C23" i="25"/>
  <c r="C22" i="25"/>
  <c r="C21" i="25"/>
  <c r="C20" i="25"/>
  <c r="C19" i="25"/>
  <c r="C18" i="25"/>
  <c r="C17" i="25"/>
  <c r="C16" i="25"/>
  <c r="C15" i="25"/>
  <c r="C14" i="25"/>
  <c r="C12" i="25"/>
  <c r="C11" i="25"/>
  <c r="C10" i="25"/>
  <c r="C9" i="25"/>
  <c r="C8" i="25"/>
  <c r="C7" i="25"/>
  <c r="C6" i="25"/>
  <c r="C5" i="25"/>
  <c r="C4" i="25"/>
  <c r="C3" i="25"/>
  <c r="C362" i="25"/>
  <c r="F2" i="25"/>
  <c r="C2" i="25"/>
  <c r="E357" i="25" l="1"/>
  <c r="C357" i="25"/>
  <c r="G36" i="6" s="1"/>
  <c r="F357" i="25"/>
  <c r="F36" i="6" s="1"/>
  <c r="F417" i="25"/>
  <c r="F421" i="25"/>
  <c r="F412" i="25"/>
  <c r="F408" i="25"/>
  <c r="F397" i="25"/>
  <c r="F402" i="25"/>
  <c r="F393" i="25"/>
  <c r="F388" i="25"/>
  <c r="F383" i="25"/>
  <c r="F376" i="25"/>
  <c r="F365" i="25"/>
  <c r="F371" i="25"/>
  <c r="G415" i="22"/>
  <c r="F415" i="22"/>
  <c r="E415" i="22"/>
  <c r="D415" i="22"/>
  <c r="C415" i="22"/>
  <c r="B415" i="22"/>
  <c r="G408" i="22"/>
  <c r="F408" i="22"/>
  <c r="E408" i="22"/>
  <c r="D408" i="22"/>
  <c r="C408" i="22"/>
  <c r="B408" i="22"/>
  <c r="G403" i="22"/>
  <c r="F403" i="22"/>
  <c r="E403" i="22"/>
  <c r="D403" i="22"/>
  <c r="C403" i="22"/>
  <c r="B403" i="22"/>
  <c r="G398" i="22"/>
  <c r="F398" i="22"/>
  <c r="E398" i="22"/>
  <c r="D398" i="22"/>
  <c r="C398" i="22"/>
  <c r="B398" i="22"/>
  <c r="G392" i="22"/>
  <c r="F392" i="22"/>
  <c r="E392" i="22"/>
  <c r="D392" i="22"/>
  <c r="C392" i="22"/>
  <c r="B392" i="22"/>
  <c r="G388" i="22"/>
  <c r="F388" i="22"/>
  <c r="E388" i="22"/>
  <c r="C388" i="22"/>
  <c r="B388" i="22"/>
  <c r="D385" i="22"/>
  <c r="D388" i="22" s="1"/>
  <c r="G383" i="22"/>
  <c r="F383" i="22"/>
  <c r="E383" i="22"/>
  <c r="D383" i="22"/>
  <c r="C383" i="22"/>
  <c r="B383" i="22"/>
  <c r="G379" i="22"/>
  <c r="F379" i="22"/>
  <c r="E379" i="22"/>
  <c r="D379" i="22"/>
  <c r="C379" i="22"/>
  <c r="B379" i="22"/>
  <c r="G373" i="22"/>
  <c r="F373" i="22"/>
  <c r="E373" i="22"/>
  <c r="D373" i="22"/>
  <c r="C373" i="22"/>
  <c r="B373" i="22"/>
  <c r="G369" i="22" l="1"/>
  <c r="F369" i="22"/>
  <c r="E369" i="22"/>
  <c r="D369" i="22"/>
  <c r="C369" i="22"/>
  <c r="B369" i="22"/>
  <c r="F364" i="22" l="1"/>
  <c r="E364" i="22"/>
  <c r="D364" i="22"/>
  <c r="C364" i="22"/>
  <c r="B364" i="22"/>
  <c r="G361" i="22"/>
  <c r="G364" i="22" s="1"/>
  <c r="C10" i="1" l="1"/>
  <c r="C43" i="1"/>
  <c r="C46" i="1"/>
  <c r="F17" i="6"/>
  <c r="K54" i="3" s="1"/>
  <c r="K78" i="3" s="1"/>
  <c r="B14" i="6"/>
  <c r="D54" i="3" s="1"/>
  <c r="D78" i="3" s="1"/>
  <c r="Q357" i="22"/>
  <c r="P357" i="22"/>
  <c r="N357" i="22"/>
  <c r="M357" i="22"/>
  <c r="J357" i="22"/>
  <c r="I357" i="22"/>
  <c r="H357" i="22"/>
  <c r="C35" i="1" s="1"/>
  <c r="G357" i="22"/>
  <c r="C4" i="1" s="1"/>
  <c r="F357" i="22"/>
  <c r="C36" i="1" s="1"/>
  <c r="E357" i="22"/>
  <c r="C47" i="1" s="1"/>
  <c r="D357" i="22"/>
  <c r="C48" i="1" s="1"/>
  <c r="C357" i="22"/>
  <c r="C3" i="1" s="1"/>
  <c r="B357" i="22"/>
  <c r="O356" i="22"/>
  <c r="L356" i="22"/>
  <c r="O355" i="22"/>
  <c r="L355" i="22"/>
  <c r="O354" i="22"/>
  <c r="L354" i="22"/>
  <c r="O353" i="22"/>
  <c r="L353" i="22"/>
  <c r="O352" i="22"/>
  <c r="L352" i="22"/>
  <c r="O351" i="22"/>
  <c r="L351" i="22"/>
  <c r="O350" i="22"/>
  <c r="L350" i="22"/>
  <c r="O349" i="22"/>
  <c r="L349" i="22"/>
  <c r="L348" i="22"/>
  <c r="O347" i="22"/>
  <c r="L347" i="22"/>
  <c r="O346" i="22"/>
  <c r="L346" i="22"/>
  <c r="O345" i="22"/>
  <c r="L345" i="22"/>
  <c r="O344" i="22"/>
  <c r="L344" i="22"/>
  <c r="O343" i="22"/>
  <c r="L343" i="22"/>
  <c r="O342" i="22"/>
  <c r="L342" i="22"/>
  <c r="O341" i="22"/>
  <c r="L341" i="22"/>
  <c r="O340" i="22"/>
  <c r="L340" i="22"/>
  <c r="O339" i="22"/>
  <c r="L339" i="22"/>
  <c r="O338" i="22"/>
  <c r="L338" i="22"/>
  <c r="O337" i="22"/>
  <c r="L337" i="22"/>
  <c r="O336" i="22"/>
  <c r="L336" i="22"/>
  <c r="O335" i="22"/>
  <c r="L335" i="22"/>
  <c r="O334" i="22"/>
  <c r="L334" i="22"/>
  <c r="O333" i="22"/>
  <c r="L333" i="22"/>
  <c r="O332" i="22"/>
  <c r="L332" i="22"/>
  <c r="O331" i="22"/>
  <c r="L331" i="22"/>
  <c r="L330" i="22"/>
  <c r="O329" i="22"/>
  <c r="L329" i="22"/>
  <c r="O328" i="22"/>
  <c r="L328" i="22"/>
  <c r="O327" i="22"/>
  <c r="L327" i="22"/>
  <c r="O326" i="22"/>
  <c r="L326" i="22"/>
  <c r="O325" i="22"/>
  <c r="L325" i="22"/>
  <c r="O324" i="22"/>
  <c r="L324" i="22"/>
  <c r="O323" i="22"/>
  <c r="L323" i="22"/>
  <c r="O322" i="22"/>
  <c r="L322" i="22"/>
  <c r="O321" i="22"/>
  <c r="L321" i="22"/>
  <c r="O320" i="22"/>
  <c r="L320" i="22"/>
  <c r="O319" i="22"/>
  <c r="L319" i="22"/>
  <c r="O318" i="22"/>
  <c r="L318" i="22"/>
  <c r="O317" i="22"/>
  <c r="L317" i="22"/>
  <c r="L316" i="22"/>
  <c r="O315" i="22"/>
  <c r="L315" i="22"/>
  <c r="O314" i="22"/>
  <c r="L314" i="22"/>
  <c r="O313" i="22"/>
  <c r="L313" i="22"/>
  <c r="O312" i="22"/>
  <c r="L312" i="22"/>
  <c r="O311" i="22"/>
  <c r="L311" i="22"/>
  <c r="O310" i="22"/>
  <c r="L310" i="22"/>
  <c r="O309" i="22"/>
  <c r="L309" i="22"/>
  <c r="O308" i="22"/>
  <c r="L308" i="22"/>
  <c r="O307" i="22"/>
  <c r="L307" i="22"/>
  <c r="O306" i="22"/>
  <c r="L306" i="22"/>
  <c r="O305" i="22"/>
  <c r="L305" i="22"/>
  <c r="O304" i="22"/>
  <c r="L304" i="22"/>
  <c r="O303" i="22"/>
  <c r="L303" i="22"/>
  <c r="O302" i="22"/>
  <c r="L302" i="22"/>
  <c r="O301" i="22"/>
  <c r="L301" i="22"/>
  <c r="O300" i="22"/>
  <c r="L300" i="22"/>
  <c r="O299" i="22"/>
  <c r="L299" i="22"/>
  <c r="O298" i="22"/>
  <c r="L298" i="22"/>
  <c r="O297" i="22"/>
  <c r="L297" i="22"/>
  <c r="O296" i="22"/>
  <c r="L296" i="22"/>
  <c r="O295" i="22"/>
  <c r="L295" i="22"/>
  <c r="O294" i="22"/>
  <c r="L294" i="22"/>
  <c r="O293" i="22"/>
  <c r="L293" i="22"/>
  <c r="O292" i="22"/>
  <c r="L292" i="22"/>
  <c r="O291" i="22"/>
  <c r="L291" i="22"/>
  <c r="O290" i="22"/>
  <c r="L290" i="22"/>
  <c r="O289" i="22"/>
  <c r="L289" i="22"/>
  <c r="O288" i="22"/>
  <c r="L288" i="22"/>
  <c r="O287" i="22"/>
  <c r="L287" i="22"/>
  <c r="O286" i="22"/>
  <c r="L286" i="22"/>
  <c r="O285" i="22"/>
  <c r="L285" i="22"/>
  <c r="O284" i="22"/>
  <c r="L284" i="22"/>
  <c r="O283" i="22"/>
  <c r="L283" i="22"/>
  <c r="O282" i="22"/>
  <c r="L282" i="22"/>
  <c r="O281" i="22"/>
  <c r="L281" i="22"/>
  <c r="O280" i="22"/>
  <c r="L280" i="22"/>
  <c r="O279" i="22"/>
  <c r="L279" i="22"/>
  <c r="O278" i="22"/>
  <c r="L278" i="22"/>
  <c r="O277" i="22"/>
  <c r="L277" i="22"/>
  <c r="O276" i="22"/>
  <c r="L276" i="22"/>
  <c r="O275" i="22"/>
  <c r="L275" i="22"/>
  <c r="O274" i="22"/>
  <c r="L274" i="22"/>
  <c r="O273" i="22"/>
  <c r="L273" i="22"/>
  <c r="O272" i="22"/>
  <c r="L272" i="22"/>
  <c r="O271" i="22"/>
  <c r="L271" i="22"/>
  <c r="O270" i="22"/>
  <c r="L270" i="22"/>
  <c r="O269" i="22"/>
  <c r="L269" i="22"/>
  <c r="O268" i="22"/>
  <c r="L268" i="22"/>
  <c r="O267" i="22"/>
  <c r="L267" i="22"/>
  <c r="O266" i="22"/>
  <c r="L266" i="22"/>
  <c r="O265" i="22"/>
  <c r="L265" i="22"/>
  <c r="O264" i="22"/>
  <c r="L264" i="22"/>
  <c r="O263" i="22"/>
  <c r="L263" i="22"/>
  <c r="O262" i="22"/>
  <c r="L262" i="22"/>
  <c r="O261" i="22"/>
  <c r="L261" i="22"/>
  <c r="O260" i="22"/>
  <c r="L260" i="22"/>
  <c r="O259" i="22"/>
  <c r="L259" i="22"/>
  <c r="O258" i="22"/>
  <c r="L258" i="22"/>
  <c r="O257" i="22"/>
  <c r="L257" i="22"/>
  <c r="O256" i="22"/>
  <c r="L256" i="22"/>
  <c r="O255" i="22"/>
  <c r="L255" i="22"/>
  <c r="O254" i="22"/>
  <c r="L254" i="22"/>
  <c r="O253" i="22"/>
  <c r="L253" i="22"/>
  <c r="O252" i="22"/>
  <c r="L252" i="22"/>
  <c r="O251" i="22"/>
  <c r="L251" i="22"/>
  <c r="O250" i="22"/>
  <c r="L250" i="22"/>
  <c r="O249" i="22"/>
  <c r="L249" i="22"/>
  <c r="O248" i="22"/>
  <c r="L248" i="22"/>
  <c r="O247" i="22"/>
  <c r="L247" i="22"/>
  <c r="O246" i="22"/>
  <c r="L246" i="22"/>
  <c r="O245" i="22"/>
  <c r="L245" i="22"/>
  <c r="O244" i="22"/>
  <c r="L244" i="22"/>
  <c r="O243" i="22"/>
  <c r="L243" i="22"/>
  <c r="O242" i="22"/>
  <c r="L242" i="22"/>
  <c r="O241" i="22"/>
  <c r="L241" i="22"/>
  <c r="O240" i="22"/>
  <c r="L240" i="22"/>
  <c r="O239" i="22"/>
  <c r="L239" i="22"/>
  <c r="O238" i="22"/>
  <c r="L238" i="22"/>
  <c r="O237" i="22"/>
  <c r="L237" i="22"/>
  <c r="O236" i="22"/>
  <c r="L236" i="22"/>
  <c r="O235" i="22"/>
  <c r="L235" i="22"/>
  <c r="O234" i="22"/>
  <c r="L234" i="22"/>
  <c r="O233" i="22"/>
  <c r="L233" i="22"/>
  <c r="O232" i="22"/>
  <c r="L232" i="22"/>
  <c r="O231" i="22"/>
  <c r="L231" i="22"/>
  <c r="O230" i="22"/>
  <c r="L230" i="22"/>
  <c r="O229" i="22"/>
  <c r="L229" i="22"/>
  <c r="O228" i="22"/>
  <c r="L228" i="22"/>
  <c r="O227" i="22"/>
  <c r="L227" i="22"/>
  <c r="O226" i="22"/>
  <c r="L226" i="22"/>
  <c r="O225" i="22"/>
  <c r="L225" i="22"/>
  <c r="O224" i="22"/>
  <c r="L224" i="22"/>
  <c r="O223" i="22"/>
  <c r="L223" i="22"/>
  <c r="O222" i="22"/>
  <c r="L222" i="22"/>
  <c r="O221" i="22"/>
  <c r="L221" i="22"/>
  <c r="O220" i="22"/>
  <c r="L220" i="22"/>
  <c r="O219" i="22"/>
  <c r="L219" i="22"/>
  <c r="O218" i="22"/>
  <c r="L218" i="22"/>
  <c r="O217" i="22"/>
  <c r="L217" i="22"/>
  <c r="O216" i="22"/>
  <c r="L216" i="22"/>
  <c r="O215" i="22"/>
  <c r="L215" i="22"/>
  <c r="O214" i="22"/>
  <c r="L214" i="22"/>
  <c r="O213" i="22"/>
  <c r="L213" i="22"/>
  <c r="O212" i="22"/>
  <c r="L212" i="22"/>
  <c r="O211" i="22"/>
  <c r="L211" i="22"/>
  <c r="O210" i="22"/>
  <c r="L210" i="22"/>
  <c r="O209" i="22"/>
  <c r="L209" i="22"/>
  <c r="O208" i="22"/>
  <c r="L208" i="22"/>
  <c r="O207" i="22"/>
  <c r="L207" i="22"/>
  <c r="O206" i="22"/>
  <c r="L206" i="22"/>
  <c r="O205" i="22"/>
  <c r="L205" i="22"/>
  <c r="O204" i="22"/>
  <c r="L204" i="22"/>
  <c r="O203" i="22"/>
  <c r="L203" i="22"/>
  <c r="O202" i="22"/>
  <c r="L202" i="22"/>
  <c r="O201" i="22"/>
  <c r="L201" i="22"/>
  <c r="O200" i="22"/>
  <c r="L200" i="22"/>
  <c r="O199" i="22"/>
  <c r="L199" i="22"/>
  <c r="O198" i="22"/>
  <c r="L198" i="22"/>
  <c r="O197" i="22"/>
  <c r="L197" i="22"/>
  <c r="O196" i="22"/>
  <c r="L196" i="22"/>
  <c r="O195" i="22"/>
  <c r="L195" i="22"/>
  <c r="L194" i="22"/>
  <c r="O193" i="22"/>
  <c r="L193" i="22"/>
  <c r="O192" i="22"/>
  <c r="L192" i="22"/>
  <c r="O191" i="22"/>
  <c r="L191" i="22"/>
  <c r="O190" i="22"/>
  <c r="L190" i="22"/>
  <c r="O189" i="22"/>
  <c r="L189" i="22"/>
  <c r="O188" i="22"/>
  <c r="L188" i="22"/>
  <c r="O187" i="22"/>
  <c r="L187" i="22"/>
  <c r="O186" i="22"/>
  <c r="L186" i="22"/>
  <c r="O185" i="22"/>
  <c r="L185" i="22"/>
  <c r="O184" i="22"/>
  <c r="L184" i="22"/>
  <c r="O183" i="22"/>
  <c r="L183" i="22"/>
  <c r="O182" i="22"/>
  <c r="L182" i="22"/>
  <c r="O181" i="22"/>
  <c r="L181" i="22"/>
  <c r="O180" i="22"/>
  <c r="L180" i="22"/>
  <c r="O179" i="22"/>
  <c r="L179" i="22"/>
  <c r="O178" i="22"/>
  <c r="L178" i="22"/>
  <c r="O177" i="22"/>
  <c r="L177" i="22"/>
  <c r="O176" i="22"/>
  <c r="L176" i="22"/>
  <c r="O175" i="22"/>
  <c r="L175" i="22"/>
  <c r="O174" i="22"/>
  <c r="L174" i="22"/>
  <c r="O173" i="22"/>
  <c r="L173" i="22"/>
  <c r="O172" i="22"/>
  <c r="L172" i="22"/>
  <c r="O171" i="22"/>
  <c r="L171" i="22"/>
  <c r="O170" i="22"/>
  <c r="L170" i="22"/>
  <c r="O169" i="22"/>
  <c r="L169" i="22"/>
  <c r="O168" i="22"/>
  <c r="L168" i="22"/>
  <c r="O167" i="22"/>
  <c r="L167" i="22"/>
  <c r="O166" i="22"/>
  <c r="L166" i="22"/>
  <c r="O165" i="22"/>
  <c r="L165" i="22"/>
  <c r="O164" i="22"/>
  <c r="L164" i="22"/>
  <c r="O163" i="22"/>
  <c r="L163" i="22"/>
  <c r="O162" i="22"/>
  <c r="L162" i="22"/>
  <c r="O161" i="22"/>
  <c r="L161" i="22"/>
  <c r="O160" i="22"/>
  <c r="L160" i="22"/>
  <c r="O159" i="22"/>
  <c r="L159" i="22"/>
  <c r="O158" i="22"/>
  <c r="L158" i="22"/>
  <c r="O157" i="22"/>
  <c r="L157" i="22"/>
  <c r="O156" i="22"/>
  <c r="L156" i="22"/>
  <c r="O155" i="22"/>
  <c r="L155" i="22"/>
  <c r="O154" i="22"/>
  <c r="L154" i="22"/>
  <c r="O153" i="22"/>
  <c r="L153" i="22"/>
  <c r="O152" i="22"/>
  <c r="L152" i="22"/>
  <c r="O151" i="22"/>
  <c r="L151" i="22"/>
  <c r="O150" i="22"/>
  <c r="L150" i="22"/>
  <c r="O149" i="22"/>
  <c r="L149" i="22"/>
  <c r="O148" i="22"/>
  <c r="L148" i="22"/>
  <c r="O147" i="22"/>
  <c r="L147" i="22"/>
  <c r="O146" i="22"/>
  <c r="L146" i="22"/>
  <c r="O145" i="22"/>
  <c r="L145" i="22"/>
  <c r="O144" i="22"/>
  <c r="L144" i="22"/>
  <c r="O143" i="22"/>
  <c r="L143" i="22"/>
  <c r="O142" i="22"/>
  <c r="L142" i="22"/>
  <c r="O141" i="22"/>
  <c r="L141" i="22"/>
  <c r="O140" i="22"/>
  <c r="L140" i="22"/>
  <c r="O139" i="22"/>
  <c r="L139" i="22"/>
  <c r="O138" i="22"/>
  <c r="L138" i="22"/>
  <c r="O137" i="22"/>
  <c r="L137" i="22"/>
  <c r="O136" i="22"/>
  <c r="L136" i="22"/>
  <c r="O135" i="22"/>
  <c r="L135" i="22"/>
  <c r="O134" i="22"/>
  <c r="L134" i="22"/>
  <c r="O133" i="22"/>
  <c r="L133" i="22"/>
  <c r="O132" i="22"/>
  <c r="L132" i="22"/>
  <c r="O131" i="22"/>
  <c r="L131" i="22"/>
  <c r="O130" i="22"/>
  <c r="L130" i="22"/>
  <c r="O129" i="22"/>
  <c r="L129" i="22"/>
  <c r="O128" i="22"/>
  <c r="L128" i="22"/>
  <c r="O127" i="22"/>
  <c r="L127" i="22"/>
  <c r="O126" i="22"/>
  <c r="L126" i="22"/>
  <c r="O125" i="22"/>
  <c r="L125" i="22"/>
  <c r="O124" i="22"/>
  <c r="L124" i="22"/>
  <c r="O123" i="22"/>
  <c r="L123" i="22"/>
  <c r="O122" i="22"/>
  <c r="L122" i="22"/>
  <c r="O121" i="22"/>
  <c r="L121" i="22"/>
  <c r="O120" i="22"/>
  <c r="L120" i="22"/>
  <c r="O119" i="22"/>
  <c r="L119" i="22"/>
  <c r="O118" i="22"/>
  <c r="L118" i="22"/>
  <c r="O117" i="22"/>
  <c r="L117" i="22"/>
  <c r="O116" i="22"/>
  <c r="L116" i="22"/>
  <c r="O115" i="22"/>
  <c r="L115" i="22"/>
  <c r="O114" i="22"/>
  <c r="L114" i="22"/>
  <c r="O113" i="22"/>
  <c r="L113" i="22"/>
  <c r="O112" i="22"/>
  <c r="L112" i="22"/>
  <c r="O111" i="22"/>
  <c r="L111" i="22"/>
  <c r="O110" i="22"/>
  <c r="L110" i="22"/>
  <c r="O109" i="22"/>
  <c r="L109" i="22"/>
  <c r="O108" i="22"/>
  <c r="L108" i="22"/>
  <c r="O107" i="22"/>
  <c r="L107" i="22"/>
  <c r="O106" i="22"/>
  <c r="L106" i="22"/>
  <c r="O105" i="22"/>
  <c r="L105" i="22"/>
  <c r="O104" i="22"/>
  <c r="L104" i="22"/>
  <c r="O103" i="22"/>
  <c r="L103" i="22"/>
  <c r="O102" i="22"/>
  <c r="L102" i="22"/>
  <c r="O101" i="22"/>
  <c r="L101" i="22"/>
  <c r="O100" i="22"/>
  <c r="L100" i="22"/>
  <c r="O99" i="22"/>
  <c r="L99" i="22"/>
  <c r="O98" i="22"/>
  <c r="L98" i="22"/>
  <c r="O97" i="22"/>
  <c r="L97" i="22"/>
  <c r="O96" i="22"/>
  <c r="L96" i="22"/>
  <c r="O95" i="22"/>
  <c r="L95" i="22"/>
  <c r="O94" i="22"/>
  <c r="L94" i="22"/>
  <c r="O93" i="22"/>
  <c r="L93" i="22"/>
  <c r="O92" i="22"/>
  <c r="L92" i="22"/>
  <c r="O91" i="22"/>
  <c r="L91" i="22"/>
  <c r="O90" i="22"/>
  <c r="L90" i="22"/>
  <c r="O89" i="22"/>
  <c r="L89" i="22"/>
  <c r="O88" i="22"/>
  <c r="L88" i="22"/>
  <c r="O87" i="22"/>
  <c r="L87" i="22"/>
  <c r="O86" i="22"/>
  <c r="L86" i="22"/>
  <c r="O85" i="22"/>
  <c r="L85" i="22"/>
  <c r="O84" i="22"/>
  <c r="L84" i="22"/>
  <c r="O83" i="22"/>
  <c r="L83" i="22"/>
  <c r="O82" i="22"/>
  <c r="L82" i="22"/>
  <c r="O81" i="22"/>
  <c r="L81" i="22"/>
  <c r="O80" i="22"/>
  <c r="L80" i="22"/>
  <c r="O79" i="22"/>
  <c r="L79" i="22"/>
  <c r="O78" i="22"/>
  <c r="L78" i="22"/>
  <c r="O77" i="22"/>
  <c r="L77" i="22"/>
  <c r="O76" i="22"/>
  <c r="L76" i="22"/>
  <c r="O75" i="22"/>
  <c r="L75" i="22"/>
  <c r="O74" i="22"/>
  <c r="L74" i="22"/>
  <c r="O73" i="22"/>
  <c r="L73" i="22"/>
  <c r="O72" i="22"/>
  <c r="L72" i="22"/>
  <c r="O71" i="22"/>
  <c r="L71" i="22"/>
  <c r="O70" i="22"/>
  <c r="L70" i="22"/>
  <c r="O69" i="22"/>
  <c r="L69" i="22"/>
  <c r="O68" i="22"/>
  <c r="L68" i="22"/>
  <c r="O67" i="22"/>
  <c r="L67" i="22"/>
  <c r="O66" i="22"/>
  <c r="L66" i="22"/>
  <c r="O65" i="22"/>
  <c r="L65" i="22"/>
  <c r="O64" i="22"/>
  <c r="L64" i="22"/>
  <c r="O63" i="22"/>
  <c r="L63" i="22"/>
  <c r="O62" i="22"/>
  <c r="L62" i="22"/>
  <c r="O61" i="22"/>
  <c r="L61" i="22"/>
  <c r="O60" i="22"/>
  <c r="L60" i="22"/>
  <c r="O59" i="22"/>
  <c r="L59" i="22"/>
  <c r="O58" i="22"/>
  <c r="L58" i="22"/>
  <c r="O57" i="22"/>
  <c r="L57" i="22"/>
  <c r="O56" i="22"/>
  <c r="L56" i="22"/>
  <c r="O55" i="22"/>
  <c r="L55" i="22"/>
  <c r="O54" i="22"/>
  <c r="L54" i="22"/>
  <c r="O53" i="22"/>
  <c r="L53" i="22"/>
  <c r="O52" i="22"/>
  <c r="L52" i="22"/>
  <c r="O51" i="22"/>
  <c r="L51" i="22"/>
  <c r="O50" i="22"/>
  <c r="L50" i="22"/>
  <c r="O49" i="22"/>
  <c r="L49" i="22"/>
  <c r="O48" i="22"/>
  <c r="L48" i="22"/>
  <c r="O47" i="22"/>
  <c r="L47" i="22"/>
  <c r="O46" i="22"/>
  <c r="L46" i="22"/>
  <c r="O45" i="22"/>
  <c r="L45" i="22"/>
  <c r="O44" i="22"/>
  <c r="L44" i="22"/>
  <c r="O43" i="22"/>
  <c r="L43" i="22"/>
  <c r="O42" i="22"/>
  <c r="L42" i="22"/>
  <c r="O41" i="22"/>
  <c r="L41" i="22"/>
  <c r="O40" i="22"/>
  <c r="L40" i="22"/>
  <c r="O39" i="22"/>
  <c r="L39" i="22"/>
  <c r="O38" i="22"/>
  <c r="L38" i="22"/>
  <c r="O37" i="22"/>
  <c r="L37" i="22"/>
  <c r="O36" i="22"/>
  <c r="L36" i="22"/>
  <c r="O35" i="22"/>
  <c r="L35" i="22"/>
  <c r="O34" i="22"/>
  <c r="L34" i="22"/>
  <c r="O33" i="22"/>
  <c r="L33" i="22"/>
  <c r="O32" i="22"/>
  <c r="L32" i="22"/>
  <c r="O31" i="22"/>
  <c r="L31" i="22"/>
  <c r="O30" i="22"/>
  <c r="L30" i="22"/>
  <c r="O29" i="22"/>
  <c r="L29" i="22"/>
  <c r="O28" i="22"/>
  <c r="L28" i="22"/>
  <c r="O27" i="22"/>
  <c r="L27" i="22"/>
  <c r="O26" i="22"/>
  <c r="L26" i="22"/>
  <c r="O25" i="22"/>
  <c r="L25" i="22"/>
  <c r="O24" i="22"/>
  <c r="L24" i="22"/>
  <c r="O23" i="22"/>
  <c r="L23" i="22"/>
  <c r="O22" i="22"/>
  <c r="L22" i="22"/>
  <c r="G35" i="6" s="1"/>
  <c r="O21" i="22"/>
  <c r="L21" i="22"/>
  <c r="O20" i="22"/>
  <c r="L20" i="22"/>
  <c r="O19" i="22"/>
  <c r="L19" i="22"/>
  <c r="O18" i="22"/>
  <c r="L18" i="22"/>
  <c r="O17" i="22"/>
  <c r="L17" i="22"/>
  <c r="O16" i="22"/>
  <c r="L16" i="22"/>
  <c r="O15" i="22"/>
  <c r="L15" i="22"/>
  <c r="O14" i="22"/>
  <c r="L14" i="22"/>
  <c r="O13" i="22"/>
  <c r="L13" i="22"/>
  <c r="O12" i="22"/>
  <c r="L12" i="22"/>
  <c r="O11" i="22"/>
  <c r="L11" i="22"/>
  <c r="O10" i="22"/>
  <c r="L10" i="22"/>
  <c r="O9" i="22"/>
  <c r="L9" i="22"/>
  <c r="O8" i="22"/>
  <c r="L8" i="22"/>
  <c r="O7" i="22"/>
  <c r="L7" i="22"/>
  <c r="O6" i="22"/>
  <c r="L6" i="22"/>
  <c r="O5" i="22"/>
  <c r="L5" i="22"/>
  <c r="O4" i="22"/>
  <c r="L4" i="22"/>
  <c r="O3" i="22"/>
  <c r="L3" i="22"/>
  <c r="O2" i="22"/>
  <c r="L2" i="22"/>
  <c r="C26" i="1"/>
  <c r="C25" i="1"/>
  <c r="C60" i="1"/>
  <c r="G73" i="1"/>
  <c r="C73" i="1"/>
  <c r="C72" i="1"/>
  <c r="J15" i="1"/>
  <c r="C18" i="4"/>
  <c r="K11" i="1" s="1"/>
  <c r="J357" i="21"/>
  <c r="K357" i="21"/>
  <c r="C11" i="1" s="1"/>
  <c r="M357" i="21"/>
  <c r="C12" i="1" s="1"/>
  <c r="L357" i="21"/>
  <c r="N357" i="21"/>
  <c r="C44" i="1" s="1"/>
  <c r="O357" i="21"/>
  <c r="C45" i="1" s="1"/>
  <c r="F325" i="23"/>
  <c r="F357" i="23" s="1"/>
  <c r="C10" i="4" s="1"/>
  <c r="Y4" i="4" s="1"/>
  <c r="W325" i="23"/>
  <c r="W357" i="23" s="1"/>
  <c r="C357" i="23" s="1"/>
  <c r="C12" i="4" s="1"/>
  <c r="J6" i="1" s="1"/>
  <c r="N325" i="23"/>
  <c r="N357" i="23" s="1"/>
  <c r="D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I357" i="24"/>
  <c r="B21" i="6" s="1"/>
  <c r="F3" i="3" s="1"/>
  <c r="D357" i="24"/>
  <c r="B11" i="6" s="1"/>
  <c r="G3" i="3" s="1"/>
  <c r="G13" i="7"/>
  <c r="G28" i="7"/>
  <c r="G113" i="7"/>
  <c r="G118" i="7"/>
  <c r="G138" i="7"/>
  <c r="G144" i="7"/>
  <c r="G197" i="7"/>
  <c r="G208" i="7"/>
  <c r="G212" i="7"/>
  <c r="G308" i="7"/>
  <c r="G325" i="7"/>
  <c r="G327" i="7"/>
  <c r="G357" i="7"/>
  <c r="E7" i="3" s="1"/>
  <c r="C71" i="1" s="1"/>
  <c r="W10" i="3"/>
  <c r="Q357" i="24"/>
  <c r="F11" i="6" s="1"/>
  <c r="I54" i="3" s="1"/>
  <c r="I73" i="3" s="1"/>
  <c r="I97" i="3" s="1"/>
  <c r="Z54" i="3"/>
  <c r="R357" i="24"/>
  <c r="F12" i="6" s="1"/>
  <c r="J54" i="3" s="1"/>
  <c r="J73" i="3" s="1"/>
  <c r="J97" i="3" s="1"/>
  <c r="S357" i="24"/>
  <c r="E357" i="24"/>
  <c r="B13" i="6" s="1"/>
  <c r="C54" i="3" s="1"/>
  <c r="C78" i="3" s="1"/>
  <c r="C79" i="3" s="1"/>
  <c r="F357" i="24"/>
  <c r="G357" i="24"/>
  <c r="B17" i="6" s="1"/>
  <c r="E54" i="3" s="1"/>
  <c r="E78" i="3" s="1"/>
  <c r="E79" i="3" s="1"/>
  <c r="C43" i="6" s="1"/>
  <c r="AA11" i="3"/>
  <c r="AA12" i="3"/>
  <c r="AA13" i="3"/>
  <c r="AA14" i="3"/>
  <c r="AA15" i="3"/>
  <c r="AA16" i="3"/>
  <c r="AA17" i="3"/>
  <c r="AA18" i="3"/>
  <c r="AA19" i="3"/>
  <c r="AA20" i="3"/>
  <c r="AA21" i="3"/>
  <c r="AA22" i="3"/>
  <c r="AA23" i="3"/>
  <c r="AA24" i="3"/>
  <c r="AA25" i="3"/>
  <c r="AA54" i="3"/>
  <c r="W9" i="3"/>
  <c r="O80" i="3"/>
  <c r="J357" i="24"/>
  <c r="K357" i="24"/>
  <c r="L357" i="24"/>
  <c r="W8" i="3"/>
  <c r="W7" i="3"/>
  <c r="N80" i="3" s="1"/>
  <c r="H13" i="7"/>
  <c r="H28" i="7"/>
  <c r="H113" i="7"/>
  <c r="H118" i="7"/>
  <c r="H138" i="7"/>
  <c r="H144" i="7"/>
  <c r="H197" i="7"/>
  <c r="H208" i="7"/>
  <c r="H212" i="7"/>
  <c r="H308" i="7"/>
  <c r="H325" i="7"/>
  <c r="H327" i="7"/>
  <c r="H357" i="7"/>
  <c r="C45" i="6" s="1"/>
  <c r="G71" i="1" s="1"/>
  <c r="E2"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G72" i="1" s="1"/>
  <c r="J7" i="1"/>
  <c r="D357" i="21"/>
  <c r="E357" i="21"/>
  <c r="I357" i="21"/>
  <c r="C14" i="1" s="1"/>
  <c r="H357" i="21"/>
  <c r="G357" i="21"/>
  <c r="C27" i="1" s="1"/>
  <c r="F357" i="21"/>
  <c r="C61" i="1" s="1"/>
  <c r="J10" i="1"/>
  <c r="J5" i="1"/>
  <c r="J3" i="1"/>
  <c r="J8" i="1"/>
  <c r="J4" i="1"/>
  <c r="J2" i="1"/>
  <c r="L325" i="23"/>
  <c r="G325" i="23"/>
  <c r="G357" i="23"/>
  <c r="H325" i="23"/>
  <c r="H357" i="23" s="1"/>
  <c r="I325" i="23"/>
  <c r="I357" i="23" s="1"/>
  <c r="J325" i="23"/>
  <c r="J357" i="23" s="1"/>
  <c r="K325" i="23"/>
  <c r="K357" i="23"/>
  <c r="Y357" i="21"/>
  <c r="Z357" i="21"/>
  <c r="AA357" i="21"/>
  <c r="AB357" i="21"/>
  <c r="AC357" i="21" s="1"/>
  <c r="Y420" i="21"/>
  <c r="Z420" i="21"/>
  <c r="AA420" i="21"/>
  <c r="AC420" i="21" s="1"/>
  <c r="AB420" i="21"/>
  <c r="Y414" i="21"/>
  <c r="Z414" i="21"/>
  <c r="AA414" i="21"/>
  <c r="AB414" i="21"/>
  <c r="Y410" i="21"/>
  <c r="Z410" i="21"/>
  <c r="AA410" i="21"/>
  <c r="AB410" i="21"/>
  <c r="Y405" i="21"/>
  <c r="Z405" i="21"/>
  <c r="AA405" i="21"/>
  <c r="AB405" i="21"/>
  <c r="AC402" i="21"/>
  <c r="AD402" i="21" s="1"/>
  <c r="AE402" i="21" s="1"/>
  <c r="Y400" i="21"/>
  <c r="Z400" i="21"/>
  <c r="AA400" i="21"/>
  <c r="AC400" i="21" s="1"/>
  <c r="AB400" i="21"/>
  <c r="AD400" i="21"/>
  <c r="AE400" i="21" s="1"/>
  <c r="Y386" i="21"/>
  <c r="Z386" i="21"/>
  <c r="AA386" i="21"/>
  <c r="AB386" i="21"/>
  <c r="Y379" i="21"/>
  <c r="Z379" i="21"/>
  <c r="AA379" i="21"/>
  <c r="AB379" i="21"/>
  <c r="Y375" i="21"/>
  <c r="Z375" i="21"/>
  <c r="AA375" i="21"/>
  <c r="AC375" i="21" s="1"/>
  <c r="AB375" i="21"/>
  <c r="Y396" i="21"/>
  <c r="Z396" i="21"/>
  <c r="AA396" i="21"/>
  <c r="AB396" i="21"/>
  <c r="Y391" i="21"/>
  <c r="Z391" i="21"/>
  <c r="AA391" i="21"/>
  <c r="AC391" i="21" s="1"/>
  <c r="AB391" i="21"/>
  <c r="Y369" i="21"/>
  <c r="Z369" i="21"/>
  <c r="AD369" i="21" s="1"/>
  <c r="AE369" i="21" s="1"/>
  <c r="AA369" i="21"/>
  <c r="AB369" i="21"/>
  <c r="AC369" i="21" s="1"/>
  <c r="Y364" i="21"/>
  <c r="Z364" i="21"/>
  <c r="AA364" i="21"/>
  <c r="AB364" i="21"/>
  <c r="AC364" i="21"/>
  <c r="AC356" i="21"/>
  <c r="AD356" i="21" s="1"/>
  <c r="AE356" i="21" s="1"/>
  <c r="AC355" i="21"/>
  <c r="AD355" i="21" s="1"/>
  <c r="AE355" i="21" s="1"/>
  <c r="AC354" i="21"/>
  <c r="AD354" i="21" s="1"/>
  <c r="AE354" i="21" s="1"/>
  <c r="AC353" i="21"/>
  <c r="AD353" i="21"/>
  <c r="AE353" i="21" s="1"/>
  <c r="AC352" i="21"/>
  <c r="AD352" i="21"/>
  <c r="AE352" i="21" s="1"/>
  <c r="AC351" i="21"/>
  <c r="AD351" i="21" s="1"/>
  <c r="AE351" i="21" s="1"/>
  <c r="AC419" i="21"/>
  <c r="AD419" i="21"/>
  <c r="AE419" i="21" s="1"/>
  <c r="AC350" i="21"/>
  <c r="AD350" i="21" s="1"/>
  <c r="AE350" i="21" s="1"/>
  <c r="AC349" i="21"/>
  <c r="AD349" i="21" s="1"/>
  <c r="AE349" i="21" s="1"/>
  <c r="AC348" i="21"/>
  <c r="AD348" i="21" s="1"/>
  <c r="AE348" i="21"/>
  <c r="AC347" i="21"/>
  <c r="AD347" i="21"/>
  <c r="AE347" i="21" s="1"/>
  <c r="AC346" i="21"/>
  <c r="AD346" i="21"/>
  <c r="AE346" i="21" s="1"/>
  <c r="AC395" i="21"/>
  <c r="AD395" i="21" s="1"/>
  <c r="AE395" i="21"/>
  <c r="AC345" i="21"/>
  <c r="AD345" i="21" s="1"/>
  <c r="AE345" i="21"/>
  <c r="AC344" i="21"/>
  <c r="AD344" i="21"/>
  <c r="AE344" i="21" s="1"/>
  <c r="AC343" i="21"/>
  <c r="AD343" i="21"/>
  <c r="AE343" i="21" s="1"/>
  <c r="AC363" i="21"/>
  <c r="AD363" i="21"/>
  <c r="AE363" i="21" s="1"/>
  <c r="AC342" i="21"/>
  <c r="AD342" i="21" s="1"/>
  <c r="AE342" i="21" s="1"/>
  <c r="AC341" i="21"/>
  <c r="AD341" i="21" s="1"/>
  <c r="AE341" i="21" s="1"/>
  <c r="AC340" i="21"/>
  <c r="AD340" i="21" s="1"/>
  <c r="AE340" i="21"/>
  <c r="AC339" i="21"/>
  <c r="AD339" i="21"/>
  <c r="AE339" i="21" s="1"/>
  <c r="AC338" i="21"/>
  <c r="AD338" i="21" s="1"/>
  <c r="AE338" i="21" s="1"/>
  <c r="AC374" i="21"/>
  <c r="AD374" i="21" s="1"/>
  <c r="AE374" i="21" s="1"/>
  <c r="AC337" i="21"/>
  <c r="AD337" i="21" s="1"/>
  <c r="AE337" i="21" s="1"/>
  <c r="AC336" i="21"/>
  <c r="AD336" i="21" s="1"/>
  <c r="AE336" i="21"/>
  <c r="AC335" i="21"/>
  <c r="AD335" i="21" s="1"/>
  <c r="AE335" i="21"/>
  <c r="AC334" i="21"/>
  <c r="AD334" i="21"/>
  <c r="AE334" i="21" s="1"/>
  <c r="AC333" i="21"/>
  <c r="AD333" i="21"/>
  <c r="AE333" i="21" s="1"/>
  <c r="AC332" i="21"/>
  <c r="AD332" i="21"/>
  <c r="AE332" i="21" s="1"/>
  <c r="AC331" i="21"/>
  <c r="AD331" i="21" s="1"/>
  <c r="AE331" i="21" s="1"/>
  <c r="AC330" i="21"/>
  <c r="AD330" i="21" s="1"/>
  <c r="AE330" i="21" s="1"/>
  <c r="AC329" i="21"/>
  <c r="AD329" i="21" s="1"/>
  <c r="AE329" i="21" s="1"/>
  <c r="AC328" i="21"/>
  <c r="AD328" i="21" s="1"/>
  <c r="AE328" i="21" s="1"/>
  <c r="AC326" i="21"/>
  <c r="AD326" i="21" s="1"/>
  <c r="AE326" i="21" s="1"/>
  <c r="AC362" i="21"/>
  <c r="AD362" i="21" s="1"/>
  <c r="AE362" i="21" s="1"/>
  <c r="AC324" i="21"/>
  <c r="AD324" i="21"/>
  <c r="AE324" i="21" s="1"/>
  <c r="AC323" i="21"/>
  <c r="AD323" i="21" s="1"/>
  <c r="AE323" i="21" s="1"/>
  <c r="AC322" i="21"/>
  <c r="AD322" i="21" s="1"/>
  <c r="AE322" i="21" s="1"/>
  <c r="AC321" i="21"/>
  <c r="AD321" i="21" s="1"/>
  <c r="AE321" i="21" s="1"/>
  <c r="AC320" i="21"/>
  <c r="AD320" i="21" s="1"/>
  <c r="AE320" i="21" s="1"/>
  <c r="AC319" i="21"/>
  <c r="AD319" i="21"/>
  <c r="AE319" i="21" s="1"/>
  <c r="AC318" i="21"/>
  <c r="AD318" i="21" s="1"/>
  <c r="AE318" i="21" s="1"/>
  <c r="AC317" i="21"/>
  <c r="AD317" i="21" s="1"/>
  <c r="AE317" i="21" s="1"/>
  <c r="AC316" i="21"/>
  <c r="AD316" i="21" s="1"/>
  <c r="AE316" i="21" s="1"/>
  <c r="AC315" i="21"/>
  <c r="AD315" i="21" s="1"/>
  <c r="AE315" i="21" s="1"/>
  <c r="AC314" i="21"/>
  <c r="AD314" i="21" s="1"/>
  <c r="AE314" i="21"/>
  <c r="AC313" i="21"/>
  <c r="AD313" i="21"/>
  <c r="AE313" i="21" s="1"/>
  <c r="AC312" i="21"/>
  <c r="AD312" i="21"/>
  <c r="AE312" i="21" s="1"/>
  <c r="AC311" i="21"/>
  <c r="AD311" i="21"/>
  <c r="AE311" i="21" s="1"/>
  <c r="AC310" i="21"/>
  <c r="AD310" i="21" s="1"/>
  <c r="AE310" i="21"/>
  <c r="AC309" i="21"/>
  <c r="AD309" i="21" s="1"/>
  <c r="AE309" i="21" s="1"/>
  <c r="AC394" i="21"/>
  <c r="AD394" i="21" s="1"/>
  <c r="AE394" i="21"/>
  <c r="AC307" i="21"/>
  <c r="AD307" i="21"/>
  <c r="AE307" i="21" s="1"/>
  <c r="AC306" i="21"/>
  <c r="AD306" i="21" s="1"/>
  <c r="AE306" i="21" s="1"/>
  <c r="AC305" i="21"/>
  <c r="AD305" i="21"/>
  <c r="AE305" i="21" s="1"/>
  <c r="AC304" i="21"/>
  <c r="AD304" i="21" s="1"/>
  <c r="AE304" i="21" s="1"/>
  <c r="AC303" i="21"/>
  <c r="AD303" i="21" s="1"/>
  <c r="AE303" i="21" s="1"/>
  <c r="AC302" i="21"/>
  <c r="AD302" i="21" s="1"/>
  <c r="AE302" i="21"/>
  <c r="AC301" i="21"/>
  <c r="AD301" i="21"/>
  <c r="AE301" i="21" s="1"/>
  <c r="AC300" i="21"/>
  <c r="AD300" i="21"/>
  <c r="AE300" i="21" s="1"/>
  <c r="AC299" i="21"/>
  <c r="AD299" i="21"/>
  <c r="AE299" i="21" s="1"/>
  <c r="AC298" i="21"/>
  <c r="AD298" i="21" s="1"/>
  <c r="AE298" i="21" s="1"/>
  <c r="AC297" i="21"/>
  <c r="AD297" i="21" s="1"/>
  <c r="AE297" i="21" s="1"/>
  <c r="AC296" i="21"/>
  <c r="AD296" i="21" s="1"/>
  <c r="AE296" i="21" s="1"/>
  <c r="AC295" i="21"/>
  <c r="AD295" i="21" s="1"/>
  <c r="AE295" i="21" s="1"/>
  <c r="AC294" i="21"/>
  <c r="AD294" i="21" s="1"/>
  <c r="AE294" i="21" s="1"/>
  <c r="AC293" i="21"/>
  <c r="AD293" i="21" s="1"/>
  <c r="AE293" i="21" s="1"/>
  <c r="AC292" i="21"/>
  <c r="AD292" i="21"/>
  <c r="AE292" i="21" s="1"/>
  <c r="AC291" i="21"/>
  <c r="AD291" i="21" s="1"/>
  <c r="AE291" i="21"/>
  <c r="AC290" i="21"/>
  <c r="AD290" i="21" s="1"/>
  <c r="AE290" i="21" s="1"/>
  <c r="AC289" i="21"/>
  <c r="AD289" i="21" s="1"/>
  <c r="AE289" i="21" s="1"/>
  <c r="AC288" i="21"/>
  <c r="AD288" i="21" s="1"/>
  <c r="AE288" i="21" s="1"/>
  <c r="AC287" i="21"/>
  <c r="AD287" i="21"/>
  <c r="AE287" i="21" s="1"/>
  <c r="AC286" i="21"/>
  <c r="AD286" i="21" s="1"/>
  <c r="AE286" i="21"/>
  <c r="AC285" i="21"/>
  <c r="AD285" i="21" s="1"/>
  <c r="AE285" i="21" s="1"/>
  <c r="AC284" i="21"/>
  <c r="AD284" i="21" s="1"/>
  <c r="AE284" i="21" s="1"/>
  <c r="AC283" i="21"/>
  <c r="AD283" i="21" s="1"/>
  <c r="AE283" i="21" s="1"/>
  <c r="AC282" i="21"/>
  <c r="AD282" i="21" s="1"/>
  <c r="AE282" i="21" s="1"/>
  <c r="AC281" i="21"/>
  <c r="AD281" i="21" s="1"/>
  <c r="AE281" i="21" s="1"/>
  <c r="AC389" i="21"/>
  <c r="AD389" i="21" s="1"/>
  <c r="AE389" i="21" s="1"/>
  <c r="AC280" i="21"/>
  <c r="AD280" i="21"/>
  <c r="AE280" i="21" s="1"/>
  <c r="AC385" i="21"/>
  <c r="AD385" i="21" s="1"/>
  <c r="AE385" i="21" s="1"/>
  <c r="AC279" i="21"/>
  <c r="AD279" i="21" s="1"/>
  <c r="AE279" i="21" s="1"/>
  <c r="AC278" i="21"/>
  <c r="AD278" i="21" s="1"/>
  <c r="AE278" i="21" s="1"/>
  <c r="AC277" i="21"/>
  <c r="AD277" i="21" s="1"/>
  <c r="AE277" i="21" s="1"/>
  <c r="AC276" i="21"/>
  <c r="AD276" i="21" s="1"/>
  <c r="AE276" i="21" s="1"/>
  <c r="AC275" i="21"/>
  <c r="AD275" i="21" s="1"/>
  <c r="AE275" i="21" s="1"/>
  <c r="AC274" i="21"/>
  <c r="AD274" i="21" s="1"/>
  <c r="AE274" i="21" s="1"/>
  <c r="AC273" i="21"/>
  <c r="AD273" i="21" s="1"/>
  <c r="AE273" i="21" s="1"/>
  <c r="AC272" i="21"/>
  <c r="AD272" i="21" s="1"/>
  <c r="AE272" i="21" s="1"/>
  <c r="AC271" i="21"/>
  <c r="AD271" i="21"/>
  <c r="AE271" i="21" s="1"/>
  <c r="AC270" i="21"/>
  <c r="AD270" i="21" s="1"/>
  <c r="AE270" i="21"/>
  <c r="AC269" i="21"/>
  <c r="AD269" i="21"/>
  <c r="AE269" i="21" s="1"/>
  <c r="AC268" i="21"/>
  <c r="AD268" i="21" s="1"/>
  <c r="AE268" i="21"/>
  <c r="AC267" i="21"/>
  <c r="AD267" i="21" s="1"/>
  <c r="AE267" i="21" s="1"/>
  <c r="AC266" i="21"/>
  <c r="AD266" i="21" s="1"/>
  <c r="AE266" i="21" s="1"/>
  <c r="AC265" i="21"/>
  <c r="AD265" i="21"/>
  <c r="AE265" i="21" s="1"/>
  <c r="AC264" i="21"/>
  <c r="AD264" i="21" s="1"/>
  <c r="AE264" i="21" s="1"/>
  <c r="AC263" i="21"/>
  <c r="AD263" i="21" s="1"/>
  <c r="AE263" i="21" s="1"/>
  <c r="AC262" i="21"/>
  <c r="AD262" i="21" s="1"/>
  <c r="AE262" i="21"/>
  <c r="AC261" i="21"/>
  <c r="AD261" i="21"/>
  <c r="AE261" i="21" s="1"/>
  <c r="AC260" i="21"/>
  <c r="AD260" i="21" s="1"/>
  <c r="AE260" i="21"/>
  <c r="AC368" i="21"/>
  <c r="AD368" i="21" s="1"/>
  <c r="AE368" i="21" s="1"/>
  <c r="AC259" i="21"/>
  <c r="AD259" i="21" s="1"/>
  <c r="AE259" i="21" s="1"/>
  <c r="AC258" i="21"/>
  <c r="AD258" i="21"/>
  <c r="AE258" i="21" s="1"/>
  <c r="AC257" i="21"/>
  <c r="AD257" i="21" s="1"/>
  <c r="AE257" i="21" s="1"/>
  <c r="AC256" i="21"/>
  <c r="AD256" i="21" s="1"/>
  <c r="AE256" i="21" s="1"/>
  <c r="AC255" i="21"/>
  <c r="AD255" i="21" s="1"/>
  <c r="AE255" i="21" s="1"/>
  <c r="AC254" i="21"/>
  <c r="AD254" i="21" s="1"/>
  <c r="AE254" i="21" s="1"/>
  <c r="AC253" i="21"/>
  <c r="AD253" i="21" s="1"/>
  <c r="AE253" i="21" s="1"/>
  <c r="AC252" i="21"/>
  <c r="AD252" i="21" s="1"/>
  <c r="AE252" i="21" s="1"/>
  <c r="AC251" i="21"/>
  <c r="AD251" i="21" s="1"/>
  <c r="AE251" i="21" s="1"/>
  <c r="AC250" i="21"/>
  <c r="AD250" i="21" s="1"/>
  <c r="AE250" i="21" s="1"/>
  <c r="AC249" i="21"/>
  <c r="AD249" i="21" s="1"/>
  <c r="AE249" i="21" s="1"/>
  <c r="AC248" i="21"/>
  <c r="AD248" i="21"/>
  <c r="AE248" i="21" s="1"/>
  <c r="AC247" i="21"/>
  <c r="AD247" i="21" s="1"/>
  <c r="AE247" i="21"/>
  <c r="AC246" i="21"/>
  <c r="AD246" i="21"/>
  <c r="AE246" i="21" s="1"/>
  <c r="AC245" i="21"/>
  <c r="AD245" i="21" s="1"/>
  <c r="AE245" i="21"/>
  <c r="AC244" i="21"/>
  <c r="AD244" i="21" s="1"/>
  <c r="AE244" i="21" s="1"/>
  <c r="AC243" i="21"/>
  <c r="AD243" i="21" s="1"/>
  <c r="AE243" i="21" s="1"/>
  <c r="AC242" i="21"/>
  <c r="AD242" i="21"/>
  <c r="AE242" i="21" s="1"/>
  <c r="AC241" i="21"/>
  <c r="AD241" i="21" s="1"/>
  <c r="AE241" i="21" s="1"/>
  <c r="AC240" i="21"/>
  <c r="AD240" i="21" s="1"/>
  <c r="AE240" i="21" s="1"/>
  <c r="AC239" i="21"/>
  <c r="AD239" i="21" s="1"/>
  <c r="AE239" i="21"/>
  <c r="AC238" i="21"/>
  <c r="AD238" i="21"/>
  <c r="AE238" i="21" s="1"/>
  <c r="AC237" i="21"/>
  <c r="AD237" i="21" s="1"/>
  <c r="AE237" i="21"/>
  <c r="AC236" i="21"/>
  <c r="AD236" i="21" s="1"/>
  <c r="AE236" i="21" s="1"/>
  <c r="AC235" i="21"/>
  <c r="AD235" i="21" s="1"/>
  <c r="AE235" i="21" s="1"/>
  <c r="AC234" i="21"/>
  <c r="AD234" i="21"/>
  <c r="AE234" i="21" s="1"/>
  <c r="AC233" i="21"/>
  <c r="AD233" i="21" s="1"/>
  <c r="AE233" i="21" s="1"/>
  <c r="AC232" i="21"/>
  <c r="AD232" i="21" s="1"/>
  <c r="AE232" i="21" s="1"/>
  <c r="AC231" i="21"/>
  <c r="AD231" i="21" s="1"/>
  <c r="AE231" i="21"/>
  <c r="AC230" i="21"/>
  <c r="AD230" i="21"/>
  <c r="AE230" i="21" s="1"/>
  <c r="AC384" i="21"/>
  <c r="AD384" i="21" s="1"/>
  <c r="AE384" i="21"/>
  <c r="AC229" i="21"/>
  <c r="AD229" i="21" s="1"/>
  <c r="AE229" i="21" s="1"/>
  <c r="AC228" i="21"/>
  <c r="AD228" i="21" s="1"/>
  <c r="AE228" i="21" s="1"/>
  <c r="AC227" i="21"/>
  <c r="AD227" i="21"/>
  <c r="AE227" i="21" s="1"/>
  <c r="AC226" i="21"/>
  <c r="AD226" i="21" s="1"/>
  <c r="AE226" i="21" s="1"/>
  <c r="AC225" i="21"/>
  <c r="AD225" i="21" s="1"/>
  <c r="AE225" i="21" s="1"/>
  <c r="AC224" i="21"/>
  <c r="AD224" i="21" s="1"/>
  <c r="AE224" i="21" s="1"/>
  <c r="AC223" i="21"/>
  <c r="AD223" i="21" s="1"/>
  <c r="AE223" i="21" s="1"/>
  <c r="AC366" i="21"/>
  <c r="AD366" i="21" s="1"/>
  <c r="AE366" i="21" s="1"/>
  <c r="AC222" i="21"/>
  <c r="AD222" i="21" s="1"/>
  <c r="AE222" i="21" s="1"/>
  <c r="AC221" i="21"/>
  <c r="AD221" i="21" s="1"/>
  <c r="AE221" i="21"/>
  <c r="AC220" i="21"/>
  <c r="AD220" i="21"/>
  <c r="AE220" i="21" s="1"/>
  <c r="AC219" i="21"/>
  <c r="AD219" i="21" s="1"/>
  <c r="AE219" i="21" s="1"/>
  <c r="AC218" i="21"/>
  <c r="AD218" i="21" s="1"/>
  <c r="AE218" i="21" s="1"/>
  <c r="AC217" i="21"/>
  <c r="AD217" i="21" s="1"/>
  <c r="AE217" i="21"/>
  <c r="AC216" i="21"/>
  <c r="AD216" i="21"/>
  <c r="AE216" i="21" s="1"/>
  <c r="AC215" i="21"/>
  <c r="AD215" i="21" s="1"/>
  <c r="AE215" i="21"/>
  <c r="AC367" i="21"/>
  <c r="AD367" i="21" s="1"/>
  <c r="AE367" i="21" s="1"/>
  <c r="AC214" i="21"/>
  <c r="AD214" i="21" s="1"/>
  <c r="AE214" i="21" s="1"/>
  <c r="AC213" i="21"/>
  <c r="AD213" i="21"/>
  <c r="AE213" i="21" s="1"/>
  <c r="AC399" i="21"/>
  <c r="AD399" i="21" s="1"/>
  <c r="AE399" i="21" s="1"/>
  <c r="AC398" i="21"/>
  <c r="AD398" i="21" s="1"/>
  <c r="AE398" i="21" s="1"/>
  <c r="AC211" i="21"/>
  <c r="AD211" i="21" s="1"/>
  <c r="AE211" i="21" s="1"/>
  <c r="AC210" i="21"/>
  <c r="AD210" i="21" s="1"/>
  <c r="AE210" i="21" s="1"/>
  <c r="AC209" i="21"/>
  <c r="AD209" i="21" s="1"/>
  <c r="AE209" i="21" s="1"/>
  <c r="AC207" i="21"/>
  <c r="AD207" i="21" s="1"/>
  <c r="AE207" i="21" s="1"/>
  <c r="AC206" i="21"/>
  <c r="AD206" i="21" s="1"/>
  <c r="AE206" i="21" s="1"/>
  <c r="AC205" i="21"/>
  <c r="AD205" i="21" s="1"/>
  <c r="AE205" i="21" s="1"/>
  <c r="AC204" i="21"/>
  <c r="AD204" i="21" s="1"/>
  <c r="AE204" i="21" s="1"/>
  <c r="AC203" i="21"/>
  <c r="AD203" i="21" s="1"/>
  <c r="AE203" i="21" s="1"/>
  <c r="AC407" i="21"/>
  <c r="AD407" i="21" s="1"/>
  <c r="AE407" i="21" s="1"/>
  <c r="AC202" i="21"/>
  <c r="AD202" i="21"/>
  <c r="AE202" i="21" s="1"/>
  <c r="AC201" i="21"/>
  <c r="AD201" i="21"/>
  <c r="AE201" i="21" s="1"/>
  <c r="AC200" i="21"/>
  <c r="AD200" i="21" s="1"/>
  <c r="AE200" i="21" s="1"/>
  <c r="AC199" i="21"/>
  <c r="AD199" i="21"/>
  <c r="AE199" i="21" s="1"/>
  <c r="AC198" i="21"/>
  <c r="AD198" i="21" s="1"/>
  <c r="AE198" i="21" s="1"/>
  <c r="AC413" i="21"/>
  <c r="AD413" i="21" s="1"/>
  <c r="AE413" i="21"/>
  <c r="AC196" i="21"/>
  <c r="AD196" i="21" s="1"/>
  <c r="AE196" i="21"/>
  <c r="AC195" i="21"/>
  <c r="AD195" i="21"/>
  <c r="AE195" i="21" s="1"/>
  <c r="AC194" i="21"/>
  <c r="AD194" i="21"/>
  <c r="AE194" i="21" s="1"/>
  <c r="AC193" i="21"/>
  <c r="AD193" i="21" s="1"/>
  <c r="AE193" i="21" s="1"/>
  <c r="AC192" i="21"/>
  <c r="AD192" i="21" s="1"/>
  <c r="AE192" i="21"/>
  <c r="AC191" i="21"/>
  <c r="AD191" i="21"/>
  <c r="AE191" i="21" s="1"/>
  <c r="AC190" i="21"/>
  <c r="AD190" i="21"/>
  <c r="AE190" i="21" s="1"/>
  <c r="AC189" i="21"/>
  <c r="AD189" i="21"/>
  <c r="AE189" i="21" s="1"/>
  <c r="AC188" i="21"/>
  <c r="AD188" i="21" s="1"/>
  <c r="AE188" i="21" s="1"/>
  <c r="AC187" i="21"/>
  <c r="AD187" i="21" s="1"/>
  <c r="AE187" i="21" s="1"/>
  <c r="AC418" i="21"/>
  <c r="AD418" i="21" s="1"/>
  <c r="AE418" i="21" s="1"/>
  <c r="AC186" i="21"/>
  <c r="AD186" i="21"/>
  <c r="AE186" i="21" s="1"/>
  <c r="AC185" i="21"/>
  <c r="AD185" i="21" s="1"/>
  <c r="AE185" i="21" s="1"/>
  <c r="AC184" i="21"/>
  <c r="AD184" i="21" s="1"/>
  <c r="AE184" i="21" s="1"/>
  <c r="AC183" i="21"/>
  <c r="AD183" i="21" s="1"/>
  <c r="AE183" i="21" s="1"/>
  <c r="AC182" i="21"/>
  <c r="AD182" i="21" s="1"/>
  <c r="AE182" i="21" s="1"/>
  <c r="AC181" i="21"/>
  <c r="AD181" i="21" s="1"/>
  <c r="AE181" i="21"/>
  <c r="AC180" i="21"/>
  <c r="AD180" i="21"/>
  <c r="AE180" i="21" s="1"/>
  <c r="AC179" i="21"/>
  <c r="AD179" i="21"/>
  <c r="AE179" i="21" s="1"/>
  <c r="AC178" i="21"/>
  <c r="AD178" i="21"/>
  <c r="AE178" i="21" s="1"/>
  <c r="AC177" i="21"/>
  <c r="AD177" i="21" s="1"/>
  <c r="AE177" i="21" s="1"/>
  <c r="AC176" i="21"/>
  <c r="AD176" i="21" s="1"/>
  <c r="AE176" i="21" s="1"/>
  <c r="AC409" i="21"/>
  <c r="AD409" i="21" s="1"/>
  <c r="AE409" i="21" s="1"/>
  <c r="AC175" i="21"/>
  <c r="AD175" i="21" s="1"/>
  <c r="AE175" i="21" s="1"/>
  <c r="AC174" i="21"/>
  <c r="AD174" i="21" s="1"/>
  <c r="AE174" i="21" s="1"/>
  <c r="AC173" i="21"/>
  <c r="AD173" i="21" s="1"/>
  <c r="AE173" i="21" s="1"/>
  <c r="AC172" i="21"/>
  <c r="AD172" i="21"/>
  <c r="AE172" i="21" s="1"/>
  <c r="AC171" i="21"/>
  <c r="AD171" i="21"/>
  <c r="AE171" i="21" s="1"/>
  <c r="AC170" i="21"/>
  <c r="AD170" i="21" s="1"/>
  <c r="AE170" i="21" s="1"/>
  <c r="AC169" i="21"/>
  <c r="AD169" i="21"/>
  <c r="AE169" i="21" s="1"/>
  <c r="AC393" i="21"/>
  <c r="AD393" i="21" s="1"/>
  <c r="AE393" i="21" s="1"/>
  <c r="AC417" i="21"/>
  <c r="AD417" i="21" s="1"/>
  <c r="AE417" i="21" s="1"/>
  <c r="AC168" i="21"/>
  <c r="AD168" i="21" s="1"/>
  <c r="AE168" i="21"/>
  <c r="AC167" i="21"/>
  <c r="AD167" i="21"/>
  <c r="AE167" i="21" s="1"/>
  <c r="AC166" i="21"/>
  <c r="AD166" i="21"/>
  <c r="AE166" i="21" s="1"/>
  <c r="AC165" i="21"/>
  <c r="AD165" i="21" s="1"/>
  <c r="AE165" i="21"/>
  <c r="AC164" i="21"/>
  <c r="AD164" i="21" s="1"/>
  <c r="AE164" i="21"/>
  <c r="AC163" i="21"/>
  <c r="AD163" i="21"/>
  <c r="AE163" i="21" s="1"/>
  <c r="AC162" i="21"/>
  <c r="AD162" i="21"/>
  <c r="AE162" i="21" s="1"/>
  <c r="AC161" i="21"/>
  <c r="AD161" i="21"/>
  <c r="AE161" i="21" s="1"/>
  <c r="AC160" i="21"/>
  <c r="AD160" i="21" s="1"/>
  <c r="AE160" i="21" s="1"/>
  <c r="AC383" i="21"/>
  <c r="AD383" i="21" s="1"/>
  <c r="AE383" i="21" s="1"/>
  <c r="AC404" i="21"/>
  <c r="AD404" i="21" s="1"/>
  <c r="AE404" i="21"/>
  <c r="AC159" i="21"/>
  <c r="AD159" i="21"/>
  <c r="AE159" i="21" s="1"/>
  <c r="AC158" i="21"/>
  <c r="AD158" i="21" s="1"/>
  <c r="AE158" i="21" s="1"/>
  <c r="AC157" i="21"/>
  <c r="AD157" i="21" s="1"/>
  <c r="AE157" i="21" s="1"/>
  <c r="AC156" i="21"/>
  <c r="AD156" i="21" s="1"/>
  <c r="AE156" i="21" s="1"/>
  <c r="AC155" i="21"/>
  <c r="AD155" i="21" s="1"/>
  <c r="AE155" i="21" s="1"/>
  <c r="AC154" i="21"/>
  <c r="AD154" i="21" s="1"/>
  <c r="AE154" i="21"/>
  <c r="AC153" i="21"/>
  <c r="AD153" i="21"/>
  <c r="AE153" i="21" s="1"/>
  <c r="AC152" i="21"/>
  <c r="AD152" i="21"/>
  <c r="AE152" i="21" s="1"/>
  <c r="AC151" i="21"/>
  <c r="AD151" i="21"/>
  <c r="AE151" i="21" s="1"/>
  <c r="AC150" i="21"/>
  <c r="AD150" i="21" s="1"/>
  <c r="AE150" i="21" s="1"/>
  <c r="AC149" i="21"/>
  <c r="AD149" i="21" s="1"/>
  <c r="AE149" i="21" s="1"/>
  <c r="AC148" i="21"/>
  <c r="AD148" i="21" s="1"/>
  <c r="AE148" i="21" s="1"/>
  <c r="AC147" i="21"/>
  <c r="AD147" i="21" s="1"/>
  <c r="AE147" i="21" s="1"/>
  <c r="AC146" i="21"/>
  <c r="AD146" i="21" s="1"/>
  <c r="AE146" i="21" s="1"/>
  <c r="AC145" i="21"/>
  <c r="AD145" i="21" s="1"/>
  <c r="AE145" i="21" s="1"/>
  <c r="AC143" i="21"/>
  <c r="AD143" i="21"/>
  <c r="AE143" i="21" s="1"/>
  <c r="AC142" i="21"/>
  <c r="AD142" i="21" s="1"/>
  <c r="AE142" i="21"/>
  <c r="AC141" i="21"/>
  <c r="AD141" i="21" s="1"/>
  <c r="AE141" i="21" s="1"/>
  <c r="AC140" i="21"/>
  <c r="AD140" i="21" s="1"/>
  <c r="AE140" i="21" s="1"/>
  <c r="AC139" i="21"/>
  <c r="AD139" i="21" s="1"/>
  <c r="AE139" i="21" s="1"/>
  <c r="AC137" i="21"/>
  <c r="AD137" i="21"/>
  <c r="AE137" i="21" s="1"/>
  <c r="AC136" i="21"/>
  <c r="AD136" i="21" s="1"/>
  <c r="AE136" i="21"/>
  <c r="AC135" i="21"/>
  <c r="AD135" i="21" s="1"/>
  <c r="AE135" i="21" s="1"/>
  <c r="AC134" i="21"/>
  <c r="AD134" i="21" s="1"/>
  <c r="AE134" i="21" s="1"/>
  <c r="AC133" i="21"/>
  <c r="AD133" i="21"/>
  <c r="AE133" i="21" s="1"/>
  <c r="AC132" i="21"/>
  <c r="AD132" i="21" s="1"/>
  <c r="AE132" i="21" s="1"/>
  <c r="AC131" i="21"/>
  <c r="AD131" i="21"/>
  <c r="AE131" i="21" s="1"/>
  <c r="AC130" i="21"/>
  <c r="AD130" i="21" s="1"/>
  <c r="AE130" i="21" s="1"/>
  <c r="AC129" i="21"/>
  <c r="AD129" i="21" s="1"/>
  <c r="AE129" i="21" s="1"/>
  <c r="AC128" i="21"/>
  <c r="AD128" i="21" s="1"/>
  <c r="AE128" i="21"/>
  <c r="AC127" i="21"/>
  <c r="AD127" i="21"/>
  <c r="AE127" i="21" s="1"/>
  <c r="AC126" i="21"/>
  <c r="AD126" i="21"/>
  <c r="AE126" i="21" s="1"/>
  <c r="AC125" i="21"/>
  <c r="AD125" i="21" s="1"/>
  <c r="AE125" i="21" s="1"/>
  <c r="AC124" i="21"/>
  <c r="AD124" i="21" s="1"/>
  <c r="AE124" i="21"/>
  <c r="AC123" i="21"/>
  <c r="AD123" i="21"/>
  <c r="AE123" i="21" s="1"/>
  <c r="AC390" i="21"/>
  <c r="AD390" i="21"/>
  <c r="AE390" i="21" s="1"/>
  <c r="AC122" i="21"/>
  <c r="AD122" i="21"/>
  <c r="AE122" i="21" s="1"/>
  <c r="AC121" i="21"/>
  <c r="AD121" i="21" s="1"/>
  <c r="AE121" i="21" s="1"/>
  <c r="AC120" i="21"/>
  <c r="AD120" i="21" s="1"/>
  <c r="AE120" i="21" s="1"/>
  <c r="AC119" i="21"/>
  <c r="AD119" i="21" s="1"/>
  <c r="AE119" i="21" s="1"/>
  <c r="AC377" i="21"/>
  <c r="AD377" i="21" s="1"/>
  <c r="AE377" i="21"/>
  <c r="AC378" i="21"/>
  <c r="AD378" i="21" s="1"/>
  <c r="AE378" i="21"/>
  <c r="AC117" i="21"/>
  <c r="AD117" i="21"/>
  <c r="AE117" i="21" s="1"/>
  <c r="AC116" i="21"/>
  <c r="AD116" i="21"/>
  <c r="AE116" i="21" s="1"/>
  <c r="AC115" i="21"/>
  <c r="AD115" i="21"/>
  <c r="AE115" i="21" s="1"/>
  <c r="AC114" i="21"/>
  <c r="AD114" i="21" s="1"/>
  <c r="AE114" i="21"/>
  <c r="AC416" i="21"/>
  <c r="AD416" i="21" s="1"/>
  <c r="AE416" i="21" s="1"/>
  <c r="AC388" i="21"/>
  <c r="AD388" i="21" s="1"/>
  <c r="AE388" i="21"/>
  <c r="AC112" i="21"/>
  <c r="AD112" i="21"/>
  <c r="AE112" i="21" s="1"/>
  <c r="AC111" i="21"/>
  <c r="AD111" i="21" s="1"/>
  <c r="AE111" i="21" s="1"/>
  <c r="AC110" i="21"/>
  <c r="AD110" i="21"/>
  <c r="AE110" i="21" s="1"/>
  <c r="AC109" i="21"/>
  <c r="AD109" i="21" s="1"/>
  <c r="AE109" i="21" s="1"/>
  <c r="AC108" i="21"/>
  <c r="AD108" i="21" s="1"/>
  <c r="AE108" i="21" s="1"/>
  <c r="AC107" i="21"/>
  <c r="AD107" i="21" s="1"/>
  <c r="AE107" i="21" s="1"/>
  <c r="AC106" i="21"/>
  <c r="AD106" i="21" s="1"/>
  <c r="AE106" i="21" s="1"/>
  <c r="AC105" i="21"/>
  <c r="AD105" i="21"/>
  <c r="AE105" i="21" s="1"/>
  <c r="AC412" i="21"/>
  <c r="AD412" i="21" s="1"/>
  <c r="AE412" i="21"/>
  <c r="AC104" i="21"/>
  <c r="AD104" i="21" s="1"/>
  <c r="AE104" i="21" s="1"/>
  <c r="AC103" i="21"/>
  <c r="AD103" i="21" s="1"/>
  <c r="AE103" i="21" s="1"/>
  <c r="AC102" i="21"/>
  <c r="AD102" i="21" s="1"/>
  <c r="AE102" i="21" s="1"/>
  <c r="AC408" i="21"/>
  <c r="AD408" i="21"/>
  <c r="AE408" i="21" s="1"/>
  <c r="AC101" i="21"/>
  <c r="AD101" i="21" s="1"/>
  <c r="AE101" i="21" s="1"/>
  <c r="AC403" i="21"/>
  <c r="AD403" i="21" s="1"/>
  <c r="AE403" i="21" s="1"/>
  <c r="AC100" i="21"/>
  <c r="AD100" i="21" s="1"/>
  <c r="AE100" i="21" s="1"/>
  <c r="AC99" i="21"/>
  <c r="AD99" i="21"/>
  <c r="AE99" i="21" s="1"/>
  <c r="AC98" i="21"/>
  <c r="AD98" i="21" s="1"/>
  <c r="AE98" i="21" s="1"/>
  <c r="AC97" i="21"/>
  <c r="AD97" i="21" s="1"/>
  <c r="AE97" i="21" s="1"/>
  <c r="AC96" i="21"/>
  <c r="AD96" i="21" s="1"/>
  <c r="AE96" i="21" s="1"/>
  <c r="AC95" i="21"/>
  <c r="AD95" i="21" s="1"/>
  <c r="AE95" i="21"/>
  <c r="AC94" i="21"/>
  <c r="AD94" i="21" s="1"/>
  <c r="AE94" i="21"/>
  <c r="AC93" i="21"/>
  <c r="AD93" i="21"/>
  <c r="AE93" i="21" s="1"/>
  <c r="AC92" i="21"/>
  <c r="AD92" i="21"/>
  <c r="AE92" i="21" s="1"/>
  <c r="AC91" i="21"/>
  <c r="AD91" i="21"/>
  <c r="AE91" i="21" s="1"/>
  <c r="AC373" i="21"/>
  <c r="AD373" i="21" s="1"/>
  <c r="AE373" i="21" s="1"/>
  <c r="AC90" i="21"/>
  <c r="AD90" i="21" s="1"/>
  <c r="AE90" i="21" s="1"/>
  <c r="AC89" i="21"/>
  <c r="AD89" i="21" s="1"/>
  <c r="AE89" i="21" s="1"/>
  <c r="AC88" i="21"/>
  <c r="AD88" i="21" s="1"/>
  <c r="AE88" i="21" s="1"/>
  <c r="AC87" i="21"/>
  <c r="AD87" i="21" s="1"/>
  <c r="AE87" i="21" s="1"/>
  <c r="AC86" i="21"/>
  <c r="AD86" i="21" s="1"/>
  <c r="AE86" i="21" s="1"/>
  <c r="AC85" i="21"/>
  <c r="AD85" i="21"/>
  <c r="AE85" i="21" s="1"/>
  <c r="AC84" i="21"/>
  <c r="AD84" i="21"/>
  <c r="AE84" i="21" s="1"/>
  <c r="AC83" i="21"/>
  <c r="AD83" i="21" s="1"/>
  <c r="AE83" i="21" s="1"/>
  <c r="AC82" i="21"/>
  <c r="AD82" i="21"/>
  <c r="AE82" i="21" s="1"/>
  <c r="AC81" i="21"/>
  <c r="AD81" i="21" s="1"/>
  <c r="AE81" i="21" s="1"/>
  <c r="AC80" i="21"/>
  <c r="AD80" i="21" s="1"/>
  <c r="AE80" i="21" s="1"/>
  <c r="AC79" i="21"/>
  <c r="AD79" i="21" s="1"/>
  <c r="AE79" i="21" s="1"/>
  <c r="AC78" i="21"/>
  <c r="AD78" i="21" s="1"/>
  <c r="AE78" i="21" s="1"/>
  <c r="AC77" i="21"/>
  <c r="AD77" i="21"/>
  <c r="AE77" i="21" s="1"/>
  <c r="AC76" i="21"/>
  <c r="AD76" i="21" s="1"/>
  <c r="AE76" i="21" s="1"/>
  <c r="AC75" i="21"/>
  <c r="AD75" i="21" s="1"/>
  <c r="AE75" i="21" s="1"/>
  <c r="AC74" i="21"/>
  <c r="AD74" i="21" s="1"/>
  <c r="AE74" i="21" s="1"/>
  <c r="AC73" i="21"/>
  <c r="AD73" i="21" s="1"/>
  <c r="AE73" i="21" s="1"/>
  <c r="AC72" i="21"/>
  <c r="AD72" i="21"/>
  <c r="AE72" i="21" s="1"/>
  <c r="AC71" i="21"/>
  <c r="AD71" i="21" s="1"/>
  <c r="AE71" i="21" s="1"/>
  <c r="AC70" i="21"/>
  <c r="AD70" i="21" s="1"/>
  <c r="AE70" i="21" s="1"/>
  <c r="AC69" i="21"/>
  <c r="AD69" i="21" s="1"/>
  <c r="AE69" i="21"/>
  <c r="AC372" i="21"/>
  <c r="AD372" i="21"/>
  <c r="AE372" i="21" s="1"/>
  <c r="AC68" i="21"/>
  <c r="AD68" i="21" s="1"/>
  <c r="AE68" i="21" s="1"/>
  <c r="AC67" i="21"/>
  <c r="AD67" i="21" s="1"/>
  <c r="AE67" i="21" s="1"/>
  <c r="AC66" i="21"/>
  <c r="AD66" i="21" s="1"/>
  <c r="AE66" i="21" s="1"/>
  <c r="AC65" i="21"/>
  <c r="AD65" i="21" s="1"/>
  <c r="AE65" i="21" s="1"/>
  <c r="AC64" i="21"/>
  <c r="AD64" i="21" s="1"/>
  <c r="AE64" i="21"/>
  <c r="AC63" i="21"/>
  <c r="AD63" i="21"/>
  <c r="AE63" i="21" s="1"/>
  <c r="AC382" i="21"/>
  <c r="AD382" i="21"/>
  <c r="AE382" i="21" s="1"/>
  <c r="AC62" i="21"/>
  <c r="AD62" i="21"/>
  <c r="AE62" i="21" s="1"/>
  <c r="AC61" i="21"/>
  <c r="AD61" i="21" s="1"/>
  <c r="AE61" i="21" s="1"/>
  <c r="AC60" i="21"/>
  <c r="AD60" i="21" s="1"/>
  <c r="AE60" i="21" s="1"/>
  <c r="AC59" i="21"/>
  <c r="AD59" i="21" s="1"/>
  <c r="AE59" i="21" s="1"/>
  <c r="AC58" i="21"/>
  <c r="AD58" i="21" s="1"/>
  <c r="AE58" i="21" s="1"/>
  <c r="AC57" i="21"/>
  <c r="AD57" i="21" s="1"/>
  <c r="AE57" i="21"/>
  <c r="AC56" i="21"/>
  <c r="AD56" i="21" s="1"/>
  <c r="AE56" i="21" s="1"/>
  <c r="AC55" i="21"/>
  <c r="AD55" i="21"/>
  <c r="AE55" i="21" s="1"/>
  <c r="AC54" i="21"/>
  <c r="AD54" i="21" s="1"/>
  <c r="AE54" i="21" s="1"/>
  <c r="AC53" i="21"/>
  <c r="AD53" i="21" s="1"/>
  <c r="AE53" i="21" s="1"/>
  <c r="AC52" i="21"/>
  <c r="AD52" i="21"/>
  <c r="AE52" i="21" s="1"/>
  <c r="AC51" i="21"/>
  <c r="AD51" i="21" s="1"/>
  <c r="AE51" i="21" s="1"/>
  <c r="AC50" i="21"/>
  <c r="AD50" i="21"/>
  <c r="AE50" i="21"/>
  <c r="AC49" i="21"/>
  <c r="AD49" i="21" s="1"/>
  <c r="AE49" i="21"/>
  <c r="AC48" i="21"/>
  <c r="AD48" i="21"/>
  <c r="AE48" i="21" s="1"/>
  <c r="AC47" i="21"/>
  <c r="AD47" i="21"/>
  <c r="AE47" i="21"/>
  <c r="AC46" i="21"/>
  <c r="AD46" i="21" s="1"/>
  <c r="AE46" i="21" s="1"/>
  <c r="AC45" i="21"/>
  <c r="AD45" i="21" s="1"/>
  <c r="AE45" i="21"/>
  <c r="AC44" i="21"/>
  <c r="AD44" i="21"/>
  <c r="AE44" i="21" s="1"/>
  <c r="AC43" i="21"/>
  <c r="AD43" i="21"/>
  <c r="AE43" i="21" s="1"/>
  <c r="AC42" i="21"/>
  <c r="AD42" i="21"/>
  <c r="AE42" i="21"/>
  <c r="AC41" i="21"/>
  <c r="AD41" i="21" s="1"/>
  <c r="AE41" i="21" s="1"/>
  <c r="AC381" i="21"/>
  <c r="AD381" i="21" s="1"/>
  <c r="AE381" i="21" s="1"/>
  <c r="AC40" i="21"/>
  <c r="AD40" i="21" s="1"/>
  <c r="AE40" i="21"/>
  <c r="AC39" i="21"/>
  <c r="AD39" i="21" s="1"/>
  <c r="AE39" i="21" s="1"/>
  <c r="AC38" i="21"/>
  <c r="AD38" i="21" s="1"/>
  <c r="AE38" i="21"/>
  <c r="AC37" i="21"/>
  <c r="AD37" i="21" s="1"/>
  <c r="AE37" i="21" s="1"/>
  <c r="AC36" i="21"/>
  <c r="AD36" i="21"/>
  <c r="AE36" i="21" s="1"/>
  <c r="AC35" i="21"/>
  <c r="AD35" i="21" s="1"/>
  <c r="AE35" i="21"/>
  <c r="AC34" i="21"/>
  <c r="AD34" i="21" s="1"/>
  <c r="AE34" i="21"/>
  <c r="AC33" i="21"/>
  <c r="AD33" i="21"/>
  <c r="AE33" i="21" s="1"/>
  <c r="AC32" i="21"/>
  <c r="AD32" i="21"/>
  <c r="AE32" i="21" s="1"/>
  <c r="AC31" i="21"/>
  <c r="AD31" i="21"/>
  <c r="AE31" i="21" s="1"/>
  <c r="AC30" i="21"/>
  <c r="AD30" i="21" s="1"/>
  <c r="AE30" i="21"/>
  <c r="AC29" i="21"/>
  <c r="AD29" i="21" s="1"/>
  <c r="AE29" i="21" s="1"/>
  <c r="AC27" i="21"/>
  <c r="AD27" i="21" s="1"/>
  <c r="AE27" i="21" s="1"/>
  <c r="AC371" i="21"/>
  <c r="AD371" i="21"/>
  <c r="AE371" i="21" s="1"/>
  <c r="AC26" i="21"/>
  <c r="AD26" i="21" s="1"/>
  <c r="AE26" i="21" s="1"/>
  <c r="AC25" i="21"/>
  <c r="AD25" i="21"/>
  <c r="AE25" i="21" s="1"/>
  <c r="AC24" i="21"/>
  <c r="AD24" i="21" s="1"/>
  <c r="AE24" i="21" s="1"/>
  <c r="AC23" i="21"/>
  <c r="AD23" i="21" s="1"/>
  <c r="AE23" i="21" s="1"/>
  <c r="AC22" i="21"/>
  <c r="AD22" i="21" s="1"/>
  <c r="AE22" i="21"/>
  <c r="AC21" i="21"/>
  <c r="AD21" i="21" s="1"/>
  <c r="AE21" i="21" s="1"/>
  <c r="AC20" i="21"/>
  <c r="AD20" i="21"/>
  <c r="AE20" i="21"/>
  <c r="AC19" i="21"/>
  <c r="AD19" i="21" s="1"/>
  <c r="AE19" i="21"/>
  <c r="AC18" i="21"/>
  <c r="AD18" i="21" s="1"/>
  <c r="AE18" i="21" s="1"/>
  <c r="AC17" i="21"/>
  <c r="AD17" i="21" s="1"/>
  <c r="AE17" i="21" s="1"/>
  <c r="AC16" i="21"/>
  <c r="AD16" i="21" s="1"/>
  <c r="AE16" i="21" s="1"/>
  <c r="AC15" i="21"/>
  <c r="AD15" i="21"/>
  <c r="AE15" i="21" s="1"/>
  <c r="AC14" i="21"/>
  <c r="AD14" i="21" s="1"/>
  <c r="AE14" i="21" s="1"/>
  <c r="AC12" i="21"/>
  <c r="AD12" i="21" s="1"/>
  <c r="AE12" i="21" s="1"/>
  <c r="AC11" i="21"/>
  <c r="AD11" i="21"/>
  <c r="AE11" i="21" s="1"/>
  <c r="AC10" i="21"/>
  <c r="AD10" i="21"/>
  <c r="AE10" i="21"/>
  <c r="AC9" i="21"/>
  <c r="AD9" i="21" s="1"/>
  <c r="AE9" i="21" s="1"/>
  <c r="AC8" i="21"/>
  <c r="AD8" i="21"/>
  <c r="AE8" i="21" s="1"/>
  <c r="AC7" i="21"/>
  <c r="AD7" i="21" s="1"/>
  <c r="AE7" i="21" s="1"/>
  <c r="AC6" i="21"/>
  <c r="AD6" i="21"/>
  <c r="AE6" i="21"/>
  <c r="AC5" i="21"/>
  <c r="AD5" i="21" s="1"/>
  <c r="AE5" i="21"/>
  <c r="AC4" i="21"/>
  <c r="AD4" i="21"/>
  <c r="AE4" i="21" s="1"/>
  <c r="AC3" i="21"/>
  <c r="AD3" i="21"/>
  <c r="AE3" i="21"/>
  <c r="AC361" i="21"/>
  <c r="AD361" i="21" s="1"/>
  <c r="AE361" i="21"/>
  <c r="AC2" i="21"/>
  <c r="AD2" i="21" s="1"/>
  <c r="AE2" i="21"/>
  <c r="O410" i="21"/>
  <c r="N410" i="21"/>
  <c r="M410" i="21"/>
  <c r="L410" i="21"/>
  <c r="K410" i="21"/>
  <c r="J410" i="21"/>
  <c r="I410" i="21"/>
  <c r="H410" i="21"/>
  <c r="G410" i="21"/>
  <c r="F410" i="21"/>
  <c r="E410" i="21"/>
  <c r="D410" i="21"/>
  <c r="C410" i="21"/>
  <c r="O420" i="21"/>
  <c r="N420" i="21"/>
  <c r="M420" i="21"/>
  <c r="L420" i="21"/>
  <c r="K420" i="21"/>
  <c r="J420" i="21"/>
  <c r="I420" i="21"/>
  <c r="H420" i="21"/>
  <c r="G420" i="21"/>
  <c r="F420" i="21"/>
  <c r="E420" i="21"/>
  <c r="D420" i="21"/>
  <c r="C420" i="21"/>
  <c r="O396" i="21"/>
  <c r="N396" i="21"/>
  <c r="M396" i="21"/>
  <c r="L396" i="21"/>
  <c r="K396" i="21"/>
  <c r="J396" i="21"/>
  <c r="I396" i="21"/>
  <c r="H396" i="21"/>
  <c r="G396" i="21"/>
  <c r="F396" i="21"/>
  <c r="E396" i="21"/>
  <c r="D396" i="21"/>
  <c r="C396" i="21"/>
  <c r="O400" i="21"/>
  <c r="N400" i="21"/>
  <c r="M400" i="21"/>
  <c r="L400" i="21"/>
  <c r="K400" i="21"/>
  <c r="J400" i="21"/>
  <c r="I400" i="21"/>
  <c r="H400" i="21"/>
  <c r="G400" i="21"/>
  <c r="F400" i="21"/>
  <c r="E400" i="21"/>
  <c r="D400" i="21"/>
  <c r="C400" i="21"/>
  <c r="O405" i="21"/>
  <c r="N405" i="21"/>
  <c r="M405" i="21"/>
  <c r="L405" i="21"/>
  <c r="K405" i="21"/>
  <c r="J405" i="21"/>
  <c r="I405" i="21"/>
  <c r="H405" i="21"/>
  <c r="G405" i="21"/>
  <c r="F405" i="21"/>
  <c r="E405" i="21"/>
  <c r="D405" i="21"/>
  <c r="C405" i="21"/>
  <c r="O414" i="21"/>
  <c r="N414" i="21"/>
  <c r="M414" i="21"/>
  <c r="L414" i="21"/>
  <c r="K414" i="21"/>
  <c r="J414" i="21"/>
  <c r="I414" i="21"/>
  <c r="H414" i="21"/>
  <c r="G414" i="21"/>
  <c r="F414" i="21"/>
  <c r="E414" i="21"/>
  <c r="D414" i="21"/>
  <c r="C414" i="21"/>
  <c r="O386" i="21"/>
  <c r="N386" i="21"/>
  <c r="M386" i="21"/>
  <c r="L386" i="21"/>
  <c r="K386" i="21"/>
  <c r="J386" i="21"/>
  <c r="I386" i="21"/>
  <c r="H386" i="21"/>
  <c r="G386" i="21"/>
  <c r="F386" i="21"/>
  <c r="E386" i="21"/>
  <c r="D386" i="21"/>
  <c r="C386" i="21"/>
  <c r="O375" i="21"/>
  <c r="N375" i="21"/>
  <c r="M375" i="21"/>
  <c r="L375" i="21"/>
  <c r="K375" i="21"/>
  <c r="J375" i="21"/>
  <c r="I375" i="21"/>
  <c r="H375" i="21"/>
  <c r="G375" i="21"/>
  <c r="F375" i="21"/>
  <c r="E375" i="21"/>
  <c r="D375" i="21"/>
  <c r="C375" i="21"/>
  <c r="O379" i="21"/>
  <c r="N379" i="21"/>
  <c r="M379" i="21"/>
  <c r="L379" i="21"/>
  <c r="K379" i="21"/>
  <c r="J379" i="21"/>
  <c r="I379" i="21"/>
  <c r="H379" i="21"/>
  <c r="G379" i="21"/>
  <c r="F379" i="21"/>
  <c r="E379" i="21"/>
  <c r="D379" i="21"/>
  <c r="C379" i="21"/>
  <c r="O391" i="21"/>
  <c r="N391" i="21"/>
  <c r="M391" i="21"/>
  <c r="L391" i="21"/>
  <c r="K391" i="21"/>
  <c r="J391" i="21"/>
  <c r="I391" i="21"/>
  <c r="H391" i="21"/>
  <c r="G391" i="21"/>
  <c r="F391" i="21"/>
  <c r="E391" i="21"/>
  <c r="D391" i="21"/>
  <c r="C391" i="21"/>
  <c r="O369" i="21"/>
  <c r="N369" i="21"/>
  <c r="M369" i="21"/>
  <c r="L369" i="21"/>
  <c r="K369" i="21"/>
  <c r="J369" i="21"/>
  <c r="I369" i="21"/>
  <c r="H369" i="21"/>
  <c r="G369" i="21"/>
  <c r="F369" i="21"/>
  <c r="E369" i="21"/>
  <c r="D369" i="21"/>
  <c r="C369" i="21"/>
  <c r="E364" i="21"/>
  <c r="D364" i="21"/>
  <c r="C364" i="21"/>
  <c r="O364" i="21"/>
  <c r="N364" i="21"/>
  <c r="M364" i="21"/>
  <c r="L364" i="21"/>
  <c r="K364" i="21"/>
  <c r="J364" i="21"/>
  <c r="I364" i="21"/>
  <c r="H364" i="21"/>
  <c r="G364" i="21"/>
  <c r="F364" i="21"/>
  <c r="AO357" i="24"/>
  <c r="S357" i="21"/>
  <c r="R357" i="21"/>
  <c r="Q357" i="21"/>
  <c r="P357" i="21"/>
  <c r="C357" i="21"/>
  <c r="T356" i="21"/>
  <c r="U356" i="21" s="1"/>
  <c r="V356" i="21" s="1"/>
  <c r="T355" i="21"/>
  <c r="U355" i="21"/>
  <c r="V355" i="21" s="1"/>
  <c r="T354" i="21"/>
  <c r="U354" i="21" s="1"/>
  <c r="V354" i="21" s="1"/>
  <c r="T353" i="21"/>
  <c r="U353" i="21" s="1"/>
  <c r="V353" i="21" s="1"/>
  <c r="T352" i="21"/>
  <c r="U352" i="21"/>
  <c r="V352" i="21" s="1"/>
  <c r="T351" i="21"/>
  <c r="U351" i="21"/>
  <c r="V351" i="21"/>
  <c r="T350" i="21"/>
  <c r="U350" i="21" s="1"/>
  <c r="V350" i="21" s="1"/>
  <c r="T349" i="21"/>
  <c r="U349" i="21"/>
  <c r="V349" i="21" s="1"/>
  <c r="T348" i="21"/>
  <c r="U348" i="21" s="1"/>
  <c r="V348" i="21" s="1"/>
  <c r="T347" i="21"/>
  <c r="U347" i="21"/>
  <c r="V347" i="21" s="1"/>
  <c r="T346" i="21"/>
  <c r="U346" i="21" s="1"/>
  <c r="V346" i="21"/>
  <c r="T345" i="21"/>
  <c r="U345" i="21" s="1"/>
  <c r="V345" i="21" s="1"/>
  <c r="T344" i="21"/>
  <c r="U344" i="21"/>
  <c r="V344" i="21" s="1"/>
  <c r="T343" i="21"/>
  <c r="U343" i="21" s="1"/>
  <c r="V343" i="21" s="1"/>
  <c r="T342" i="21"/>
  <c r="U342" i="21" s="1"/>
  <c r="V342" i="21" s="1"/>
  <c r="T341" i="21"/>
  <c r="U341" i="21" s="1"/>
  <c r="V341" i="21" s="1"/>
  <c r="T340" i="21"/>
  <c r="U340" i="21" s="1"/>
  <c r="V340" i="21" s="1"/>
  <c r="T339" i="21"/>
  <c r="U339" i="21"/>
  <c r="V339" i="21" s="1"/>
  <c r="T338" i="21"/>
  <c r="U338" i="21" s="1"/>
  <c r="V338" i="21"/>
  <c r="T337" i="21"/>
  <c r="U337" i="21" s="1"/>
  <c r="V337" i="21" s="1"/>
  <c r="T336" i="21"/>
  <c r="U336" i="21" s="1"/>
  <c r="V336" i="21" s="1"/>
  <c r="T335" i="21"/>
  <c r="U335" i="21"/>
  <c r="V335" i="21"/>
  <c r="T334" i="21"/>
  <c r="U334" i="21" s="1"/>
  <c r="V334" i="21" s="1"/>
  <c r="T333" i="21"/>
  <c r="U333" i="21"/>
  <c r="V333" i="21" s="1"/>
  <c r="T332" i="21"/>
  <c r="U332" i="21" s="1"/>
  <c r="V332" i="21" s="1"/>
  <c r="T331" i="21"/>
  <c r="U331" i="21"/>
  <c r="V331" i="21" s="1"/>
  <c r="T330" i="21"/>
  <c r="U330" i="21" s="1"/>
  <c r="V330" i="21"/>
  <c r="T329" i="21"/>
  <c r="U329" i="21" s="1"/>
  <c r="V329" i="21" s="1"/>
  <c r="T328" i="21"/>
  <c r="U328" i="21"/>
  <c r="V328" i="21"/>
  <c r="T327" i="21"/>
  <c r="U327" i="21"/>
  <c r="V327" i="21"/>
  <c r="T326" i="21"/>
  <c r="U326" i="21" s="1"/>
  <c r="V326" i="21" s="1"/>
  <c r="T325" i="21"/>
  <c r="U325" i="21"/>
  <c r="V325" i="21" s="1"/>
  <c r="T324" i="21"/>
  <c r="U324" i="21" s="1"/>
  <c r="V324" i="21" s="1"/>
  <c r="T323" i="21"/>
  <c r="U323" i="21" s="1"/>
  <c r="V323" i="21" s="1"/>
  <c r="T322" i="21"/>
  <c r="U322" i="21" s="1"/>
  <c r="V322" i="21"/>
  <c r="T321" i="21"/>
  <c r="U321" i="21" s="1"/>
  <c r="V321" i="21" s="1"/>
  <c r="T320" i="21"/>
  <c r="U320" i="21"/>
  <c r="V320" i="21"/>
  <c r="T319" i="21"/>
  <c r="U319" i="21" s="1"/>
  <c r="V319" i="21" s="1"/>
  <c r="T318" i="21"/>
  <c r="U318" i="21" s="1"/>
  <c r="V318" i="21" s="1"/>
  <c r="T317" i="21"/>
  <c r="U317" i="21" s="1"/>
  <c r="V317" i="21" s="1"/>
  <c r="T316" i="21"/>
  <c r="U316" i="21" s="1"/>
  <c r="V316" i="21" s="1"/>
  <c r="T315" i="21"/>
  <c r="U315" i="21"/>
  <c r="V315" i="21" s="1"/>
  <c r="T314" i="21"/>
  <c r="U314" i="21" s="1"/>
  <c r="V314" i="21"/>
  <c r="T313" i="21"/>
  <c r="U313" i="21" s="1"/>
  <c r="V313" i="21" s="1"/>
  <c r="T312" i="21"/>
  <c r="U312" i="21" s="1"/>
  <c r="V312" i="21" s="1"/>
  <c r="T311" i="21"/>
  <c r="U311" i="21"/>
  <c r="V311" i="21"/>
  <c r="T310" i="21"/>
  <c r="U310" i="21" s="1"/>
  <c r="V310" i="21" s="1"/>
  <c r="T309" i="21"/>
  <c r="U309" i="21"/>
  <c r="V309" i="21" s="1"/>
  <c r="T308" i="21"/>
  <c r="U308" i="21" s="1"/>
  <c r="V308" i="21" s="1"/>
  <c r="T307" i="21"/>
  <c r="U307" i="21"/>
  <c r="V307" i="21" s="1"/>
  <c r="T306" i="21"/>
  <c r="U306" i="21" s="1"/>
  <c r="V306" i="21"/>
  <c r="T305" i="21"/>
  <c r="U305" i="21" s="1"/>
  <c r="V305" i="21" s="1"/>
  <c r="T304" i="21"/>
  <c r="U304" i="21"/>
  <c r="V304" i="21" s="1"/>
  <c r="T303" i="21"/>
  <c r="U303" i="21" s="1"/>
  <c r="V303" i="21" s="1"/>
  <c r="T302" i="21"/>
  <c r="U302" i="21" s="1"/>
  <c r="V302" i="21" s="1"/>
  <c r="T301" i="21"/>
  <c r="U301" i="21" s="1"/>
  <c r="V301" i="21" s="1"/>
  <c r="T300" i="21"/>
  <c r="U300" i="21" s="1"/>
  <c r="V300" i="21" s="1"/>
  <c r="T299" i="21"/>
  <c r="U299" i="21"/>
  <c r="V299" i="21" s="1"/>
  <c r="T298" i="21"/>
  <c r="U298" i="21" s="1"/>
  <c r="V298" i="21"/>
  <c r="T297" i="21"/>
  <c r="U297" i="21" s="1"/>
  <c r="V297" i="21" s="1"/>
  <c r="T296" i="21"/>
  <c r="U296" i="21" s="1"/>
  <c r="V296" i="21" s="1"/>
  <c r="T295" i="21"/>
  <c r="U295" i="21"/>
  <c r="V295" i="21" s="1"/>
  <c r="T294" i="21"/>
  <c r="U294" i="21" s="1"/>
  <c r="V294" i="21" s="1"/>
  <c r="T293" i="21"/>
  <c r="U293" i="21"/>
  <c r="V293" i="21" s="1"/>
  <c r="T292" i="21"/>
  <c r="U292" i="21" s="1"/>
  <c r="V292" i="21" s="1"/>
  <c r="T291" i="21"/>
  <c r="U291" i="21"/>
  <c r="V291" i="21" s="1"/>
  <c r="T290" i="21"/>
  <c r="U290" i="21" s="1"/>
  <c r="V290" i="21" s="1"/>
  <c r="T289" i="21"/>
  <c r="U289" i="21" s="1"/>
  <c r="V289" i="21" s="1"/>
  <c r="T288" i="21"/>
  <c r="U288" i="21"/>
  <c r="V288" i="21" s="1"/>
  <c r="T287" i="21"/>
  <c r="U287" i="21"/>
  <c r="V287" i="21"/>
  <c r="T286" i="21"/>
  <c r="U286" i="21" s="1"/>
  <c r="V286" i="21" s="1"/>
  <c r="T285" i="21"/>
  <c r="U285" i="21"/>
  <c r="V285" i="21" s="1"/>
  <c r="T284" i="21"/>
  <c r="U284" i="21" s="1"/>
  <c r="V284" i="21" s="1"/>
  <c r="T283" i="21"/>
  <c r="U283" i="21"/>
  <c r="V283" i="21" s="1"/>
  <c r="T282" i="21"/>
  <c r="U282" i="21" s="1"/>
  <c r="V282" i="21"/>
  <c r="T281" i="21"/>
  <c r="U281" i="21" s="1"/>
  <c r="V281" i="21" s="1"/>
  <c r="T280" i="21"/>
  <c r="U280" i="21"/>
  <c r="V280" i="21" s="1"/>
  <c r="T279" i="21"/>
  <c r="U279" i="21" s="1"/>
  <c r="V279" i="21" s="1"/>
  <c r="T278" i="21"/>
  <c r="U278" i="21" s="1"/>
  <c r="V278" i="21" s="1"/>
  <c r="T277" i="21"/>
  <c r="U277" i="21" s="1"/>
  <c r="V277" i="21" s="1"/>
  <c r="T276" i="21"/>
  <c r="U276" i="21" s="1"/>
  <c r="V276" i="21" s="1"/>
  <c r="T275" i="21"/>
  <c r="U275" i="21"/>
  <c r="V275" i="21" s="1"/>
  <c r="T274" i="21"/>
  <c r="U274" i="21" s="1"/>
  <c r="V274" i="21"/>
  <c r="T273" i="21"/>
  <c r="U273" i="21" s="1"/>
  <c r="V273" i="21" s="1"/>
  <c r="T272" i="21"/>
  <c r="U272" i="21" s="1"/>
  <c r="V272" i="21" s="1"/>
  <c r="T271" i="21"/>
  <c r="U271" i="21"/>
  <c r="V271" i="21"/>
  <c r="T270" i="21"/>
  <c r="U270" i="21" s="1"/>
  <c r="V270" i="21" s="1"/>
  <c r="T269" i="21"/>
  <c r="U269" i="21"/>
  <c r="V269" i="21" s="1"/>
  <c r="T268" i="21"/>
  <c r="U268" i="21" s="1"/>
  <c r="V268" i="21" s="1"/>
  <c r="T267" i="21"/>
  <c r="U267" i="21"/>
  <c r="V267" i="21" s="1"/>
  <c r="T266" i="21"/>
  <c r="U266" i="21" s="1"/>
  <c r="V266" i="21"/>
  <c r="T265" i="21"/>
  <c r="U265" i="21" s="1"/>
  <c r="V265" i="21" s="1"/>
  <c r="T264" i="21"/>
  <c r="U264" i="21"/>
  <c r="V264" i="21"/>
  <c r="T263" i="21"/>
  <c r="U263" i="21"/>
  <c r="V263" i="21"/>
  <c r="T262" i="21"/>
  <c r="U262" i="21" s="1"/>
  <c r="V262" i="21" s="1"/>
  <c r="T261" i="21"/>
  <c r="U261" i="21"/>
  <c r="V261" i="21" s="1"/>
  <c r="T260" i="21"/>
  <c r="U260" i="21" s="1"/>
  <c r="V260" i="21" s="1"/>
  <c r="T259" i="21"/>
  <c r="U259" i="21" s="1"/>
  <c r="V259" i="21" s="1"/>
  <c r="T258" i="21"/>
  <c r="U258" i="21" s="1"/>
  <c r="V258" i="21"/>
  <c r="T257" i="21"/>
  <c r="U257" i="21" s="1"/>
  <c r="V257" i="21" s="1"/>
  <c r="T256" i="21"/>
  <c r="U256" i="21"/>
  <c r="V256" i="21"/>
  <c r="T255" i="21"/>
  <c r="U255" i="21" s="1"/>
  <c r="V255" i="21" s="1"/>
  <c r="T254" i="21"/>
  <c r="U254" i="21" s="1"/>
  <c r="V254" i="21" s="1"/>
  <c r="T253" i="21"/>
  <c r="U253" i="21" s="1"/>
  <c r="V253" i="21" s="1"/>
  <c r="T252" i="21"/>
  <c r="U252" i="21" s="1"/>
  <c r="V252" i="21" s="1"/>
  <c r="T251" i="21"/>
  <c r="U251" i="21"/>
  <c r="V251" i="21" s="1"/>
  <c r="T250" i="21"/>
  <c r="U250" i="21" s="1"/>
  <c r="V250" i="21"/>
  <c r="T249" i="21"/>
  <c r="U249" i="21" s="1"/>
  <c r="V249" i="21" s="1"/>
  <c r="T248" i="21"/>
  <c r="U248" i="21" s="1"/>
  <c r="V248" i="21" s="1"/>
  <c r="T247" i="21"/>
  <c r="U247" i="21"/>
  <c r="V247" i="21"/>
  <c r="T246" i="21"/>
  <c r="U246" i="21" s="1"/>
  <c r="V246" i="21" s="1"/>
  <c r="T245" i="21"/>
  <c r="U245" i="21"/>
  <c r="V245" i="21" s="1"/>
  <c r="T244" i="21"/>
  <c r="U244" i="21" s="1"/>
  <c r="V244" i="21" s="1"/>
  <c r="T243" i="21"/>
  <c r="U243" i="21"/>
  <c r="V243" i="21" s="1"/>
  <c r="T242" i="21"/>
  <c r="U242" i="21" s="1"/>
  <c r="V242" i="21"/>
  <c r="T241" i="21"/>
  <c r="U241" i="21" s="1"/>
  <c r="V241" i="21" s="1"/>
  <c r="T240" i="21"/>
  <c r="U240" i="21"/>
  <c r="V240" i="21" s="1"/>
  <c r="T239" i="21"/>
  <c r="U239" i="21" s="1"/>
  <c r="V239" i="21" s="1"/>
  <c r="T238" i="21"/>
  <c r="U238" i="21" s="1"/>
  <c r="V238" i="21" s="1"/>
  <c r="T237" i="21"/>
  <c r="U237" i="21" s="1"/>
  <c r="V237" i="21" s="1"/>
  <c r="T236" i="21"/>
  <c r="U236" i="21" s="1"/>
  <c r="V236" i="21" s="1"/>
  <c r="T235" i="21"/>
  <c r="U235" i="21"/>
  <c r="V235" i="21" s="1"/>
  <c r="T234" i="21"/>
  <c r="U234" i="21" s="1"/>
  <c r="V234" i="21"/>
  <c r="T233" i="21"/>
  <c r="U233" i="21" s="1"/>
  <c r="V233" i="21" s="1"/>
  <c r="T232" i="21"/>
  <c r="U232" i="21" s="1"/>
  <c r="V232" i="21" s="1"/>
  <c r="T231" i="21"/>
  <c r="U231" i="21"/>
  <c r="V231" i="21" s="1"/>
  <c r="T230" i="21"/>
  <c r="U230" i="21" s="1"/>
  <c r="V230" i="21" s="1"/>
  <c r="T229" i="21"/>
  <c r="U229" i="21"/>
  <c r="V229" i="21" s="1"/>
  <c r="T228" i="21"/>
  <c r="U228" i="21" s="1"/>
  <c r="V228" i="21" s="1"/>
  <c r="T227" i="21"/>
  <c r="U227" i="21"/>
  <c r="V227" i="21" s="1"/>
  <c r="T226" i="21"/>
  <c r="U226" i="21" s="1"/>
  <c r="V226" i="21" s="1"/>
  <c r="T225" i="21"/>
  <c r="U225" i="21" s="1"/>
  <c r="V225" i="21" s="1"/>
  <c r="T224" i="21"/>
  <c r="U224" i="21"/>
  <c r="V224" i="21" s="1"/>
  <c r="T223" i="21"/>
  <c r="U223" i="21"/>
  <c r="V223" i="21"/>
  <c r="T222" i="21"/>
  <c r="U222" i="21" s="1"/>
  <c r="V222" i="21" s="1"/>
  <c r="T221" i="21"/>
  <c r="U221" i="21"/>
  <c r="V221" i="21" s="1"/>
  <c r="T220" i="21"/>
  <c r="U220" i="21" s="1"/>
  <c r="V220" i="21" s="1"/>
  <c r="T219" i="21"/>
  <c r="U219" i="21"/>
  <c r="V219" i="21" s="1"/>
  <c r="T218" i="21"/>
  <c r="U218" i="21" s="1"/>
  <c r="V218" i="21"/>
  <c r="T217" i="21"/>
  <c r="U217" i="21" s="1"/>
  <c r="V217" i="21" s="1"/>
  <c r="T216" i="21"/>
  <c r="U216" i="21"/>
  <c r="V216" i="21" s="1"/>
  <c r="T215" i="21"/>
  <c r="U215" i="21" s="1"/>
  <c r="V215" i="21" s="1"/>
  <c r="T214" i="21"/>
  <c r="U214" i="21" s="1"/>
  <c r="V214" i="21" s="1"/>
  <c r="T213" i="21"/>
  <c r="U213" i="21" s="1"/>
  <c r="V213" i="21" s="1"/>
  <c r="T212" i="21"/>
  <c r="U212" i="21" s="1"/>
  <c r="V212" i="21" s="1"/>
  <c r="T211" i="21"/>
  <c r="U211" i="21"/>
  <c r="V211" i="21" s="1"/>
  <c r="T210" i="21"/>
  <c r="U210" i="21" s="1"/>
  <c r="V210" i="21"/>
  <c r="T209" i="21"/>
  <c r="U209" i="21" s="1"/>
  <c r="V209" i="21" s="1"/>
  <c r="T208" i="21"/>
  <c r="U208" i="21" s="1"/>
  <c r="V208" i="21" s="1"/>
  <c r="T207" i="21"/>
  <c r="U207" i="21"/>
  <c r="V207" i="21"/>
  <c r="T206" i="21"/>
  <c r="U206" i="21" s="1"/>
  <c r="V206" i="21" s="1"/>
  <c r="T205" i="21"/>
  <c r="U205" i="21"/>
  <c r="V205" i="21" s="1"/>
  <c r="T204" i="21"/>
  <c r="U204" i="21" s="1"/>
  <c r="V204" i="21" s="1"/>
  <c r="T203" i="21"/>
  <c r="U203" i="21"/>
  <c r="V203" i="21" s="1"/>
  <c r="T202" i="21"/>
  <c r="U202" i="21" s="1"/>
  <c r="V202" i="21"/>
  <c r="T201" i="21"/>
  <c r="U201" i="21" s="1"/>
  <c r="V201" i="21" s="1"/>
  <c r="T200" i="21"/>
  <c r="U200" i="21"/>
  <c r="V200" i="21"/>
  <c r="T199" i="21"/>
  <c r="U199" i="21"/>
  <c r="V199" i="21"/>
  <c r="T198" i="21"/>
  <c r="U198" i="21" s="1"/>
  <c r="V198" i="21" s="1"/>
  <c r="T197" i="21"/>
  <c r="U197" i="21"/>
  <c r="V197" i="21" s="1"/>
  <c r="T196" i="21"/>
  <c r="U196" i="21" s="1"/>
  <c r="V196" i="21" s="1"/>
  <c r="T195" i="21"/>
  <c r="U195" i="21" s="1"/>
  <c r="V195" i="21" s="1"/>
  <c r="T194" i="21"/>
  <c r="U194" i="21" s="1"/>
  <c r="V194" i="21"/>
  <c r="T193" i="21"/>
  <c r="U193" i="21" s="1"/>
  <c r="V193" i="21" s="1"/>
  <c r="T192" i="21"/>
  <c r="U192" i="21"/>
  <c r="V192" i="21"/>
  <c r="T191" i="21"/>
  <c r="U191" i="21" s="1"/>
  <c r="V191" i="21" s="1"/>
  <c r="T190" i="21"/>
  <c r="U190" i="21" s="1"/>
  <c r="V190" i="21" s="1"/>
  <c r="T189" i="21"/>
  <c r="U189" i="21" s="1"/>
  <c r="V189" i="21" s="1"/>
  <c r="T188" i="21"/>
  <c r="U188" i="21" s="1"/>
  <c r="V188" i="21" s="1"/>
  <c r="T187" i="21"/>
  <c r="U187" i="21"/>
  <c r="V187" i="21" s="1"/>
  <c r="T186" i="21"/>
  <c r="U186" i="21" s="1"/>
  <c r="V186" i="21"/>
  <c r="T185" i="21"/>
  <c r="U185" i="21" s="1"/>
  <c r="V185" i="21" s="1"/>
  <c r="T184" i="21"/>
  <c r="U184" i="21" s="1"/>
  <c r="V184" i="21" s="1"/>
  <c r="T183" i="21"/>
  <c r="U183" i="21"/>
  <c r="V183" i="21"/>
  <c r="T182" i="21"/>
  <c r="U182" i="21" s="1"/>
  <c r="V182" i="21" s="1"/>
  <c r="T181" i="21"/>
  <c r="U181" i="21"/>
  <c r="V181" i="21" s="1"/>
  <c r="T180" i="21"/>
  <c r="U180" i="21" s="1"/>
  <c r="V180" i="21" s="1"/>
  <c r="T179" i="21"/>
  <c r="U179" i="21"/>
  <c r="V179" i="21" s="1"/>
  <c r="T178" i="21"/>
  <c r="U178" i="21" s="1"/>
  <c r="V178" i="21"/>
  <c r="T177" i="21"/>
  <c r="U177" i="21" s="1"/>
  <c r="V177" i="21" s="1"/>
  <c r="T176" i="21"/>
  <c r="U176" i="21"/>
  <c r="V176" i="21" s="1"/>
  <c r="T175" i="21"/>
  <c r="U175" i="21" s="1"/>
  <c r="V175" i="21" s="1"/>
  <c r="T174" i="21"/>
  <c r="U174" i="21" s="1"/>
  <c r="V174" i="21" s="1"/>
  <c r="T173" i="21"/>
  <c r="U173" i="21" s="1"/>
  <c r="V173" i="21" s="1"/>
  <c r="T172" i="21"/>
  <c r="U172" i="21" s="1"/>
  <c r="V172" i="21" s="1"/>
  <c r="T171" i="21"/>
  <c r="U171" i="21"/>
  <c r="V171" i="21" s="1"/>
  <c r="T170" i="21"/>
  <c r="U170" i="21" s="1"/>
  <c r="V170" i="21"/>
  <c r="T169" i="21"/>
  <c r="U169" i="21" s="1"/>
  <c r="V169" i="21" s="1"/>
  <c r="T168" i="21"/>
  <c r="U168" i="21" s="1"/>
  <c r="V168" i="21" s="1"/>
  <c r="T167" i="21"/>
  <c r="U167" i="21"/>
  <c r="V167" i="21" s="1"/>
  <c r="T166" i="21"/>
  <c r="U166" i="21" s="1"/>
  <c r="V166" i="21" s="1"/>
  <c r="T165" i="21"/>
  <c r="U165" i="21" s="1"/>
  <c r="V165" i="21" s="1"/>
  <c r="T164" i="21"/>
  <c r="U164" i="21" s="1"/>
  <c r="V164" i="21" s="1"/>
  <c r="T163" i="21"/>
  <c r="U163" i="21"/>
  <c r="V163" i="21"/>
  <c r="T162" i="21"/>
  <c r="U162" i="21" s="1"/>
  <c r="V162" i="21" s="1"/>
  <c r="T161" i="21"/>
  <c r="U161" i="21"/>
  <c r="V161" i="21" s="1"/>
  <c r="T160" i="21"/>
  <c r="U160" i="21" s="1"/>
  <c r="V160" i="21" s="1"/>
  <c r="T159" i="21"/>
  <c r="U159" i="21"/>
  <c r="V159" i="21"/>
  <c r="T158" i="21"/>
  <c r="U158" i="21" s="1"/>
  <c r="V158" i="21" s="1"/>
  <c r="T157" i="21"/>
  <c r="U157" i="21" s="1"/>
  <c r="V157" i="21" s="1"/>
  <c r="T156" i="21"/>
  <c r="U156" i="21"/>
  <c r="V156" i="21" s="1"/>
  <c r="T155" i="21"/>
  <c r="U155" i="21"/>
  <c r="V155" i="21"/>
  <c r="T154" i="21"/>
  <c r="U154" i="21" s="1"/>
  <c r="V154" i="21" s="1"/>
  <c r="T153" i="21"/>
  <c r="U153" i="21" s="1"/>
  <c r="V153" i="21" s="1"/>
  <c r="T152" i="21"/>
  <c r="U152" i="21"/>
  <c r="V152" i="21" s="1"/>
  <c r="T151" i="21"/>
  <c r="U151" i="21"/>
  <c r="V151" i="21"/>
  <c r="T150" i="21"/>
  <c r="U150" i="21" s="1"/>
  <c r="V150" i="21" s="1"/>
  <c r="T149" i="21"/>
  <c r="U149" i="21" s="1"/>
  <c r="V149" i="21" s="1"/>
  <c r="T148" i="21"/>
  <c r="U148" i="21"/>
  <c r="V148" i="21" s="1"/>
  <c r="T147" i="21"/>
  <c r="U147" i="21"/>
  <c r="V147" i="21"/>
  <c r="T146" i="21"/>
  <c r="U146" i="21" s="1"/>
  <c r="V146" i="21" s="1"/>
  <c r="T145" i="21"/>
  <c r="U145" i="21"/>
  <c r="V145" i="21" s="1"/>
  <c r="T144" i="21"/>
  <c r="U144" i="21"/>
  <c r="V144" i="21" s="1"/>
  <c r="T143" i="21"/>
  <c r="U143" i="21"/>
  <c r="V143" i="21"/>
  <c r="T142" i="21"/>
  <c r="U142" i="21" s="1"/>
  <c r="V142" i="21" s="1"/>
  <c r="T141" i="21"/>
  <c r="U141" i="21" s="1"/>
  <c r="V141" i="21" s="1"/>
  <c r="T140" i="21"/>
  <c r="U140" i="21"/>
  <c r="V140" i="21"/>
  <c r="T139" i="21"/>
  <c r="U139" i="21"/>
  <c r="V139" i="21"/>
  <c r="T138" i="21"/>
  <c r="U138" i="21" s="1"/>
  <c r="V138" i="21" s="1"/>
  <c r="T137" i="21"/>
  <c r="U137" i="21" s="1"/>
  <c r="V137" i="21" s="1"/>
  <c r="T136" i="21"/>
  <c r="U136" i="21"/>
  <c r="V136" i="21"/>
  <c r="T135" i="21"/>
  <c r="U135" i="21"/>
  <c r="V135" i="21"/>
  <c r="T134" i="21"/>
  <c r="U134" i="21" s="1"/>
  <c r="V134" i="21" s="1"/>
  <c r="T133" i="21"/>
  <c r="U133" i="21" s="1"/>
  <c r="V133" i="21" s="1"/>
  <c r="T132" i="21"/>
  <c r="U132" i="21"/>
  <c r="V132" i="21" s="1"/>
  <c r="T131" i="21"/>
  <c r="U131" i="21" s="1"/>
  <c r="V131" i="21" s="1"/>
  <c r="T130" i="21"/>
  <c r="U130" i="21" s="1"/>
  <c r="V130" i="21" s="1"/>
  <c r="T129" i="21"/>
  <c r="U129" i="21" s="1"/>
  <c r="V129" i="21" s="1"/>
  <c r="T128" i="21"/>
  <c r="U128" i="21"/>
  <c r="V128" i="21" s="1"/>
  <c r="T127" i="21"/>
  <c r="U127" i="21" s="1"/>
  <c r="V127" i="21" s="1"/>
  <c r="T126" i="21"/>
  <c r="U126" i="21" s="1"/>
  <c r="V126" i="21" s="1"/>
  <c r="T125" i="21"/>
  <c r="U125" i="21" s="1"/>
  <c r="V125" i="21" s="1"/>
  <c r="T124" i="21"/>
  <c r="U124" i="21"/>
  <c r="V124" i="21"/>
  <c r="T123" i="21"/>
  <c r="U123" i="21" s="1"/>
  <c r="V123" i="21" s="1"/>
  <c r="T122" i="21"/>
  <c r="U122" i="21" s="1"/>
  <c r="V122" i="21" s="1"/>
  <c r="T121" i="21"/>
  <c r="U121" i="21" s="1"/>
  <c r="V121" i="21" s="1"/>
  <c r="T120" i="21"/>
  <c r="U120" i="21"/>
  <c r="V120" i="21"/>
  <c r="T119" i="21"/>
  <c r="U119" i="21" s="1"/>
  <c r="V119" i="21" s="1"/>
  <c r="T118" i="21"/>
  <c r="U118" i="21" s="1"/>
  <c r="V118" i="21" s="1"/>
  <c r="T117" i="21"/>
  <c r="U117" i="21" s="1"/>
  <c r="V117" i="21" s="1"/>
  <c r="T116" i="21"/>
  <c r="U116" i="21"/>
  <c r="V116" i="21" s="1"/>
  <c r="T115" i="21"/>
  <c r="U115" i="21"/>
  <c r="V115" i="21" s="1"/>
  <c r="T114" i="21"/>
  <c r="U114" i="21" s="1"/>
  <c r="V114" i="21" s="1"/>
  <c r="T113" i="21"/>
  <c r="U113" i="21"/>
  <c r="V113" i="21" s="1"/>
  <c r="T112" i="21"/>
  <c r="U112" i="21"/>
  <c r="V112" i="21" s="1"/>
  <c r="T111" i="21"/>
  <c r="U111" i="21"/>
  <c r="V111" i="21" s="1"/>
  <c r="T110" i="21"/>
  <c r="U110" i="21" s="1"/>
  <c r="V110" i="21" s="1"/>
  <c r="T109" i="21"/>
  <c r="U109" i="21" s="1"/>
  <c r="V109" i="21" s="1"/>
  <c r="T108" i="21"/>
  <c r="U108" i="21" s="1"/>
  <c r="V108" i="21" s="1"/>
  <c r="T107" i="21"/>
  <c r="U107" i="21"/>
  <c r="V107" i="21" s="1"/>
  <c r="T106" i="21"/>
  <c r="U106" i="21" s="1"/>
  <c r="V106" i="21" s="1"/>
  <c r="T105" i="21"/>
  <c r="U105" i="21" s="1"/>
  <c r="V105" i="21" s="1"/>
  <c r="T104" i="21"/>
  <c r="U104" i="21" s="1"/>
  <c r="V104" i="21" s="1"/>
  <c r="T103" i="21"/>
  <c r="U103" i="21"/>
  <c r="V103" i="21" s="1"/>
  <c r="T102" i="21"/>
  <c r="U102" i="21" s="1"/>
  <c r="V102" i="21" s="1"/>
  <c r="T101" i="21"/>
  <c r="U101" i="21" s="1"/>
  <c r="V101" i="21" s="1"/>
  <c r="T100" i="21"/>
  <c r="U100" i="21" s="1"/>
  <c r="V100" i="21" s="1"/>
  <c r="T99" i="21"/>
  <c r="U99" i="21"/>
  <c r="V99" i="21"/>
  <c r="T98" i="21"/>
  <c r="U98" i="21" s="1"/>
  <c r="V98" i="21" s="1"/>
  <c r="T97" i="21"/>
  <c r="U97" i="21"/>
  <c r="V97" i="21" s="1"/>
  <c r="T96" i="21"/>
  <c r="U96" i="21" s="1"/>
  <c r="V96" i="21" s="1"/>
  <c r="T95" i="21"/>
  <c r="U95" i="21"/>
  <c r="V95" i="21"/>
  <c r="T94" i="21"/>
  <c r="U94" i="21" s="1"/>
  <c r="V94" i="21" s="1"/>
  <c r="T93" i="21"/>
  <c r="U93" i="21" s="1"/>
  <c r="V93" i="21" s="1"/>
  <c r="T92" i="21"/>
  <c r="U92" i="21"/>
  <c r="V92" i="21" s="1"/>
  <c r="T91" i="21"/>
  <c r="U91" i="21"/>
  <c r="V91" i="21"/>
  <c r="T90" i="21"/>
  <c r="U90" i="21" s="1"/>
  <c r="V90" i="21" s="1"/>
  <c r="T89" i="21"/>
  <c r="U89" i="21" s="1"/>
  <c r="V89" i="21" s="1"/>
  <c r="T88" i="21"/>
  <c r="U88" i="21"/>
  <c r="V88" i="21" s="1"/>
  <c r="T87" i="21"/>
  <c r="U87" i="21"/>
  <c r="V87" i="21"/>
  <c r="T86" i="21"/>
  <c r="U86" i="21" s="1"/>
  <c r="V86" i="21" s="1"/>
  <c r="T85" i="21"/>
  <c r="U85" i="21" s="1"/>
  <c r="V85" i="21" s="1"/>
  <c r="T84" i="21"/>
  <c r="U84" i="21"/>
  <c r="V84" i="21" s="1"/>
  <c r="T83" i="21"/>
  <c r="U83" i="21"/>
  <c r="V83" i="21"/>
  <c r="T82" i="21"/>
  <c r="U82" i="21" s="1"/>
  <c r="V82" i="21" s="1"/>
  <c r="T81" i="21"/>
  <c r="U81" i="21"/>
  <c r="V81" i="21" s="1"/>
  <c r="T80" i="21"/>
  <c r="U80" i="21"/>
  <c r="V80" i="21" s="1"/>
  <c r="T79" i="21"/>
  <c r="U79" i="21"/>
  <c r="V79" i="21"/>
  <c r="T78" i="21"/>
  <c r="U78" i="21" s="1"/>
  <c r="V78" i="21" s="1"/>
  <c r="T77" i="21"/>
  <c r="U77" i="21" s="1"/>
  <c r="V77" i="21" s="1"/>
  <c r="T76" i="21"/>
  <c r="U76" i="21"/>
  <c r="V76" i="21"/>
  <c r="T75" i="21"/>
  <c r="U75" i="21"/>
  <c r="V75" i="21"/>
  <c r="T74" i="21"/>
  <c r="U74" i="21" s="1"/>
  <c r="V74" i="21" s="1"/>
  <c r="T73" i="21"/>
  <c r="U73" i="21" s="1"/>
  <c r="V73" i="21" s="1"/>
  <c r="T72" i="21"/>
  <c r="U72" i="21"/>
  <c r="V72" i="21"/>
  <c r="T71" i="21"/>
  <c r="U71" i="21"/>
  <c r="V71" i="21"/>
  <c r="T70" i="21"/>
  <c r="U70" i="21" s="1"/>
  <c r="V70" i="21" s="1"/>
  <c r="T69" i="21"/>
  <c r="U69" i="21" s="1"/>
  <c r="V69" i="21" s="1"/>
  <c r="T68" i="21"/>
  <c r="U68" i="21"/>
  <c r="V68" i="21" s="1"/>
  <c r="T67" i="21"/>
  <c r="U67" i="21" s="1"/>
  <c r="V67" i="21" s="1"/>
  <c r="T66" i="21"/>
  <c r="U66" i="21" s="1"/>
  <c r="V66" i="21" s="1"/>
  <c r="T65" i="21"/>
  <c r="U65" i="21" s="1"/>
  <c r="V65" i="21" s="1"/>
  <c r="T64" i="21"/>
  <c r="U64" i="21"/>
  <c r="V64" i="21" s="1"/>
  <c r="T63" i="21"/>
  <c r="U63" i="21" s="1"/>
  <c r="V63" i="21" s="1"/>
  <c r="T62" i="21"/>
  <c r="U62" i="21" s="1"/>
  <c r="V62" i="21" s="1"/>
  <c r="T61" i="21"/>
  <c r="U61" i="21" s="1"/>
  <c r="V61" i="21" s="1"/>
  <c r="T60" i="21"/>
  <c r="U60" i="21"/>
  <c r="V60" i="21"/>
  <c r="T59" i="21"/>
  <c r="U59" i="21" s="1"/>
  <c r="V59" i="21" s="1"/>
  <c r="T58" i="21"/>
  <c r="U58" i="21" s="1"/>
  <c r="V58" i="21" s="1"/>
  <c r="T57" i="21"/>
  <c r="U57" i="21" s="1"/>
  <c r="V57" i="21" s="1"/>
  <c r="T56" i="21"/>
  <c r="U56" i="21"/>
  <c r="V56" i="21"/>
  <c r="T55" i="21"/>
  <c r="U55" i="21" s="1"/>
  <c r="V55" i="21" s="1"/>
  <c r="T54" i="21"/>
  <c r="U54" i="21" s="1"/>
  <c r="V54" i="21" s="1"/>
  <c r="T53" i="21"/>
  <c r="U53" i="21" s="1"/>
  <c r="V53" i="21" s="1"/>
  <c r="T52" i="21"/>
  <c r="U52" i="21"/>
  <c r="V52" i="21" s="1"/>
  <c r="T51" i="21"/>
  <c r="U51" i="21"/>
  <c r="V51" i="21" s="1"/>
  <c r="T50" i="21"/>
  <c r="U50" i="21" s="1"/>
  <c r="V50" i="21" s="1"/>
  <c r="T49" i="21"/>
  <c r="U49" i="21"/>
  <c r="V49" i="21" s="1"/>
  <c r="T48" i="21"/>
  <c r="U48" i="21"/>
  <c r="V48" i="21" s="1"/>
  <c r="T47" i="21"/>
  <c r="U47" i="21"/>
  <c r="V47" i="21" s="1"/>
  <c r="T46" i="21"/>
  <c r="U46" i="21" s="1"/>
  <c r="V46" i="21" s="1"/>
  <c r="T45" i="21"/>
  <c r="U45" i="21" s="1"/>
  <c r="V45" i="21" s="1"/>
  <c r="T44" i="21"/>
  <c r="U44" i="21" s="1"/>
  <c r="V44" i="21" s="1"/>
  <c r="T43" i="21"/>
  <c r="U43" i="21"/>
  <c r="V43" i="21" s="1"/>
  <c r="T42" i="21"/>
  <c r="U42" i="21" s="1"/>
  <c r="V42" i="21" s="1"/>
  <c r="T41" i="21"/>
  <c r="U41" i="21" s="1"/>
  <c r="V41" i="21" s="1"/>
  <c r="T40" i="21"/>
  <c r="U40" i="21" s="1"/>
  <c r="V40" i="21" s="1"/>
  <c r="T39" i="21"/>
  <c r="U39" i="21"/>
  <c r="V39" i="21" s="1"/>
  <c r="T38" i="21"/>
  <c r="U38" i="21" s="1"/>
  <c r="V38" i="21" s="1"/>
  <c r="T37" i="21"/>
  <c r="U37" i="21" s="1"/>
  <c r="V37" i="21" s="1"/>
  <c r="T36" i="21"/>
  <c r="U36" i="21" s="1"/>
  <c r="V36" i="21" s="1"/>
  <c r="T35" i="21"/>
  <c r="U35" i="21"/>
  <c r="V35" i="21"/>
  <c r="T34" i="21"/>
  <c r="U34" i="21" s="1"/>
  <c r="V34" i="21" s="1"/>
  <c r="T33" i="21"/>
  <c r="U33" i="21"/>
  <c r="V33" i="21" s="1"/>
  <c r="T32" i="21"/>
  <c r="U32" i="21" s="1"/>
  <c r="V32" i="21" s="1"/>
  <c r="T31" i="21"/>
  <c r="U31" i="21"/>
  <c r="V31" i="21"/>
  <c r="T30" i="21"/>
  <c r="U30" i="21" s="1"/>
  <c r="V30" i="21" s="1"/>
  <c r="T29" i="21"/>
  <c r="U29" i="21" s="1"/>
  <c r="V29" i="21" s="1"/>
  <c r="T28" i="21"/>
  <c r="U28" i="21"/>
  <c r="V28" i="21" s="1"/>
  <c r="T27" i="21"/>
  <c r="U27" i="21"/>
  <c r="V27" i="21"/>
  <c r="T26" i="21"/>
  <c r="U26" i="21" s="1"/>
  <c r="V26" i="21" s="1"/>
  <c r="T25" i="21"/>
  <c r="U25" i="21" s="1"/>
  <c r="V25" i="21" s="1"/>
  <c r="T24" i="21"/>
  <c r="U24" i="21"/>
  <c r="V24" i="21" s="1"/>
  <c r="T23" i="21"/>
  <c r="U23" i="21"/>
  <c r="V23" i="21"/>
  <c r="T22" i="21"/>
  <c r="U22" i="21" s="1"/>
  <c r="V22" i="21" s="1"/>
  <c r="T21" i="21"/>
  <c r="U21" i="21" s="1"/>
  <c r="V21" i="21" s="1"/>
  <c r="T20" i="21"/>
  <c r="U20" i="21"/>
  <c r="V20" i="21" s="1"/>
  <c r="T19" i="21"/>
  <c r="U19" i="21"/>
  <c r="V19" i="21"/>
  <c r="T18" i="21"/>
  <c r="U18" i="21" s="1"/>
  <c r="V18" i="21" s="1"/>
  <c r="T17" i="21"/>
  <c r="U17" i="21"/>
  <c r="V17" i="21" s="1"/>
  <c r="T16" i="21"/>
  <c r="U16" i="21"/>
  <c r="V16" i="21" s="1"/>
  <c r="T15" i="21"/>
  <c r="U15" i="21"/>
  <c r="V15" i="21"/>
  <c r="T14" i="21"/>
  <c r="U14" i="21" s="1"/>
  <c r="V14" i="21" s="1"/>
  <c r="T13" i="21"/>
  <c r="U13" i="21" s="1"/>
  <c r="V13" i="21" s="1"/>
  <c r="T12" i="21"/>
  <c r="U12" i="21"/>
  <c r="V12" i="21"/>
  <c r="T11" i="21"/>
  <c r="U11" i="21"/>
  <c r="V11" i="21"/>
  <c r="T10" i="21"/>
  <c r="U10" i="21" s="1"/>
  <c r="V10" i="21" s="1"/>
  <c r="T9" i="21"/>
  <c r="U9" i="21" s="1"/>
  <c r="V9" i="21" s="1"/>
  <c r="T2" i="21"/>
  <c r="U2" i="21"/>
  <c r="V2" i="21"/>
  <c r="T8" i="21"/>
  <c r="U8" i="21"/>
  <c r="V8" i="21"/>
  <c r="T7" i="21"/>
  <c r="U7" i="21" s="1"/>
  <c r="V7" i="21" s="1"/>
  <c r="T6" i="21"/>
  <c r="U6" i="21" s="1"/>
  <c r="V6" i="21" s="1"/>
  <c r="T5" i="21"/>
  <c r="U5" i="21"/>
  <c r="V5" i="21"/>
  <c r="T4" i="21"/>
  <c r="U4" i="21"/>
  <c r="V4" i="21"/>
  <c r="T3" i="21"/>
  <c r="U3" i="21" s="1"/>
  <c r="V3" i="21" s="1"/>
  <c r="S420" i="21"/>
  <c r="R420" i="21"/>
  <c r="Q420" i="21"/>
  <c r="T420" i="21" s="1"/>
  <c r="U420" i="21" s="1"/>
  <c r="V420" i="21" s="1"/>
  <c r="P420" i="21"/>
  <c r="S414" i="21"/>
  <c r="R414" i="21"/>
  <c r="Q414" i="21"/>
  <c r="P414" i="21"/>
  <c r="S410" i="21"/>
  <c r="R410" i="21"/>
  <c r="Q410" i="21"/>
  <c r="P410" i="21"/>
  <c r="S405" i="21"/>
  <c r="R405" i="21"/>
  <c r="Q405" i="21"/>
  <c r="T405" i="21" s="1"/>
  <c r="U405" i="21" s="1"/>
  <c r="V405" i="21" s="1"/>
  <c r="P405" i="21"/>
  <c r="S400" i="21"/>
  <c r="R400" i="21"/>
  <c r="Q400" i="21"/>
  <c r="P400" i="21"/>
  <c r="S396" i="21"/>
  <c r="R396" i="21"/>
  <c r="Q396" i="21"/>
  <c r="T396" i="21" s="1"/>
  <c r="U396" i="21" s="1"/>
  <c r="V396" i="21" s="1"/>
  <c r="P396" i="21"/>
  <c r="S391" i="21"/>
  <c r="R391" i="21"/>
  <c r="Q391" i="21"/>
  <c r="T391" i="21" s="1"/>
  <c r="U391" i="21" s="1"/>
  <c r="V391" i="21" s="1"/>
  <c r="P391" i="21"/>
  <c r="S386" i="21"/>
  <c r="R386" i="21"/>
  <c r="Q386" i="21"/>
  <c r="T386" i="21" s="1"/>
  <c r="U386" i="21" s="1"/>
  <c r="V386" i="21" s="1"/>
  <c r="P386" i="21"/>
  <c r="S379" i="21"/>
  <c r="R379" i="21"/>
  <c r="Q379" i="21"/>
  <c r="T379" i="21" s="1"/>
  <c r="U379" i="21" s="1"/>
  <c r="V379" i="21" s="1"/>
  <c r="P379" i="21"/>
  <c r="S375" i="21"/>
  <c r="R375" i="21"/>
  <c r="Q375" i="21"/>
  <c r="T375" i="21" s="1"/>
  <c r="U375" i="21" s="1"/>
  <c r="V375" i="21" s="1"/>
  <c r="P375" i="21"/>
  <c r="S369" i="21"/>
  <c r="Q369" i="21"/>
  <c r="T369" i="21"/>
  <c r="P369" i="21"/>
  <c r="S364" i="21"/>
  <c r="R364" i="21"/>
  <c r="Q364" i="21"/>
  <c r="P364" i="21"/>
  <c r="T419" i="21"/>
  <c r="T395" i="21"/>
  <c r="U395" i="21" s="1"/>
  <c r="T363" i="21"/>
  <c r="U363" i="21" s="1"/>
  <c r="V363" i="21" s="1"/>
  <c r="T374" i="21"/>
  <c r="U374" i="21" s="1"/>
  <c r="T362" i="21"/>
  <c r="U362" i="21" s="1"/>
  <c r="V362" i="21" s="1"/>
  <c r="T394" i="21"/>
  <c r="U394" i="21" s="1"/>
  <c r="V394" i="21" s="1"/>
  <c r="T385" i="21"/>
  <c r="U385" i="21" s="1"/>
  <c r="V385" i="21" s="1"/>
  <c r="T368" i="21"/>
  <c r="U368" i="21" s="1"/>
  <c r="V368" i="21" s="1"/>
  <c r="T384" i="21"/>
  <c r="U384" i="21" s="1"/>
  <c r="V384" i="21" s="1"/>
  <c r="T366" i="21"/>
  <c r="U366" i="21" s="1"/>
  <c r="V366" i="21" s="1"/>
  <c r="T367" i="21"/>
  <c r="U367" i="21" s="1"/>
  <c r="V367" i="21" s="1"/>
  <c r="T399" i="21"/>
  <c r="U399" i="21" s="1"/>
  <c r="V399" i="21" s="1"/>
  <c r="T398" i="21"/>
  <c r="T407" i="21"/>
  <c r="U407" i="21"/>
  <c r="V407" i="21" s="1"/>
  <c r="T412" i="21"/>
  <c r="U412" i="21" s="1"/>
  <c r="V412" i="21" s="1"/>
  <c r="T418" i="21"/>
  <c r="U418" i="21"/>
  <c r="V418" i="21" s="1"/>
  <c r="T372" i="21"/>
  <c r="U372" i="21" s="1"/>
  <c r="V372" i="21" s="1"/>
  <c r="T409" i="21"/>
  <c r="U409" i="21" s="1"/>
  <c r="V409" i="21" s="1"/>
  <c r="T393" i="21"/>
  <c r="U393" i="21" s="1"/>
  <c r="T417" i="21"/>
  <c r="U417" i="21" s="1"/>
  <c r="V417" i="21" s="1"/>
  <c r="T383" i="21"/>
  <c r="U383" i="21" s="1"/>
  <c r="V383" i="21" s="1"/>
  <c r="T404" i="21"/>
  <c r="T390" i="21"/>
  <c r="U390" i="21"/>
  <c r="V390" i="21" s="1"/>
  <c r="T378" i="21"/>
  <c r="U378" i="21" s="1"/>
  <c r="V378" i="21" s="1"/>
  <c r="T377" i="21"/>
  <c r="U377" i="21" s="1"/>
  <c r="V377" i="21" s="1"/>
  <c r="T416" i="21"/>
  <c r="U416" i="21"/>
  <c r="V416" i="21" s="1"/>
  <c r="T388" i="21"/>
  <c r="U388" i="21"/>
  <c r="V388" i="21" s="1"/>
  <c r="T413" i="21"/>
  <c r="U413" i="21" s="1"/>
  <c r="V413" i="21" s="1"/>
  <c r="T408" i="21"/>
  <c r="T403" i="21"/>
  <c r="T373" i="21"/>
  <c r="U373" i="21" s="1"/>
  <c r="V373" i="21" s="1"/>
  <c r="T402" i="21"/>
  <c r="U402" i="21" s="1"/>
  <c r="T382" i="21"/>
  <c r="U382" i="21" s="1"/>
  <c r="V382" i="21" s="1"/>
  <c r="T389" i="21"/>
  <c r="U389" i="21" s="1"/>
  <c r="V389" i="21" s="1"/>
  <c r="T381" i="21"/>
  <c r="U381" i="21" s="1"/>
  <c r="V381" i="21" s="1"/>
  <c r="T371" i="21"/>
  <c r="U371" i="21"/>
  <c r="V371" i="21" s="1"/>
  <c r="T361" i="21"/>
  <c r="U361" i="21" s="1"/>
  <c r="V361" i="21" s="1"/>
  <c r="U403" i="21"/>
  <c r="V403" i="21" s="1"/>
  <c r="U408" i="21"/>
  <c r="V408" i="21"/>
  <c r="U404" i="21"/>
  <c r="V404" i="21" s="1"/>
  <c r="V393" i="21"/>
  <c r="V374" i="21"/>
  <c r="V395" i="21"/>
  <c r="U398" i="21"/>
  <c r="V398" i="21" s="1"/>
  <c r="V402" i="21"/>
  <c r="AB25" i="3"/>
  <c r="AB24" i="3"/>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3" i="7"/>
  <c r="C2" i="7"/>
  <c r="Y357" i="7"/>
  <c r="X357" i="7"/>
  <c r="W357" i="7"/>
  <c r="Z357" i="7"/>
  <c r="AE357" i="7"/>
  <c r="AD357" i="7"/>
  <c r="AC357" i="7"/>
  <c r="F2"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AB421" i="7"/>
  <c r="AA421" i="7"/>
  <c r="Z421" i="7"/>
  <c r="Y421" i="7"/>
  <c r="X421" i="7"/>
  <c r="W421" i="7"/>
  <c r="V421" i="7"/>
  <c r="U421" i="7"/>
  <c r="T421" i="7"/>
  <c r="S421" i="7"/>
  <c r="R421" i="7"/>
  <c r="Q421" i="7"/>
  <c r="P421" i="7"/>
  <c r="O421" i="7"/>
  <c r="N421" i="7"/>
  <c r="M421" i="7"/>
  <c r="L421" i="7"/>
  <c r="K421" i="7"/>
  <c r="J421" i="7"/>
  <c r="I421" i="7"/>
  <c r="E421" i="7"/>
  <c r="AB415" i="7"/>
  <c r="AA415" i="7"/>
  <c r="Z415" i="7"/>
  <c r="Y415" i="7"/>
  <c r="X415" i="7"/>
  <c r="W415" i="7"/>
  <c r="V415" i="7"/>
  <c r="U415" i="7"/>
  <c r="T415" i="7"/>
  <c r="S415" i="7"/>
  <c r="R415" i="7"/>
  <c r="Q415" i="7"/>
  <c r="P415" i="7"/>
  <c r="O415" i="7"/>
  <c r="N415" i="7"/>
  <c r="M415" i="7"/>
  <c r="L415" i="7"/>
  <c r="K415" i="7"/>
  <c r="J415" i="7"/>
  <c r="I415" i="7"/>
  <c r="E415" i="7"/>
  <c r="AB410" i="7"/>
  <c r="AA410" i="7"/>
  <c r="Z410" i="7"/>
  <c r="Y410" i="7"/>
  <c r="X410" i="7"/>
  <c r="W410" i="7"/>
  <c r="V410" i="7"/>
  <c r="U410" i="7"/>
  <c r="T410" i="7"/>
  <c r="S410" i="7"/>
  <c r="R410" i="7"/>
  <c r="Q410" i="7"/>
  <c r="P410" i="7"/>
  <c r="O410" i="7"/>
  <c r="N410" i="7"/>
  <c r="M410" i="7"/>
  <c r="L410" i="7"/>
  <c r="K410" i="7"/>
  <c r="J410" i="7"/>
  <c r="I410" i="7"/>
  <c r="E410" i="7"/>
  <c r="AB405" i="7"/>
  <c r="AA405" i="7"/>
  <c r="Z405" i="7"/>
  <c r="Y405" i="7"/>
  <c r="X405" i="7"/>
  <c r="W405" i="7"/>
  <c r="V405" i="7"/>
  <c r="U405" i="7"/>
  <c r="T405" i="7"/>
  <c r="S405" i="7"/>
  <c r="R405" i="7"/>
  <c r="Q405" i="7"/>
  <c r="P405" i="7"/>
  <c r="O405" i="7"/>
  <c r="N405" i="7"/>
  <c r="M405" i="7"/>
  <c r="L405" i="7"/>
  <c r="K405" i="7"/>
  <c r="J405" i="7"/>
  <c r="I405" i="7"/>
  <c r="E405" i="7"/>
  <c r="AB401" i="7"/>
  <c r="AA401" i="7"/>
  <c r="Z401" i="7"/>
  <c r="Y401" i="7"/>
  <c r="X401" i="7"/>
  <c r="W401" i="7"/>
  <c r="V401" i="7"/>
  <c r="U401" i="7"/>
  <c r="T401" i="7"/>
  <c r="S401" i="7"/>
  <c r="R401" i="7"/>
  <c r="Q401" i="7"/>
  <c r="P401" i="7"/>
  <c r="O401" i="7"/>
  <c r="N401" i="7"/>
  <c r="M401" i="7"/>
  <c r="L401" i="7"/>
  <c r="K401" i="7"/>
  <c r="J401" i="7"/>
  <c r="I401" i="7"/>
  <c r="E401" i="7"/>
  <c r="AB397" i="7"/>
  <c r="AA397" i="7"/>
  <c r="Z397" i="7"/>
  <c r="Y397" i="7"/>
  <c r="X397" i="7"/>
  <c r="W397" i="7"/>
  <c r="V397" i="7"/>
  <c r="U397" i="7"/>
  <c r="T397" i="7"/>
  <c r="S397" i="7"/>
  <c r="R397" i="7"/>
  <c r="Q397" i="7"/>
  <c r="P397" i="7"/>
  <c r="O397" i="7"/>
  <c r="N397" i="7"/>
  <c r="M397" i="7"/>
  <c r="L397" i="7"/>
  <c r="K397" i="7"/>
  <c r="J397" i="7"/>
  <c r="I397" i="7"/>
  <c r="E397" i="7"/>
  <c r="AB392" i="7"/>
  <c r="AA392" i="7"/>
  <c r="Z392" i="7"/>
  <c r="Y392" i="7"/>
  <c r="X392" i="7"/>
  <c r="W392" i="7"/>
  <c r="V392" i="7"/>
  <c r="U392" i="7"/>
  <c r="T392" i="7"/>
  <c r="S392" i="7"/>
  <c r="R392" i="7"/>
  <c r="Q392" i="7"/>
  <c r="P392" i="7"/>
  <c r="O392" i="7"/>
  <c r="N392" i="7"/>
  <c r="M392" i="7"/>
  <c r="L392" i="7"/>
  <c r="K392" i="7"/>
  <c r="J392" i="7"/>
  <c r="I392" i="7"/>
  <c r="E392" i="7"/>
  <c r="AB387" i="7"/>
  <c r="AA387" i="7"/>
  <c r="Z387" i="7"/>
  <c r="Y387" i="7"/>
  <c r="X387" i="7"/>
  <c r="W387" i="7"/>
  <c r="V387" i="7"/>
  <c r="U387" i="7"/>
  <c r="T387" i="7"/>
  <c r="S387" i="7"/>
  <c r="R387" i="7"/>
  <c r="Q387" i="7"/>
  <c r="P387" i="7"/>
  <c r="O387" i="7"/>
  <c r="N387" i="7"/>
  <c r="M387" i="7"/>
  <c r="L387" i="7"/>
  <c r="K387" i="7"/>
  <c r="J387" i="7"/>
  <c r="I387" i="7"/>
  <c r="E387" i="7"/>
  <c r="AB380" i="7"/>
  <c r="AA380" i="7"/>
  <c r="Z380" i="7"/>
  <c r="Y380" i="7"/>
  <c r="X380" i="7"/>
  <c r="W380" i="7"/>
  <c r="V380" i="7"/>
  <c r="U380" i="7"/>
  <c r="T380" i="7"/>
  <c r="S380" i="7"/>
  <c r="R380" i="7"/>
  <c r="Q380" i="7"/>
  <c r="P380" i="7"/>
  <c r="O380" i="7"/>
  <c r="N380" i="7"/>
  <c r="M380" i="7"/>
  <c r="L380" i="7"/>
  <c r="K380" i="7"/>
  <c r="J380" i="7"/>
  <c r="I380" i="7"/>
  <c r="E380" i="7"/>
  <c r="AB374" i="7"/>
  <c r="AA374" i="7"/>
  <c r="Z374" i="7"/>
  <c r="Y374" i="7"/>
  <c r="X374" i="7"/>
  <c r="W374" i="7"/>
  <c r="V374" i="7"/>
  <c r="U374" i="7"/>
  <c r="T374" i="7"/>
  <c r="S374" i="7"/>
  <c r="R374" i="7"/>
  <c r="Q374" i="7"/>
  <c r="P374" i="7"/>
  <c r="O374" i="7"/>
  <c r="N374" i="7"/>
  <c r="M374" i="7"/>
  <c r="L374" i="7"/>
  <c r="K374" i="7"/>
  <c r="J374" i="7"/>
  <c r="I374" i="7"/>
  <c r="E374" i="7"/>
  <c r="AB370" i="7"/>
  <c r="AA370" i="7"/>
  <c r="Z370" i="7"/>
  <c r="Y370" i="7"/>
  <c r="X370" i="7"/>
  <c r="W370" i="7"/>
  <c r="V370" i="7"/>
  <c r="U370" i="7"/>
  <c r="T370" i="7"/>
  <c r="S370" i="7"/>
  <c r="R370" i="7"/>
  <c r="Q370" i="7"/>
  <c r="P370" i="7"/>
  <c r="O370" i="7"/>
  <c r="N370" i="7"/>
  <c r="M370" i="7"/>
  <c r="L370" i="7"/>
  <c r="K370" i="7"/>
  <c r="J370" i="7"/>
  <c r="I370" i="7"/>
  <c r="E370" i="7"/>
  <c r="AB365" i="7"/>
  <c r="AA365" i="7"/>
  <c r="Z365" i="7"/>
  <c r="Y365" i="7"/>
  <c r="X365" i="7"/>
  <c r="W365" i="7"/>
  <c r="V365" i="7"/>
  <c r="U365" i="7"/>
  <c r="T365" i="7"/>
  <c r="S365" i="7"/>
  <c r="R365" i="7"/>
  <c r="Q365" i="7"/>
  <c r="P365" i="7"/>
  <c r="O365" i="7"/>
  <c r="N365" i="7"/>
  <c r="M365" i="7"/>
  <c r="L365" i="7"/>
  <c r="K365" i="7"/>
  <c r="J365" i="7"/>
  <c r="I365" i="7"/>
  <c r="E365" i="7"/>
  <c r="C420" i="7"/>
  <c r="C408" i="7"/>
  <c r="C364" i="7"/>
  <c r="C377" i="7"/>
  <c r="C363" i="7"/>
  <c r="C407" i="7"/>
  <c r="C390" i="7"/>
  <c r="C386" i="7"/>
  <c r="C369" i="7"/>
  <c r="C385" i="7"/>
  <c r="C368" i="7"/>
  <c r="C367" i="7"/>
  <c r="C404" i="7"/>
  <c r="C405" i="7" s="1"/>
  <c r="C403" i="7"/>
  <c r="C412" i="7"/>
  <c r="C399" i="7"/>
  <c r="C419" i="7"/>
  <c r="C414" i="7"/>
  <c r="C409" i="7"/>
  <c r="C410" i="7" s="1"/>
  <c r="C417" i="7"/>
  <c r="C384" i="7"/>
  <c r="C396" i="7"/>
  <c r="C391" i="7"/>
  <c r="C373" i="7"/>
  <c r="C372" i="7"/>
  <c r="C418" i="7"/>
  <c r="C389" i="7"/>
  <c r="C392" i="7" s="1"/>
  <c r="C400" i="7"/>
  <c r="C413" i="7"/>
  <c r="C395" i="7"/>
  <c r="C379" i="7"/>
  <c r="C394" i="7"/>
  <c r="C397" i="7" s="1"/>
  <c r="C376" i="7"/>
  <c r="C383" i="7"/>
  <c r="C382" i="7"/>
  <c r="C378" i="7"/>
  <c r="C362" i="7"/>
  <c r="D420" i="7"/>
  <c r="D408" i="7"/>
  <c r="D364" i="7"/>
  <c r="D365" i="7" s="1"/>
  <c r="D377" i="7"/>
  <c r="D363" i="7"/>
  <c r="D407" i="7"/>
  <c r="D390" i="7"/>
  <c r="D386" i="7"/>
  <c r="D369" i="7"/>
  <c r="D385" i="7"/>
  <c r="D368" i="7"/>
  <c r="D367" i="7"/>
  <c r="D370" i="7" s="1"/>
  <c r="D404" i="7"/>
  <c r="D403" i="7"/>
  <c r="D405" i="7" s="1"/>
  <c r="D412" i="7"/>
  <c r="D399" i="7"/>
  <c r="D419" i="7"/>
  <c r="D414" i="7"/>
  <c r="D409" i="7"/>
  <c r="D417" i="7"/>
  <c r="D384" i="7"/>
  <c r="D396" i="7"/>
  <c r="D391" i="7"/>
  <c r="D373" i="7"/>
  <c r="D374" i="7" s="1"/>
  <c r="D372" i="7"/>
  <c r="D418" i="7"/>
  <c r="D389" i="7"/>
  <c r="D392" i="7" s="1"/>
  <c r="D400" i="7"/>
  <c r="D413" i="7"/>
  <c r="D395" i="7"/>
  <c r="D379" i="7"/>
  <c r="D394" i="7"/>
  <c r="D376" i="7"/>
  <c r="D383" i="7"/>
  <c r="D382" i="7"/>
  <c r="D378" i="7"/>
  <c r="D362" i="7"/>
  <c r="E327" i="23"/>
  <c r="C327" i="23"/>
  <c r="L418" i="23"/>
  <c r="K418" i="23"/>
  <c r="J418" i="23"/>
  <c r="I418" i="23"/>
  <c r="H418" i="23"/>
  <c r="G418" i="23"/>
  <c r="F418" i="23"/>
  <c r="W418" i="23"/>
  <c r="V418" i="23"/>
  <c r="U418" i="23"/>
  <c r="T418" i="23"/>
  <c r="S418" i="23"/>
  <c r="R418" i="23"/>
  <c r="Q418" i="23"/>
  <c r="P418" i="23"/>
  <c r="O418" i="23"/>
  <c r="N418" i="23"/>
  <c r="V325" i="23"/>
  <c r="U325" i="23"/>
  <c r="U357" i="23" s="1"/>
  <c r="T325" i="23"/>
  <c r="S325" i="23"/>
  <c r="R325" i="23"/>
  <c r="Q325" i="23"/>
  <c r="Q357" i="23" s="1"/>
  <c r="P325" i="23"/>
  <c r="O325" i="23"/>
  <c r="C308" i="23"/>
  <c r="E308" i="23"/>
  <c r="L408" i="23"/>
  <c r="K408" i="23"/>
  <c r="J408" i="23"/>
  <c r="I408" i="23"/>
  <c r="H408" i="23"/>
  <c r="G408" i="23"/>
  <c r="F408" i="23"/>
  <c r="W408" i="23"/>
  <c r="V408" i="23"/>
  <c r="U408" i="23"/>
  <c r="T408" i="23"/>
  <c r="S408" i="23"/>
  <c r="R408" i="23"/>
  <c r="Q408" i="23"/>
  <c r="P408" i="23"/>
  <c r="O408" i="23"/>
  <c r="N408" i="23"/>
  <c r="E2" i="23"/>
  <c r="E208" i="23"/>
  <c r="C208" i="23"/>
  <c r="L403" i="23"/>
  <c r="K403" i="23"/>
  <c r="J403" i="23"/>
  <c r="I403" i="23"/>
  <c r="H403" i="23"/>
  <c r="G403" i="23"/>
  <c r="F403" i="23"/>
  <c r="W403" i="23"/>
  <c r="V403" i="23"/>
  <c r="U403" i="23"/>
  <c r="T403" i="23"/>
  <c r="S403" i="23"/>
  <c r="R403" i="23"/>
  <c r="Q403" i="23"/>
  <c r="P403" i="23"/>
  <c r="O403" i="23"/>
  <c r="N403" i="23"/>
  <c r="E212" i="23"/>
  <c r="C212" i="23"/>
  <c r="L398" i="23"/>
  <c r="K398" i="23"/>
  <c r="J398" i="23"/>
  <c r="I398" i="23"/>
  <c r="H398" i="23"/>
  <c r="G398" i="23"/>
  <c r="F398" i="23"/>
  <c r="W398" i="23"/>
  <c r="V398" i="23"/>
  <c r="U398" i="23"/>
  <c r="T398" i="23"/>
  <c r="S398" i="23"/>
  <c r="R398" i="23"/>
  <c r="Q398" i="23"/>
  <c r="P398" i="23"/>
  <c r="O398" i="23"/>
  <c r="N398" i="23"/>
  <c r="E197" i="23"/>
  <c r="C197" i="23"/>
  <c r="L394" i="23"/>
  <c r="K394" i="23"/>
  <c r="J394" i="23"/>
  <c r="I394" i="23"/>
  <c r="H394" i="23"/>
  <c r="G394" i="23"/>
  <c r="F394" i="23"/>
  <c r="W394" i="23"/>
  <c r="V394" i="23"/>
  <c r="U394" i="23"/>
  <c r="T394" i="23"/>
  <c r="S394" i="23"/>
  <c r="R394" i="23"/>
  <c r="Q394" i="23"/>
  <c r="P394" i="23"/>
  <c r="O394" i="23"/>
  <c r="N394" i="23"/>
  <c r="E113" i="23"/>
  <c r="C113" i="23"/>
  <c r="L390" i="23"/>
  <c r="K390" i="23"/>
  <c r="J390" i="23"/>
  <c r="I390" i="23"/>
  <c r="H390" i="23"/>
  <c r="G390" i="23"/>
  <c r="F390" i="23"/>
  <c r="W390" i="23"/>
  <c r="V390" i="23"/>
  <c r="U390" i="23"/>
  <c r="T390" i="23"/>
  <c r="S390" i="23"/>
  <c r="R390" i="23"/>
  <c r="Q390" i="23"/>
  <c r="P390" i="23"/>
  <c r="O390" i="23"/>
  <c r="N390" i="23"/>
  <c r="E118" i="23"/>
  <c r="C118" i="23"/>
  <c r="W385" i="23"/>
  <c r="V385" i="23"/>
  <c r="U385" i="23"/>
  <c r="T385" i="23"/>
  <c r="S385" i="23"/>
  <c r="R385" i="23"/>
  <c r="Q385" i="23"/>
  <c r="P385" i="23"/>
  <c r="O385" i="23"/>
  <c r="N385" i="23"/>
  <c r="L385" i="23"/>
  <c r="K385" i="23"/>
  <c r="J385" i="23"/>
  <c r="I385" i="23"/>
  <c r="H385" i="23"/>
  <c r="G385" i="23"/>
  <c r="F385" i="23"/>
  <c r="E144" i="23"/>
  <c r="C144" i="23"/>
  <c r="W381" i="23"/>
  <c r="V381" i="23"/>
  <c r="U381" i="23"/>
  <c r="T381" i="23"/>
  <c r="S381" i="23"/>
  <c r="R381" i="23"/>
  <c r="Q381" i="23"/>
  <c r="P381" i="23"/>
  <c r="O381" i="23"/>
  <c r="N381" i="23"/>
  <c r="L381" i="23"/>
  <c r="K381" i="23"/>
  <c r="J381" i="23"/>
  <c r="I381" i="23"/>
  <c r="H381" i="23"/>
  <c r="G381" i="23"/>
  <c r="F381" i="23"/>
  <c r="E138" i="23"/>
  <c r="C138" i="23"/>
  <c r="W374" i="23"/>
  <c r="V374" i="23"/>
  <c r="U374" i="23"/>
  <c r="T374" i="23"/>
  <c r="S374" i="23"/>
  <c r="R374" i="23"/>
  <c r="Q374" i="23"/>
  <c r="P374" i="23"/>
  <c r="O374" i="23"/>
  <c r="N374" i="23"/>
  <c r="L374" i="23"/>
  <c r="K374" i="23"/>
  <c r="J374" i="23"/>
  <c r="I374" i="23"/>
  <c r="H374" i="23"/>
  <c r="G374" i="23"/>
  <c r="F374" i="23"/>
  <c r="E28" i="23"/>
  <c r="C28" i="23"/>
  <c r="W368" i="23"/>
  <c r="C368" i="23" s="1"/>
  <c r="V368" i="23"/>
  <c r="U368" i="23"/>
  <c r="T368" i="23"/>
  <c r="S368" i="23"/>
  <c r="R368" i="23"/>
  <c r="Q368" i="23"/>
  <c r="P368" i="23"/>
  <c r="O368" i="23"/>
  <c r="N368" i="23"/>
  <c r="L368" i="23"/>
  <c r="K368" i="23"/>
  <c r="J368" i="23"/>
  <c r="I368" i="23"/>
  <c r="H368" i="23"/>
  <c r="G368" i="23"/>
  <c r="F368" i="23"/>
  <c r="E13" i="23"/>
  <c r="C13" i="23"/>
  <c r="W363" i="23"/>
  <c r="V363" i="23"/>
  <c r="U363" i="23"/>
  <c r="T363" i="23"/>
  <c r="S363" i="23"/>
  <c r="R363" i="23"/>
  <c r="Q363" i="23"/>
  <c r="P363" i="23"/>
  <c r="O363" i="23"/>
  <c r="N363" i="23"/>
  <c r="L363" i="23"/>
  <c r="K363" i="23"/>
  <c r="J363" i="23"/>
  <c r="I363" i="23"/>
  <c r="H363" i="23"/>
  <c r="G363" i="23"/>
  <c r="F363" i="23"/>
  <c r="E356" i="23"/>
  <c r="E355" i="23"/>
  <c r="E354" i="23"/>
  <c r="E353" i="23"/>
  <c r="E352" i="23"/>
  <c r="E351" i="23"/>
  <c r="E417" i="23"/>
  <c r="E350" i="23"/>
  <c r="E349" i="23"/>
  <c r="E348" i="23"/>
  <c r="E347" i="23"/>
  <c r="E346" i="23"/>
  <c r="E406" i="23"/>
  <c r="E345" i="23"/>
  <c r="E344" i="23"/>
  <c r="E343" i="23"/>
  <c r="E362" i="23"/>
  <c r="E342" i="23"/>
  <c r="E341" i="23"/>
  <c r="E340" i="23"/>
  <c r="E339" i="23"/>
  <c r="E338" i="23"/>
  <c r="E373" i="23"/>
  <c r="E337" i="23"/>
  <c r="E336" i="23"/>
  <c r="E335" i="23"/>
  <c r="E334" i="23"/>
  <c r="E333" i="23"/>
  <c r="E332" i="23"/>
  <c r="E331" i="23"/>
  <c r="E330" i="23"/>
  <c r="E329" i="23"/>
  <c r="E328" i="23"/>
  <c r="E326" i="23"/>
  <c r="E361" i="23"/>
  <c r="E324" i="23"/>
  <c r="E323" i="23"/>
  <c r="E322" i="23"/>
  <c r="E321" i="23"/>
  <c r="E320" i="23"/>
  <c r="E319" i="23"/>
  <c r="E318" i="23"/>
  <c r="E317" i="23"/>
  <c r="E316" i="23"/>
  <c r="E315" i="23"/>
  <c r="E314" i="23"/>
  <c r="E313" i="23"/>
  <c r="E312" i="23"/>
  <c r="E311" i="23"/>
  <c r="E310" i="23"/>
  <c r="E309" i="23"/>
  <c r="E405" i="23"/>
  <c r="E307" i="23"/>
  <c r="E306" i="23"/>
  <c r="E305" i="23"/>
  <c r="E304" i="23"/>
  <c r="E303" i="23"/>
  <c r="E302" i="23"/>
  <c r="E301" i="23"/>
  <c r="E300" i="23"/>
  <c r="E299" i="23"/>
  <c r="E298" i="23"/>
  <c r="E297" i="23"/>
  <c r="E296" i="23"/>
  <c r="E295" i="23"/>
  <c r="E294" i="23"/>
  <c r="E293" i="23"/>
  <c r="E292" i="23"/>
  <c r="E291" i="23"/>
  <c r="E290" i="23"/>
  <c r="E289" i="23"/>
  <c r="E288" i="23"/>
  <c r="E287" i="23"/>
  <c r="E286" i="23"/>
  <c r="E285" i="23"/>
  <c r="E284" i="23"/>
  <c r="E283" i="23"/>
  <c r="E282" i="23"/>
  <c r="E281" i="23"/>
  <c r="E388" i="23"/>
  <c r="E280" i="23"/>
  <c r="E380" i="23"/>
  <c r="E279" i="23"/>
  <c r="E278" i="23"/>
  <c r="E277" i="23"/>
  <c r="E276" i="23"/>
  <c r="E275" i="23"/>
  <c r="E274" i="23"/>
  <c r="E273" i="23"/>
  <c r="E272" i="23"/>
  <c r="E271" i="23"/>
  <c r="E270" i="23"/>
  <c r="E269" i="23"/>
  <c r="E268" i="23"/>
  <c r="E267" i="23"/>
  <c r="E266" i="23"/>
  <c r="E265" i="23"/>
  <c r="E264" i="23"/>
  <c r="E263" i="23"/>
  <c r="E262" i="23"/>
  <c r="E261" i="23"/>
  <c r="E260" i="23"/>
  <c r="E367"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379" i="23"/>
  <c r="E229" i="23"/>
  <c r="E228" i="23"/>
  <c r="E227" i="23"/>
  <c r="E226" i="23"/>
  <c r="E225" i="23"/>
  <c r="E224" i="23"/>
  <c r="E223" i="23"/>
  <c r="E366" i="23"/>
  <c r="E222" i="23"/>
  <c r="E221" i="23"/>
  <c r="E220" i="23"/>
  <c r="E219" i="23"/>
  <c r="E218" i="23"/>
  <c r="E217" i="23"/>
  <c r="E216" i="23"/>
  <c r="E215" i="23"/>
  <c r="E365" i="23"/>
  <c r="E214" i="23"/>
  <c r="E213" i="23"/>
  <c r="E397" i="23"/>
  <c r="E396" i="23"/>
  <c r="E211" i="23"/>
  <c r="E210" i="23"/>
  <c r="E209" i="23"/>
  <c r="E207" i="23"/>
  <c r="E206" i="23"/>
  <c r="E205" i="23"/>
  <c r="E204" i="23"/>
  <c r="E203" i="23"/>
  <c r="E410" i="23"/>
  <c r="E202" i="23"/>
  <c r="E201" i="23"/>
  <c r="E200" i="23"/>
  <c r="E199" i="23"/>
  <c r="E198" i="23"/>
  <c r="E392" i="23"/>
  <c r="E196" i="23"/>
  <c r="E195" i="23"/>
  <c r="E194" i="23"/>
  <c r="E193" i="23"/>
  <c r="E192" i="23"/>
  <c r="E191" i="23"/>
  <c r="E190" i="23"/>
  <c r="E189" i="23"/>
  <c r="E188" i="23"/>
  <c r="E187" i="23"/>
  <c r="E416" i="23"/>
  <c r="E186" i="23"/>
  <c r="E185" i="23"/>
  <c r="E184" i="23"/>
  <c r="E183" i="23"/>
  <c r="E182" i="23"/>
  <c r="E181" i="23"/>
  <c r="E180" i="23"/>
  <c r="E179" i="23"/>
  <c r="E178" i="23"/>
  <c r="E177" i="23"/>
  <c r="E176" i="23"/>
  <c r="E412" i="23"/>
  <c r="E175" i="23"/>
  <c r="E174" i="23"/>
  <c r="E173" i="23"/>
  <c r="E172" i="23"/>
  <c r="E171" i="23"/>
  <c r="E170" i="23"/>
  <c r="E169" i="23"/>
  <c r="E407" i="23"/>
  <c r="E415" i="23"/>
  <c r="E168" i="23"/>
  <c r="E167" i="23"/>
  <c r="E166" i="23"/>
  <c r="E165" i="23"/>
  <c r="E164" i="23"/>
  <c r="E163" i="23"/>
  <c r="E162" i="23"/>
  <c r="E161" i="23"/>
  <c r="E160" i="23"/>
  <c r="E378" i="23"/>
  <c r="E402" i="23"/>
  <c r="E159" i="23"/>
  <c r="E158" i="23"/>
  <c r="E157" i="23"/>
  <c r="E156" i="23"/>
  <c r="E155" i="23"/>
  <c r="E154" i="23"/>
  <c r="E153" i="23"/>
  <c r="E152" i="23"/>
  <c r="E151" i="23"/>
  <c r="E150" i="23"/>
  <c r="E149" i="23"/>
  <c r="E148" i="23"/>
  <c r="E147" i="23"/>
  <c r="E146" i="23"/>
  <c r="E145" i="23"/>
  <c r="E143" i="23"/>
  <c r="E142" i="23"/>
  <c r="E141" i="23"/>
  <c r="E140" i="23"/>
  <c r="E139" i="23"/>
  <c r="E137" i="23"/>
  <c r="E136" i="23"/>
  <c r="E135" i="23"/>
  <c r="E134" i="23"/>
  <c r="E133" i="23"/>
  <c r="E132" i="23"/>
  <c r="E131" i="23"/>
  <c r="E130" i="23"/>
  <c r="E129" i="23"/>
  <c r="E128" i="23"/>
  <c r="E127" i="23"/>
  <c r="E126" i="23"/>
  <c r="E125" i="23"/>
  <c r="E124" i="23"/>
  <c r="E123" i="23"/>
  <c r="E389" i="23"/>
  <c r="E122" i="23"/>
  <c r="E121" i="23"/>
  <c r="E120" i="23"/>
  <c r="E119" i="23"/>
  <c r="E384" i="23"/>
  <c r="E383" i="23"/>
  <c r="E117" i="23"/>
  <c r="E116" i="23"/>
  <c r="E115" i="23"/>
  <c r="E114" i="23"/>
  <c r="E414" i="23"/>
  <c r="E387" i="23"/>
  <c r="E112" i="23"/>
  <c r="E111" i="23"/>
  <c r="E110" i="23"/>
  <c r="E109" i="23"/>
  <c r="E108" i="23"/>
  <c r="E107" i="23"/>
  <c r="E106" i="23"/>
  <c r="E105" i="23"/>
  <c r="E393" i="23"/>
  <c r="E104" i="23"/>
  <c r="E103" i="23"/>
  <c r="E102" i="23"/>
  <c r="E411" i="23"/>
  <c r="E101" i="23"/>
  <c r="E401" i="23"/>
  <c r="E100" i="23"/>
  <c r="E99" i="23"/>
  <c r="E98" i="23"/>
  <c r="E97" i="23"/>
  <c r="E96" i="23"/>
  <c r="E95" i="23"/>
  <c r="E94" i="23"/>
  <c r="E93" i="23"/>
  <c r="E92" i="23"/>
  <c r="E91" i="23"/>
  <c r="E371" i="23"/>
  <c r="E90" i="23"/>
  <c r="E89" i="23"/>
  <c r="E88" i="23"/>
  <c r="E87" i="23"/>
  <c r="E86" i="23"/>
  <c r="E85" i="23"/>
  <c r="E84" i="23"/>
  <c r="E83" i="23"/>
  <c r="E82" i="23"/>
  <c r="E81" i="23"/>
  <c r="E400" i="23"/>
  <c r="E80" i="23"/>
  <c r="E79" i="23"/>
  <c r="E78" i="23"/>
  <c r="E77" i="23"/>
  <c r="E76" i="23"/>
  <c r="E75" i="23"/>
  <c r="E74" i="23"/>
  <c r="E73" i="23"/>
  <c r="E72" i="23"/>
  <c r="E71" i="23"/>
  <c r="E70" i="23"/>
  <c r="E69" i="23"/>
  <c r="E372" i="23"/>
  <c r="E68" i="23"/>
  <c r="E67" i="23"/>
  <c r="E66" i="23"/>
  <c r="E65" i="23"/>
  <c r="E64" i="23"/>
  <c r="E63" i="23"/>
  <c r="E377" i="23"/>
  <c r="E62" i="23"/>
  <c r="E61" i="23"/>
  <c r="E60" i="23"/>
  <c r="E59" i="23"/>
  <c r="E58" i="23"/>
  <c r="E57" i="23"/>
  <c r="E56" i="23"/>
  <c r="E55" i="23"/>
  <c r="E54" i="23"/>
  <c r="E53" i="23"/>
  <c r="E52" i="23"/>
  <c r="E51" i="23"/>
  <c r="E50" i="23"/>
  <c r="E49" i="23"/>
  <c r="E48" i="23"/>
  <c r="E47" i="23"/>
  <c r="E46" i="23"/>
  <c r="E45" i="23"/>
  <c r="E44" i="23"/>
  <c r="E43" i="23"/>
  <c r="E42" i="23"/>
  <c r="E41" i="23"/>
  <c r="E376" i="23"/>
  <c r="E40" i="23"/>
  <c r="E39" i="23"/>
  <c r="E38" i="23"/>
  <c r="E37" i="23"/>
  <c r="E36" i="23"/>
  <c r="E35" i="23"/>
  <c r="E34" i="23"/>
  <c r="E33" i="23"/>
  <c r="E32" i="23"/>
  <c r="E31" i="23"/>
  <c r="E30" i="23"/>
  <c r="E29" i="23"/>
  <c r="E27" i="23"/>
  <c r="E370" i="23"/>
  <c r="E26" i="23"/>
  <c r="E25" i="23"/>
  <c r="E24" i="23"/>
  <c r="E23" i="23"/>
  <c r="E22" i="23"/>
  <c r="E21" i="23"/>
  <c r="E20" i="23"/>
  <c r="E19" i="23"/>
  <c r="E18" i="23"/>
  <c r="E17" i="23"/>
  <c r="E16" i="23"/>
  <c r="E15" i="23"/>
  <c r="E14" i="23"/>
  <c r="E12" i="23"/>
  <c r="E11" i="23"/>
  <c r="E10" i="23"/>
  <c r="E9" i="23"/>
  <c r="E8" i="23"/>
  <c r="E7" i="23"/>
  <c r="E6" i="23"/>
  <c r="E5" i="23"/>
  <c r="E4" i="23"/>
  <c r="E3" i="23"/>
  <c r="E360" i="23"/>
  <c r="C356" i="23"/>
  <c r="C355" i="23"/>
  <c r="C354" i="23"/>
  <c r="C353" i="23"/>
  <c r="C352" i="23"/>
  <c r="C351" i="23"/>
  <c r="C417" i="23"/>
  <c r="C350" i="23"/>
  <c r="C349" i="23"/>
  <c r="C348" i="23"/>
  <c r="C347" i="23"/>
  <c r="C346" i="23"/>
  <c r="C406" i="23"/>
  <c r="C345" i="23"/>
  <c r="C344" i="23"/>
  <c r="C343" i="23"/>
  <c r="C362" i="23"/>
  <c r="C342" i="23"/>
  <c r="C341" i="23"/>
  <c r="C340" i="23"/>
  <c r="C339" i="23"/>
  <c r="C338" i="23"/>
  <c r="C373" i="23"/>
  <c r="C337" i="23"/>
  <c r="C336" i="23"/>
  <c r="C335" i="23"/>
  <c r="C334" i="23"/>
  <c r="C333" i="23"/>
  <c r="C332" i="23"/>
  <c r="C331" i="23"/>
  <c r="C330" i="23"/>
  <c r="C329" i="23"/>
  <c r="C328" i="23"/>
  <c r="C326" i="23"/>
  <c r="C361" i="23"/>
  <c r="C324" i="23"/>
  <c r="C323" i="23"/>
  <c r="C322" i="23"/>
  <c r="C321" i="23"/>
  <c r="C320" i="23"/>
  <c r="C319" i="23"/>
  <c r="C318" i="23"/>
  <c r="C317" i="23"/>
  <c r="C316" i="23"/>
  <c r="C315" i="23"/>
  <c r="C314" i="23"/>
  <c r="C313" i="23"/>
  <c r="C312" i="23"/>
  <c r="C311" i="23"/>
  <c r="C310" i="23"/>
  <c r="C309" i="23"/>
  <c r="C405" i="23"/>
  <c r="C307" i="23"/>
  <c r="C306" i="23"/>
  <c r="C305" i="23"/>
  <c r="C304" i="23"/>
  <c r="C303" i="23"/>
  <c r="C302" i="23"/>
  <c r="C301" i="23"/>
  <c r="C300" i="23"/>
  <c r="C299" i="23"/>
  <c r="C298" i="23"/>
  <c r="C297" i="23"/>
  <c r="C296" i="23"/>
  <c r="C295" i="23"/>
  <c r="C294" i="23"/>
  <c r="C293" i="23"/>
  <c r="C292" i="23"/>
  <c r="C291" i="23"/>
  <c r="C290" i="23"/>
  <c r="C289" i="23"/>
  <c r="C288" i="23"/>
  <c r="C287" i="23"/>
  <c r="C286" i="23"/>
  <c r="C285" i="23"/>
  <c r="C284" i="23"/>
  <c r="C283" i="23"/>
  <c r="C282" i="23"/>
  <c r="C281" i="23"/>
  <c r="C388" i="23"/>
  <c r="C280" i="23"/>
  <c r="C380" i="23"/>
  <c r="C279" i="23"/>
  <c r="C278" i="23"/>
  <c r="C277" i="23"/>
  <c r="C276" i="23"/>
  <c r="C275" i="23"/>
  <c r="C274" i="23"/>
  <c r="C273" i="23"/>
  <c r="C272" i="23"/>
  <c r="C271" i="23"/>
  <c r="C270" i="23"/>
  <c r="C269" i="23"/>
  <c r="C268" i="23"/>
  <c r="C267" i="23"/>
  <c r="C266" i="23"/>
  <c r="C265" i="23"/>
  <c r="C264" i="23"/>
  <c r="C263" i="23"/>
  <c r="C262" i="23"/>
  <c r="C261" i="23"/>
  <c r="C260" i="23"/>
  <c r="C367" i="23"/>
  <c r="C259" i="23"/>
  <c r="C258" i="23"/>
  <c r="C257" i="23"/>
  <c r="C256" i="23"/>
  <c r="C255" i="23"/>
  <c r="C254" i="23"/>
  <c r="C253" i="23"/>
  <c r="C252" i="23"/>
  <c r="C251" i="23"/>
  <c r="C250" i="23"/>
  <c r="C249" i="23"/>
  <c r="C248" i="23"/>
  <c r="C247" i="23"/>
  <c r="C246" i="23"/>
  <c r="C245" i="23"/>
  <c r="C244" i="23"/>
  <c r="C243" i="23"/>
  <c r="C242" i="23"/>
  <c r="C241" i="23"/>
  <c r="C240" i="23"/>
  <c r="C239" i="23"/>
  <c r="C238" i="23"/>
  <c r="C237" i="23"/>
  <c r="C236" i="23"/>
  <c r="C235" i="23"/>
  <c r="C234" i="23"/>
  <c r="C233" i="23"/>
  <c r="C232" i="23"/>
  <c r="C231" i="23"/>
  <c r="C230" i="23"/>
  <c r="C379" i="23"/>
  <c r="C229" i="23"/>
  <c r="C228" i="23"/>
  <c r="C227" i="23"/>
  <c r="C226" i="23"/>
  <c r="C225" i="23"/>
  <c r="C224" i="23"/>
  <c r="C223" i="23"/>
  <c r="C366" i="23"/>
  <c r="C222" i="23"/>
  <c r="C221" i="23"/>
  <c r="C220" i="23"/>
  <c r="C219" i="23"/>
  <c r="C218" i="23"/>
  <c r="C217" i="23"/>
  <c r="C216" i="23"/>
  <c r="C215" i="23"/>
  <c r="C365" i="23"/>
  <c r="C214" i="23"/>
  <c r="C213" i="23"/>
  <c r="C397" i="23"/>
  <c r="C396" i="23"/>
  <c r="C211" i="23"/>
  <c r="C210" i="23"/>
  <c r="C209" i="23"/>
  <c r="C207" i="23"/>
  <c r="C206" i="23"/>
  <c r="C205" i="23"/>
  <c r="C204" i="23"/>
  <c r="C203" i="23"/>
  <c r="C410" i="23"/>
  <c r="C202" i="23"/>
  <c r="C201" i="23"/>
  <c r="C200" i="23"/>
  <c r="C199" i="23"/>
  <c r="C198" i="23"/>
  <c r="C392" i="23"/>
  <c r="C196" i="23"/>
  <c r="C195" i="23"/>
  <c r="C194" i="23"/>
  <c r="C193" i="23"/>
  <c r="C192" i="23"/>
  <c r="C191" i="23"/>
  <c r="C190" i="23"/>
  <c r="C189" i="23"/>
  <c r="C188" i="23"/>
  <c r="C187" i="23"/>
  <c r="C416" i="23"/>
  <c r="C186" i="23"/>
  <c r="C185" i="23"/>
  <c r="C184" i="23"/>
  <c r="C183" i="23"/>
  <c r="C182" i="23"/>
  <c r="C181" i="23"/>
  <c r="C180" i="23"/>
  <c r="C179" i="23"/>
  <c r="C178" i="23"/>
  <c r="C177" i="23"/>
  <c r="C176" i="23"/>
  <c r="C412" i="23"/>
  <c r="C175" i="23"/>
  <c r="C174" i="23"/>
  <c r="C173" i="23"/>
  <c r="C172" i="23"/>
  <c r="C171" i="23"/>
  <c r="C170" i="23"/>
  <c r="C169" i="23"/>
  <c r="C407" i="23"/>
  <c r="C415" i="23"/>
  <c r="C168" i="23"/>
  <c r="C167" i="23"/>
  <c r="C166" i="23"/>
  <c r="C165" i="23"/>
  <c r="C164" i="23"/>
  <c r="C163" i="23"/>
  <c r="C162" i="23"/>
  <c r="C161" i="23"/>
  <c r="C160" i="23"/>
  <c r="C378" i="23"/>
  <c r="C402" i="23"/>
  <c r="C159" i="23"/>
  <c r="C158" i="23"/>
  <c r="C157" i="23"/>
  <c r="C156" i="23"/>
  <c r="C155" i="23"/>
  <c r="C154" i="23"/>
  <c r="C153" i="23"/>
  <c r="C152" i="23"/>
  <c r="C151" i="23"/>
  <c r="C150" i="23"/>
  <c r="C149" i="23"/>
  <c r="C148" i="23"/>
  <c r="C147" i="23"/>
  <c r="C146" i="23"/>
  <c r="C145" i="23"/>
  <c r="C143" i="23"/>
  <c r="C142" i="23"/>
  <c r="C141" i="23"/>
  <c r="C140" i="23"/>
  <c r="C139" i="23"/>
  <c r="C137" i="23"/>
  <c r="C136" i="23"/>
  <c r="C135" i="23"/>
  <c r="C134" i="23"/>
  <c r="C133" i="23"/>
  <c r="C132" i="23"/>
  <c r="C131" i="23"/>
  <c r="C130" i="23"/>
  <c r="C129" i="23"/>
  <c r="C128" i="23"/>
  <c r="C127" i="23"/>
  <c r="C126" i="23"/>
  <c r="C125" i="23"/>
  <c r="C124" i="23"/>
  <c r="C123" i="23"/>
  <c r="C389" i="23"/>
  <c r="C122" i="23"/>
  <c r="C121" i="23"/>
  <c r="C120" i="23"/>
  <c r="C119" i="23"/>
  <c r="C384" i="23"/>
  <c r="C383" i="23"/>
  <c r="C117" i="23"/>
  <c r="C116" i="23"/>
  <c r="C115" i="23"/>
  <c r="C114" i="23"/>
  <c r="C414" i="23"/>
  <c r="C387" i="23"/>
  <c r="C112" i="23"/>
  <c r="C111" i="23"/>
  <c r="C110" i="23"/>
  <c r="C109" i="23"/>
  <c r="C108" i="23"/>
  <c r="C107" i="23"/>
  <c r="C106" i="23"/>
  <c r="C105" i="23"/>
  <c r="C393" i="23"/>
  <c r="C104" i="23"/>
  <c r="C103" i="23"/>
  <c r="C102" i="23"/>
  <c r="C411" i="23"/>
  <c r="C101" i="23"/>
  <c r="C401" i="23"/>
  <c r="C100" i="23"/>
  <c r="C99" i="23"/>
  <c r="C98" i="23"/>
  <c r="C97" i="23"/>
  <c r="C96" i="23"/>
  <c r="C95" i="23"/>
  <c r="C94" i="23"/>
  <c r="C93" i="23"/>
  <c r="C92" i="23"/>
  <c r="C91" i="23"/>
  <c r="C371" i="23"/>
  <c r="C90" i="23"/>
  <c r="C89" i="23"/>
  <c r="C88" i="23"/>
  <c r="C87" i="23"/>
  <c r="C86" i="23"/>
  <c r="C85" i="23"/>
  <c r="C84" i="23"/>
  <c r="C83" i="23"/>
  <c r="C82" i="23"/>
  <c r="C81" i="23"/>
  <c r="C400" i="23"/>
  <c r="C80" i="23"/>
  <c r="C79" i="23"/>
  <c r="C78" i="23"/>
  <c r="C77" i="23"/>
  <c r="C76" i="23"/>
  <c r="C75" i="23"/>
  <c r="C74" i="23"/>
  <c r="C73" i="23"/>
  <c r="C72" i="23"/>
  <c r="C71" i="23"/>
  <c r="C70" i="23"/>
  <c r="C69" i="23"/>
  <c r="C372" i="23"/>
  <c r="C68" i="23"/>
  <c r="C67" i="23"/>
  <c r="C66" i="23"/>
  <c r="C65" i="23"/>
  <c r="C64" i="23"/>
  <c r="C63" i="23"/>
  <c r="C377" i="23"/>
  <c r="C62" i="23"/>
  <c r="C61" i="23"/>
  <c r="C60" i="23"/>
  <c r="C59" i="23"/>
  <c r="C58" i="23"/>
  <c r="C57" i="23"/>
  <c r="C56" i="23"/>
  <c r="C55" i="23"/>
  <c r="C54" i="23"/>
  <c r="C53" i="23"/>
  <c r="C52" i="23"/>
  <c r="C51" i="23"/>
  <c r="C50" i="23"/>
  <c r="C49" i="23"/>
  <c r="C48" i="23"/>
  <c r="C47" i="23"/>
  <c r="C46" i="23"/>
  <c r="C45" i="23"/>
  <c r="C44" i="23"/>
  <c r="C43" i="23"/>
  <c r="C42" i="23"/>
  <c r="C41" i="23"/>
  <c r="C376" i="23"/>
  <c r="C40" i="23"/>
  <c r="C39" i="23"/>
  <c r="C38" i="23"/>
  <c r="C37" i="23"/>
  <c r="C36" i="23"/>
  <c r="C35" i="23"/>
  <c r="C34" i="23"/>
  <c r="C33" i="23"/>
  <c r="C32" i="23"/>
  <c r="C31" i="23"/>
  <c r="C30" i="23"/>
  <c r="C29" i="23"/>
  <c r="C27" i="23"/>
  <c r="C370" i="23"/>
  <c r="C26" i="23"/>
  <c r="C25" i="23"/>
  <c r="C24" i="23"/>
  <c r="C23" i="23"/>
  <c r="C22" i="23"/>
  <c r="C21" i="23"/>
  <c r="C20" i="23"/>
  <c r="C19" i="23"/>
  <c r="C18" i="23"/>
  <c r="C17" i="23"/>
  <c r="C16" i="23"/>
  <c r="C15" i="23"/>
  <c r="C14" i="23"/>
  <c r="C12" i="23"/>
  <c r="C11" i="23"/>
  <c r="C10" i="23"/>
  <c r="C9" i="23"/>
  <c r="C8" i="23"/>
  <c r="C7" i="23"/>
  <c r="C6" i="23"/>
  <c r="C5" i="23"/>
  <c r="C4" i="23"/>
  <c r="C3" i="23"/>
  <c r="C360" i="23"/>
  <c r="C2" i="23"/>
  <c r="C401" i="7"/>
  <c r="AO327" i="24"/>
  <c r="AO325" i="24"/>
  <c r="AO212" i="24"/>
  <c r="AO208" i="24"/>
  <c r="AO197" i="24"/>
  <c r="AO144" i="24"/>
  <c r="AO118" i="24"/>
  <c r="AO113" i="24"/>
  <c r="AO28" i="24"/>
  <c r="AO13" i="24"/>
  <c r="AO308" i="24"/>
  <c r="AO138" i="24"/>
  <c r="O357" i="24"/>
  <c r="P357" i="24"/>
  <c r="T357" i="24"/>
  <c r="U357" i="24"/>
  <c r="AM356" i="24"/>
  <c r="AM355" i="24"/>
  <c r="AM354" i="24"/>
  <c r="AM353" i="24"/>
  <c r="AM352" i="24"/>
  <c r="AM351" i="24"/>
  <c r="AM350" i="24"/>
  <c r="AM349" i="24"/>
  <c r="AM348" i="24"/>
  <c r="AM347" i="24"/>
  <c r="AM346" i="24"/>
  <c r="AM345" i="24"/>
  <c r="AM344" i="24"/>
  <c r="AM343" i="24"/>
  <c r="AM342" i="24"/>
  <c r="AM341" i="24"/>
  <c r="AM340" i="24"/>
  <c r="AM339" i="24"/>
  <c r="AM338" i="24"/>
  <c r="AM337" i="24"/>
  <c r="AM336" i="24"/>
  <c r="AM335" i="24"/>
  <c r="AM334" i="24"/>
  <c r="AM333" i="24"/>
  <c r="AM332" i="24"/>
  <c r="AM331" i="24"/>
  <c r="AM330" i="24"/>
  <c r="AM329" i="24"/>
  <c r="AM328" i="24"/>
  <c r="AM327" i="24"/>
  <c r="AM326" i="24"/>
  <c r="AM325" i="24"/>
  <c r="AM324" i="24"/>
  <c r="AM323" i="24"/>
  <c r="AM322" i="24"/>
  <c r="AM321" i="24"/>
  <c r="AM320" i="24"/>
  <c r="AM319" i="24"/>
  <c r="AM318" i="24"/>
  <c r="AM317" i="24"/>
  <c r="AM316" i="24"/>
  <c r="AM315" i="24"/>
  <c r="AM314" i="24"/>
  <c r="AM313" i="24"/>
  <c r="AM312" i="24"/>
  <c r="AM311" i="24"/>
  <c r="AM310" i="24"/>
  <c r="AM309" i="24"/>
  <c r="AM308" i="24"/>
  <c r="AM307" i="24"/>
  <c r="AM306" i="24"/>
  <c r="AM305" i="24"/>
  <c r="AM304" i="24"/>
  <c r="AM303" i="24"/>
  <c r="AM302" i="24"/>
  <c r="AM301" i="24"/>
  <c r="AM300" i="24"/>
  <c r="AM299" i="24"/>
  <c r="AM298" i="24"/>
  <c r="AM297" i="24"/>
  <c r="AM296" i="24"/>
  <c r="AM295" i="24"/>
  <c r="AM294" i="24"/>
  <c r="AM293" i="24"/>
  <c r="AM292" i="24"/>
  <c r="AM291" i="24"/>
  <c r="AM290" i="24"/>
  <c r="AM289" i="24"/>
  <c r="AM288" i="24"/>
  <c r="AM287" i="24"/>
  <c r="AM286" i="24"/>
  <c r="AM285" i="24"/>
  <c r="AM284" i="24"/>
  <c r="AM283" i="24"/>
  <c r="AM282" i="24"/>
  <c r="AM281" i="24"/>
  <c r="AM280" i="24"/>
  <c r="AM279" i="24"/>
  <c r="AM278" i="24"/>
  <c r="AM277" i="24"/>
  <c r="AM276" i="24"/>
  <c r="AM275" i="24"/>
  <c r="AM274" i="24"/>
  <c r="AM273" i="24"/>
  <c r="AM272" i="24"/>
  <c r="AM271" i="24"/>
  <c r="AM270" i="24"/>
  <c r="AM269" i="24"/>
  <c r="AM268" i="24"/>
  <c r="AM267" i="24"/>
  <c r="AM266" i="24"/>
  <c r="AM265" i="24"/>
  <c r="AM264" i="24"/>
  <c r="AM263" i="24"/>
  <c r="AM262" i="24"/>
  <c r="AM261" i="24"/>
  <c r="AM260" i="24"/>
  <c r="AM259" i="24"/>
  <c r="AM258" i="24"/>
  <c r="AM257" i="24"/>
  <c r="AM256" i="24"/>
  <c r="AM255" i="24"/>
  <c r="AM254" i="24"/>
  <c r="AM253" i="24"/>
  <c r="AM252" i="24"/>
  <c r="AM251" i="24"/>
  <c r="AM250" i="24"/>
  <c r="AM249" i="24"/>
  <c r="AM248" i="24"/>
  <c r="AM247" i="24"/>
  <c r="AM246" i="24"/>
  <c r="AM245" i="24"/>
  <c r="AM244" i="24"/>
  <c r="AM243" i="24"/>
  <c r="AM242" i="24"/>
  <c r="AM241" i="24"/>
  <c r="AM240" i="24"/>
  <c r="AM239" i="24"/>
  <c r="AM238" i="24"/>
  <c r="AM237" i="24"/>
  <c r="AM236" i="24"/>
  <c r="AM235" i="24"/>
  <c r="AM234" i="24"/>
  <c r="AM233" i="24"/>
  <c r="AM232" i="24"/>
  <c r="AM231" i="24"/>
  <c r="AM230" i="24"/>
  <c r="AM229" i="24"/>
  <c r="AM228" i="24"/>
  <c r="AM227" i="24"/>
  <c r="AM226" i="24"/>
  <c r="AM225" i="24"/>
  <c r="AM224" i="24"/>
  <c r="AM223" i="24"/>
  <c r="AM222" i="24"/>
  <c r="AM221" i="24"/>
  <c r="AM220" i="24"/>
  <c r="AM219" i="24"/>
  <c r="AM218" i="24"/>
  <c r="AM217" i="24"/>
  <c r="AM216" i="24"/>
  <c r="AM215" i="24"/>
  <c r="AM214" i="24"/>
  <c r="AM213" i="24"/>
  <c r="AM212" i="24"/>
  <c r="AM211" i="24"/>
  <c r="AM210" i="24"/>
  <c r="AM209" i="24"/>
  <c r="AM208" i="24"/>
  <c r="AM207" i="24"/>
  <c r="AM206" i="24"/>
  <c r="AM205" i="24"/>
  <c r="AM204" i="24"/>
  <c r="AM203" i="24"/>
  <c r="AM202" i="24"/>
  <c r="AM201" i="24"/>
  <c r="AM200" i="24"/>
  <c r="AM199" i="24"/>
  <c r="AM198" i="24"/>
  <c r="AM197" i="24"/>
  <c r="AM196" i="24"/>
  <c r="AM195" i="24"/>
  <c r="AM194" i="24"/>
  <c r="AM193" i="24"/>
  <c r="AM192" i="24"/>
  <c r="AM191" i="24"/>
  <c r="AM190" i="24"/>
  <c r="AM189" i="24"/>
  <c r="AM188" i="24"/>
  <c r="AM187" i="24"/>
  <c r="AM186" i="24"/>
  <c r="AM185" i="24"/>
  <c r="AM184" i="24"/>
  <c r="AM183" i="24"/>
  <c r="AM182" i="24"/>
  <c r="AM181" i="24"/>
  <c r="AM180" i="24"/>
  <c r="AM179" i="24"/>
  <c r="AM178" i="24"/>
  <c r="AM177" i="24"/>
  <c r="AM176" i="24"/>
  <c r="AM175" i="24"/>
  <c r="AM174" i="24"/>
  <c r="AM173" i="24"/>
  <c r="AM172" i="24"/>
  <c r="AM171" i="24"/>
  <c r="AM170" i="24"/>
  <c r="AM169" i="24"/>
  <c r="AM168" i="24"/>
  <c r="AM167" i="24"/>
  <c r="AM166" i="24"/>
  <c r="AM165" i="24"/>
  <c r="AM164" i="24"/>
  <c r="AM163" i="24"/>
  <c r="AM162" i="24"/>
  <c r="AM161" i="24"/>
  <c r="AM160" i="24"/>
  <c r="AM159" i="24"/>
  <c r="AM158" i="24"/>
  <c r="AM157" i="24"/>
  <c r="AM156" i="24"/>
  <c r="AM155" i="24"/>
  <c r="AM154" i="24"/>
  <c r="AM153" i="24"/>
  <c r="AM152" i="24"/>
  <c r="AM151" i="24"/>
  <c r="AM150" i="24"/>
  <c r="AM149" i="24"/>
  <c r="AM148" i="24"/>
  <c r="AM147" i="24"/>
  <c r="AM146" i="24"/>
  <c r="AM145" i="24"/>
  <c r="AM144" i="24"/>
  <c r="AM143" i="24"/>
  <c r="AM142" i="24"/>
  <c r="AM141" i="24"/>
  <c r="AM140" i="24"/>
  <c r="AM139" i="24"/>
  <c r="AM138" i="24"/>
  <c r="AM137" i="24"/>
  <c r="AM136" i="24"/>
  <c r="AM135" i="24"/>
  <c r="AM134" i="24"/>
  <c r="AM133" i="24"/>
  <c r="AM132" i="24"/>
  <c r="AM131" i="24"/>
  <c r="AM130" i="24"/>
  <c r="AM129" i="24"/>
  <c r="AM128" i="24"/>
  <c r="AM127" i="24"/>
  <c r="AM126" i="24"/>
  <c r="AM125" i="24"/>
  <c r="AM124" i="24"/>
  <c r="AM123" i="24"/>
  <c r="AM122" i="24"/>
  <c r="AM121" i="24"/>
  <c r="AM120" i="24"/>
  <c r="AM119" i="24"/>
  <c r="AM118" i="24"/>
  <c r="AM117" i="24"/>
  <c r="AM116" i="24"/>
  <c r="AM115" i="24"/>
  <c r="AM114" i="24"/>
  <c r="AM113" i="24"/>
  <c r="AM112" i="24"/>
  <c r="AM111" i="24"/>
  <c r="AM110" i="24"/>
  <c r="AM109" i="24"/>
  <c r="AM108" i="24"/>
  <c r="AM107" i="24"/>
  <c r="AM106" i="24"/>
  <c r="AM105" i="24"/>
  <c r="AM104" i="24"/>
  <c r="AM103" i="24"/>
  <c r="AM102" i="24"/>
  <c r="AM101" i="24"/>
  <c r="AM100" i="24"/>
  <c r="AM99" i="24"/>
  <c r="AM98" i="24"/>
  <c r="AM97" i="24"/>
  <c r="AM96" i="24"/>
  <c r="AM95" i="24"/>
  <c r="AM94" i="24"/>
  <c r="AM93" i="24"/>
  <c r="AM92" i="24"/>
  <c r="AM91" i="24"/>
  <c r="AM90" i="24"/>
  <c r="AM89" i="24"/>
  <c r="AM88" i="24"/>
  <c r="AM87" i="24"/>
  <c r="AM86" i="24"/>
  <c r="AM85" i="24"/>
  <c r="AM84" i="24"/>
  <c r="AM83" i="24"/>
  <c r="AM82" i="24"/>
  <c r="AM81" i="24"/>
  <c r="AM80" i="24"/>
  <c r="AM79" i="24"/>
  <c r="AM78" i="24"/>
  <c r="AM77" i="24"/>
  <c r="AM76" i="24"/>
  <c r="AM75" i="24"/>
  <c r="AM74" i="24"/>
  <c r="AM73" i="24"/>
  <c r="AM72" i="24"/>
  <c r="AM71" i="24"/>
  <c r="AM70" i="24"/>
  <c r="AM69" i="24"/>
  <c r="AM68" i="24"/>
  <c r="AM67" i="24"/>
  <c r="AM66" i="24"/>
  <c r="AM65" i="24"/>
  <c r="AM64" i="24"/>
  <c r="AM63" i="24"/>
  <c r="AM62" i="24"/>
  <c r="AM61" i="24"/>
  <c r="AM60" i="24"/>
  <c r="AM59" i="24"/>
  <c r="AM58" i="24"/>
  <c r="AM57" i="24"/>
  <c r="AM56" i="24"/>
  <c r="AM55" i="24"/>
  <c r="AM54" i="24"/>
  <c r="AM53" i="24"/>
  <c r="AM52" i="24"/>
  <c r="AM51" i="24"/>
  <c r="AM50" i="24"/>
  <c r="AM49" i="24"/>
  <c r="AM48" i="24"/>
  <c r="AM47" i="24"/>
  <c r="AM46" i="24"/>
  <c r="AM45" i="24"/>
  <c r="AM44" i="24"/>
  <c r="AM43" i="24"/>
  <c r="AM42" i="24"/>
  <c r="AM41" i="24"/>
  <c r="AM40" i="24"/>
  <c r="AM39" i="24"/>
  <c r="AM38" i="24"/>
  <c r="AM37" i="24"/>
  <c r="AM36" i="24"/>
  <c r="AM35" i="24"/>
  <c r="AM34" i="24"/>
  <c r="AM33" i="24"/>
  <c r="AM32" i="24"/>
  <c r="AM31" i="24"/>
  <c r="AM30" i="24"/>
  <c r="AM29" i="24"/>
  <c r="AM28" i="24"/>
  <c r="AM27" i="24"/>
  <c r="AM26" i="24"/>
  <c r="AM25" i="24"/>
  <c r="AM24" i="24"/>
  <c r="AM23" i="24"/>
  <c r="AM22" i="24"/>
  <c r="AM21" i="24"/>
  <c r="AM20" i="24"/>
  <c r="AM19" i="24"/>
  <c r="AM18" i="24"/>
  <c r="AM17" i="24"/>
  <c r="AM16" i="24"/>
  <c r="AM15" i="24"/>
  <c r="AM14" i="24"/>
  <c r="AM13" i="24"/>
  <c r="AM12" i="24"/>
  <c r="AM11" i="24"/>
  <c r="AM10" i="24"/>
  <c r="AM9" i="24"/>
  <c r="AM8" i="24"/>
  <c r="AM7" i="24"/>
  <c r="AM6" i="24"/>
  <c r="AM5" i="24"/>
  <c r="AM4" i="24"/>
  <c r="AM3" i="24"/>
  <c r="AC357" i="24"/>
  <c r="W357" i="24"/>
  <c r="AG357" i="24" s="1"/>
  <c r="AL356" i="24"/>
  <c r="AL355" i="24"/>
  <c r="AL354" i="24"/>
  <c r="AL353" i="24"/>
  <c r="AL352" i="24"/>
  <c r="AL351" i="24"/>
  <c r="AL350" i="24"/>
  <c r="AL349" i="24"/>
  <c r="AL348" i="24"/>
  <c r="AL347" i="24"/>
  <c r="AL346" i="24"/>
  <c r="AL345" i="24"/>
  <c r="AL344" i="24"/>
  <c r="AL343" i="24"/>
  <c r="AL342" i="24"/>
  <c r="AL341" i="24"/>
  <c r="AL340" i="24"/>
  <c r="AL339" i="24"/>
  <c r="AL338" i="24"/>
  <c r="AL337" i="24"/>
  <c r="AL336" i="24"/>
  <c r="AL335" i="24"/>
  <c r="AL334" i="24"/>
  <c r="AL333" i="24"/>
  <c r="AL332" i="24"/>
  <c r="AL331" i="24"/>
  <c r="AL330" i="24"/>
  <c r="AL329" i="24"/>
  <c r="AL328" i="24"/>
  <c r="AL327" i="24"/>
  <c r="AL326" i="24"/>
  <c r="AL325" i="24"/>
  <c r="AL324" i="24"/>
  <c r="AL323" i="24"/>
  <c r="AL322" i="24"/>
  <c r="AL321" i="24"/>
  <c r="AL320" i="24"/>
  <c r="AL319" i="24"/>
  <c r="AL318" i="24"/>
  <c r="AL317" i="24"/>
  <c r="AL316" i="24"/>
  <c r="AL315" i="24"/>
  <c r="AL314" i="24"/>
  <c r="AL313" i="24"/>
  <c r="AL312" i="24"/>
  <c r="AL311" i="24"/>
  <c r="AL310" i="24"/>
  <c r="AL309" i="24"/>
  <c r="AL308" i="24"/>
  <c r="AL307" i="24"/>
  <c r="AL306" i="24"/>
  <c r="AL305" i="24"/>
  <c r="AL304" i="24"/>
  <c r="AL303" i="24"/>
  <c r="AL302" i="24"/>
  <c r="AL301" i="24"/>
  <c r="AL300" i="24"/>
  <c r="AL299" i="24"/>
  <c r="AL298" i="24"/>
  <c r="AL297" i="24"/>
  <c r="AL296" i="24"/>
  <c r="AL295" i="24"/>
  <c r="AL294" i="24"/>
  <c r="AL293" i="24"/>
  <c r="AL292" i="24"/>
  <c r="AL291" i="24"/>
  <c r="AL290" i="24"/>
  <c r="AL289" i="24"/>
  <c r="AL288" i="24"/>
  <c r="AL287" i="24"/>
  <c r="AL286" i="24"/>
  <c r="AL285" i="24"/>
  <c r="AL284" i="24"/>
  <c r="AL283" i="24"/>
  <c r="AL282" i="24"/>
  <c r="AL281" i="24"/>
  <c r="AL280" i="24"/>
  <c r="AL279" i="24"/>
  <c r="AL278" i="24"/>
  <c r="AL277" i="24"/>
  <c r="AL276" i="24"/>
  <c r="AL275" i="24"/>
  <c r="AL274" i="24"/>
  <c r="AL273" i="24"/>
  <c r="AL272" i="24"/>
  <c r="AL271" i="24"/>
  <c r="AL270" i="24"/>
  <c r="AL269" i="24"/>
  <c r="AL268" i="24"/>
  <c r="AL267" i="24"/>
  <c r="AL266" i="24"/>
  <c r="AL265" i="24"/>
  <c r="AL264" i="24"/>
  <c r="AL263" i="24"/>
  <c r="AL262" i="24"/>
  <c r="AL261" i="24"/>
  <c r="AL260" i="24"/>
  <c r="AL259" i="24"/>
  <c r="AL258" i="24"/>
  <c r="AL257" i="24"/>
  <c r="AL256" i="24"/>
  <c r="AL255" i="24"/>
  <c r="AL254" i="24"/>
  <c r="AL253" i="24"/>
  <c r="AL252" i="24"/>
  <c r="AL251" i="24"/>
  <c r="AL250" i="24"/>
  <c r="AL249" i="24"/>
  <c r="AL248" i="24"/>
  <c r="AL247" i="24"/>
  <c r="AL246" i="24"/>
  <c r="AL245" i="24"/>
  <c r="AL244" i="24"/>
  <c r="AL243" i="24"/>
  <c r="AL242" i="24"/>
  <c r="AL241" i="24"/>
  <c r="AL240" i="24"/>
  <c r="AL239" i="24"/>
  <c r="AL238" i="24"/>
  <c r="AL237" i="24"/>
  <c r="AL236" i="24"/>
  <c r="AL235" i="24"/>
  <c r="AL234" i="24"/>
  <c r="AL233" i="24"/>
  <c r="AL232" i="24"/>
  <c r="AL231" i="24"/>
  <c r="AL230" i="24"/>
  <c r="AL229" i="24"/>
  <c r="AL228" i="24"/>
  <c r="AL227" i="24"/>
  <c r="AL226" i="24"/>
  <c r="AL225" i="24"/>
  <c r="AL224" i="24"/>
  <c r="AL223" i="24"/>
  <c r="AL222" i="24"/>
  <c r="AL221" i="24"/>
  <c r="AL220" i="24"/>
  <c r="AL219" i="24"/>
  <c r="AL218" i="24"/>
  <c r="AL217" i="24"/>
  <c r="AL216" i="24"/>
  <c r="AL215" i="24"/>
  <c r="AL214" i="24"/>
  <c r="AL213" i="24"/>
  <c r="AL212" i="24"/>
  <c r="AL211" i="24"/>
  <c r="AL210" i="24"/>
  <c r="AL209" i="24"/>
  <c r="AL208" i="24"/>
  <c r="AL207" i="24"/>
  <c r="AL206" i="24"/>
  <c r="AL205" i="24"/>
  <c r="AL204" i="24"/>
  <c r="AL203" i="24"/>
  <c r="AL202" i="24"/>
  <c r="AL201" i="24"/>
  <c r="AL200" i="24"/>
  <c r="AL199" i="24"/>
  <c r="AL198" i="24"/>
  <c r="AL197" i="24"/>
  <c r="AL196" i="24"/>
  <c r="AL195" i="24"/>
  <c r="AL194" i="24"/>
  <c r="AL193" i="24"/>
  <c r="AL192" i="24"/>
  <c r="AL191" i="24"/>
  <c r="AL190" i="24"/>
  <c r="AL189" i="24"/>
  <c r="AL188" i="24"/>
  <c r="AL187" i="24"/>
  <c r="AL186" i="24"/>
  <c r="AL185" i="24"/>
  <c r="AL184" i="24"/>
  <c r="AL183" i="24"/>
  <c r="AL182" i="24"/>
  <c r="AL181" i="24"/>
  <c r="AL180" i="24"/>
  <c r="AL179" i="24"/>
  <c r="AL178" i="24"/>
  <c r="AL177" i="24"/>
  <c r="AL176" i="24"/>
  <c r="AL175" i="24"/>
  <c r="AL174" i="24"/>
  <c r="AL173" i="24"/>
  <c r="AL172" i="24"/>
  <c r="AL171" i="24"/>
  <c r="AL170" i="24"/>
  <c r="AL169" i="24"/>
  <c r="AL168" i="24"/>
  <c r="AL167" i="24"/>
  <c r="AL166" i="24"/>
  <c r="AL165" i="24"/>
  <c r="AL164" i="24"/>
  <c r="AL163" i="24"/>
  <c r="AL162" i="24"/>
  <c r="AL161" i="24"/>
  <c r="AL160" i="24"/>
  <c r="AL159" i="24"/>
  <c r="AL158" i="24"/>
  <c r="AL157" i="24"/>
  <c r="AL156" i="24"/>
  <c r="AL155" i="24"/>
  <c r="AL154" i="24"/>
  <c r="AL153" i="24"/>
  <c r="AL152" i="24"/>
  <c r="AL151" i="24"/>
  <c r="AL150" i="24"/>
  <c r="AL149" i="24"/>
  <c r="AL148" i="24"/>
  <c r="AL147" i="24"/>
  <c r="AL146" i="24"/>
  <c r="AL145" i="24"/>
  <c r="AL144" i="24"/>
  <c r="AL143" i="24"/>
  <c r="AL142" i="24"/>
  <c r="AL141" i="24"/>
  <c r="AL140" i="24"/>
  <c r="AL139" i="24"/>
  <c r="AL138" i="24"/>
  <c r="AL137" i="24"/>
  <c r="AL136" i="24"/>
  <c r="AL135" i="24"/>
  <c r="AL134" i="24"/>
  <c r="AL133" i="24"/>
  <c r="AL132" i="24"/>
  <c r="AL131" i="24"/>
  <c r="AL130" i="24"/>
  <c r="AL129" i="24"/>
  <c r="AL128" i="24"/>
  <c r="AL127" i="24"/>
  <c r="AL126" i="24"/>
  <c r="AL125" i="24"/>
  <c r="AL124" i="24"/>
  <c r="AL123" i="24"/>
  <c r="AL122" i="24"/>
  <c r="AL121" i="24"/>
  <c r="AL120" i="24"/>
  <c r="AL119" i="24"/>
  <c r="AL118" i="24"/>
  <c r="AL117" i="24"/>
  <c r="AL116" i="24"/>
  <c r="AL115" i="24"/>
  <c r="AL114" i="24"/>
  <c r="AL113" i="24"/>
  <c r="AL112" i="24"/>
  <c r="AL111" i="24"/>
  <c r="AL110" i="24"/>
  <c r="AL109" i="24"/>
  <c r="AL108" i="24"/>
  <c r="AL107" i="24"/>
  <c r="AL106" i="24"/>
  <c r="AL105" i="24"/>
  <c r="AL104" i="24"/>
  <c r="AL103" i="24"/>
  <c r="AL102" i="24"/>
  <c r="AL101" i="24"/>
  <c r="AL100" i="24"/>
  <c r="AL99" i="24"/>
  <c r="AL98" i="24"/>
  <c r="AL97" i="24"/>
  <c r="AL96" i="24"/>
  <c r="AL95" i="24"/>
  <c r="AL94" i="24"/>
  <c r="AL93" i="24"/>
  <c r="AL92" i="24"/>
  <c r="AL91" i="24"/>
  <c r="AL90" i="24"/>
  <c r="AL89" i="24"/>
  <c r="AL88" i="24"/>
  <c r="AL87" i="24"/>
  <c r="AL86" i="24"/>
  <c r="AL85" i="24"/>
  <c r="AL84" i="24"/>
  <c r="AL83" i="24"/>
  <c r="AL82" i="24"/>
  <c r="AL81" i="24"/>
  <c r="AL80" i="24"/>
  <c r="AL79" i="24"/>
  <c r="AL78" i="24"/>
  <c r="AL77" i="24"/>
  <c r="AL76" i="24"/>
  <c r="AL75" i="24"/>
  <c r="AL74" i="24"/>
  <c r="AL73" i="24"/>
  <c r="AL72" i="24"/>
  <c r="AL71" i="24"/>
  <c r="AL70" i="24"/>
  <c r="AL69" i="24"/>
  <c r="AL68" i="24"/>
  <c r="AL67" i="24"/>
  <c r="AL66" i="24"/>
  <c r="AL65" i="24"/>
  <c r="AL64" i="24"/>
  <c r="AL63" i="24"/>
  <c r="AL62" i="24"/>
  <c r="AL61" i="24"/>
  <c r="AL60" i="24"/>
  <c r="AL59" i="24"/>
  <c r="AL58" i="24"/>
  <c r="AL57" i="24"/>
  <c r="AL56" i="24"/>
  <c r="AL55" i="24"/>
  <c r="AL54" i="24"/>
  <c r="AL53" i="24"/>
  <c r="AL52" i="24"/>
  <c r="AL51" i="24"/>
  <c r="AL50" i="24"/>
  <c r="AL49" i="24"/>
  <c r="AL48" i="24"/>
  <c r="AL47" i="24"/>
  <c r="AL46" i="24"/>
  <c r="AL45" i="24"/>
  <c r="AL44" i="24"/>
  <c r="AL43" i="24"/>
  <c r="AL42" i="24"/>
  <c r="AL41" i="24"/>
  <c r="AL40" i="24"/>
  <c r="AL39" i="24"/>
  <c r="AL38" i="24"/>
  <c r="AL37" i="24"/>
  <c r="AL36" i="24"/>
  <c r="AL35" i="24"/>
  <c r="AL34" i="24"/>
  <c r="AL33" i="24"/>
  <c r="AL32" i="24"/>
  <c r="AL31" i="24"/>
  <c r="AL30" i="24"/>
  <c r="AL29" i="24"/>
  <c r="AL28" i="24"/>
  <c r="AL27" i="24"/>
  <c r="AL26" i="24"/>
  <c r="AL25" i="24"/>
  <c r="AL24" i="24"/>
  <c r="AL23" i="24"/>
  <c r="AL22" i="24"/>
  <c r="AL21" i="24"/>
  <c r="AL20" i="24"/>
  <c r="AL19" i="24"/>
  <c r="AL18" i="24"/>
  <c r="AL17" i="24"/>
  <c r="AL16" i="24"/>
  <c r="AL15" i="24"/>
  <c r="AL14" i="24"/>
  <c r="AL13" i="24"/>
  <c r="AL12" i="24"/>
  <c r="AL11" i="24"/>
  <c r="AL10" i="24"/>
  <c r="AL9" i="24"/>
  <c r="AL8" i="24"/>
  <c r="AL7" i="24"/>
  <c r="AL6" i="24"/>
  <c r="AL5" i="24"/>
  <c r="AL4" i="24"/>
  <c r="AL3" i="24"/>
  <c r="AA357" i="24"/>
  <c r="AK356" i="24"/>
  <c r="AK355" i="24"/>
  <c r="AK354" i="24"/>
  <c r="AK353" i="24"/>
  <c r="AK352" i="24"/>
  <c r="AK351" i="24"/>
  <c r="AK350" i="24"/>
  <c r="AK349" i="24"/>
  <c r="AK348" i="24"/>
  <c r="AK347" i="24"/>
  <c r="AK346" i="24"/>
  <c r="AK345" i="24"/>
  <c r="AK344" i="24"/>
  <c r="AK343" i="24"/>
  <c r="AK342" i="24"/>
  <c r="AK341" i="24"/>
  <c r="AK340" i="24"/>
  <c r="AK339" i="24"/>
  <c r="AK338" i="24"/>
  <c r="AK337" i="24"/>
  <c r="AK336" i="24"/>
  <c r="AK335" i="24"/>
  <c r="AK334" i="24"/>
  <c r="AK333" i="24"/>
  <c r="AK332" i="24"/>
  <c r="AK331" i="24"/>
  <c r="AK330" i="24"/>
  <c r="AK329" i="24"/>
  <c r="AK328" i="24"/>
  <c r="AK327" i="24"/>
  <c r="AK326" i="24"/>
  <c r="AK325" i="24"/>
  <c r="AK324" i="24"/>
  <c r="AK323" i="24"/>
  <c r="AK322" i="24"/>
  <c r="AK321" i="24"/>
  <c r="AK320" i="24"/>
  <c r="AK319" i="24"/>
  <c r="AK318" i="24"/>
  <c r="AK317" i="24"/>
  <c r="AK316" i="24"/>
  <c r="AK315" i="24"/>
  <c r="AK314" i="24"/>
  <c r="AK313" i="24"/>
  <c r="AK312" i="24"/>
  <c r="AK311" i="24"/>
  <c r="AK310" i="24"/>
  <c r="AK309" i="24"/>
  <c r="AK308" i="24"/>
  <c r="AK307" i="24"/>
  <c r="AK306" i="24"/>
  <c r="AK305" i="24"/>
  <c r="AK304" i="24"/>
  <c r="AK303" i="24"/>
  <c r="AK302" i="24"/>
  <c r="AK301" i="24"/>
  <c r="AK300" i="24"/>
  <c r="AK299" i="24"/>
  <c r="AK298" i="24"/>
  <c r="AK297" i="24"/>
  <c r="AK296" i="24"/>
  <c r="AK295" i="24"/>
  <c r="AK294" i="24"/>
  <c r="AK293" i="24"/>
  <c r="AK292" i="24"/>
  <c r="AK291" i="24"/>
  <c r="AK290" i="24"/>
  <c r="AK289" i="24"/>
  <c r="AK288" i="24"/>
  <c r="AK287" i="24"/>
  <c r="AK286" i="24"/>
  <c r="AK285" i="24"/>
  <c r="AK284" i="24"/>
  <c r="AK283" i="24"/>
  <c r="AK282" i="24"/>
  <c r="AK281" i="24"/>
  <c r="AK280" i="24"/>
  <c r="AK279" i="24"/>
  <c r="AK278" i="24"/>
  <c r="AK277" i="24"/>
  <c r="AK276" i="24"/>
  <c r="AK275" i="24"/>
  <c r="AK274" i="24"/>
  <c r="AK273" i="24"/>
  <c r="AK272" i="24"/>
  <c r="AK271" i="24"/>
  <c r="AK270" i="24"/>
  <c r="AK269" i="24"/>
  <c r="AK268" i="24"/>
  <c r="AK267" i="24"/>
  <c r="AK266" i="24"/>
  <c r="AK265" i="24"/>
  <c r="AK264" i="24"/>
  <c r="AK263" i="24"/>
  <c r="AK262" i="24"/>
  <c r="AK261" i="24"/>
  <c r="AK260" i="24"/>
  <c r="AK259" i="24"/>
  <c r="AK258" i="24"/>
  <c r="AK257" i="24"/>
  <c r="AK256" i="24"/>
  <c r="AK255" i="24"/>
  <c r="AK254" i="24"/>
  <c r="AK253" i="24"/>
  <c r="AK252" i="24"/>
  <c r="AK251" i="24"/>
  <c r="AK250" i="24"/>
  <c r="AK249" i="24"/>
  <c r="AK248" i="24"/>
  <c r="AK247" i="24"/>
  <c r="AK246" i="24"/>
  <c r="AK245" i="24"/>
  <c r="AK244" i="24"/>
  <c r="AK243" i="24"/>
  <c r="AK242" i="24"/>
  <c r="AK241" i="24"/>
  <c r="AK240" i="24"/>
  <c r="AK239" i="24"/>
  <c r="AK238" i="24"/>
  <c r="AK237" i="24"/>
  <c r="AK236" i="24"/>
  <c r="AK235" i="24"/>
  <c r="AK234" i="24"/>
  <c r="AK233" i="24"/>
  <c r="AK232" i="24"/>
  <c r="AK231" i="24"/>
  <c r="AK230" i="24"/>
  <c r="AK229" i="24"/>
  <c r="AK228" i="24"/>
  <c r="AK227" i="24"/>
  <c r="AK226" i="24"/>
  <c r="AK225" i="24"/>
  <c r="AK224" i="24"/>
  <c r="AK223" i="24"/>
  <c r="AK222" i="24"/>
  <c r="AK221" i="24"/>
  <c r="AK220" i="24"/>
  <c r="AK219" i="24"/>
  <c r="AK218" i="24"/>
  <c r="AK217" i="24"/>
  <c r="AK216" i="24"/>
  <c r="AK215" i="24"/>
  <c r="AK214" i="24"/>
  <c r="AK213" i="24"/>
  <c r="AK212" i="24"/>
  <c r="AK211" i="24"/>
  <c r="AK210" i="24"/>
  <c r="AK209" i="24"/>
  <c r="AK208" i="24"/>
  <c r="AK207" i="24"/>
  <c r="AK206" i="24"/>
  <c r="AK205" i="24"/>
  <c r="AK204" i="24"/>
  <c r="AK203" i="24"/>
  <c r="AK202" i="24"/>
  <c r="AK201" i="24"/>
  <c r="AK200" i="24"/>
  <c r="AK199" i="24"/>
  <c r="AK198" i="24"/>
  <c r="AK197" i="24"/>
  <c r="AK196" i="24"/>
  <c r="AK195" i="24"/>
  <c r="AK194" i="24"/>
  <c r="AK193" i="24"/>
  <c r="AK192" i="24"/>
  <c r="AK191" i="24"/>
  <c r="AK190" i="24"/>
  <c r="AK189" i="24"/>
  <c r="AK188" i="24"/>
  <c r="AK187" i="24"/>
  <c r="AK186" i="24"/>
  <c r="AK185" i="24"/>
  <c r="AK184" i="24"/>
  <c r="AK183" i="24"/>
  <c r="AK182" i="24"/>
  <c r="AK181" i="24"/>
  <c r="AK180" i="24"/>
  <c r="AK179" i="24"/>
  <c r="AK178" i="24"/>
  <c r="AK177" i="24"/>
  <c r="AK176" i="24"/>
  <c r="AK175" i="24"/>
  <c r="AK174" i="24"/>
  <c r="AK173" i="24"/>
  <c r="AK172" i="24"/>
  <c r="AK171" i="24"/>
  <c r="AK170" i="24"/>
  <c r="AK169" i="24"/>
  <c r="AK168" i="24"/>
  <c r="AK167" i="24"/>
  <c r="AK166" i="24"/>
  <c r="AK165" i="24"/>
  <c r="AK164" i="24"/>
  <c r="AK163" i="24"/>
  <c r="AK162" i="24"/>
  <c r="AK161" i="24"/>
  <c r="AK160" i="24"/>
  <c r="AK159" i="24"/>
  <c r="AK158" i="24"/>
  <c r="AK157" i="24"/>
  <c r="AK156" i="24"/>
  <c r="AK155" i="24"/>
  <c r="AK154" i="24"/>
  <c r="AK153" i="24"/>
  <c r="AK152" i="24"/>
  <c r="AK151" i="24"/>
  <c r="AK150" i="24"/>
  <c r="AK149" i="24"/>
  <c r="AK148" i="24"/>
  <c r="AK147" i="24"/>
  <c r="AK146" i="24"/>
  <c r="AK145" i="24"/>
  <c r="AK144" i="24"/>
  <c r="AK143" i="24"/>
  <c r="AK142" i="24"/>
  <c r="AK141" i="24"/>
  <c r="AK140" i="24"/>
  <c r="AK139" i="24"/>
  <c r="AK138" i="24"/>
  <c r="AK137" i="24"/>
  <c r="AK136" i="24"/>
  <c r="AK135" i="24"/>
  <c r="AK134" i="24"/>
  <c r="AK133" i="24"/>
  <c r="AK132" i="24"/>
  <c r="AK131" i="24"/>
  <c r="AK130" i="24"/>
  <c r="AK129" i="24"/>
  <c r="AK128" i="24"/>
  <c r="AK127" i="24"/>
  <c r="AK126" i="24"/>
  <c r="AK125" i="24"/>
  <c r="AK124" i="24"/>
  <c r="AK123" i="24"/>
  <c r="AK122" i="24"/>
  <c r="AK121" i="24"/>
  <c r="AK120" i="24"/>
  <c r="AK119" i="24"/>
  <c r="AK118" i="24"/>
  <c r="AK117" i="24"/>
  <c r="AK116" i="24"/>
  <c r="AK115" i="24"/>
  <c r="AK114" i="24"/>
  <c r="AK113" i="24"/>
  <c r="AK112" i="24"/>
  <c r="AK111" i="24"/>
  <c r="AK110" i="24"/>
  <c r="AK109" i="24"/>
  <c r="AK108" i="24"/>
  <c r="AK107" i="24"/>
  <c r="AK106" i="24"/>
  <c r="AK105" i="24"/>
  <c r="AK104" i="24"/>
  <c r="AK103" i="24"/>
  <c r="AK102" i="24"/>
  <c r="AK101" i="24"/>
  <c r="AK100" i="24"/>
  <c r="AK99" i="24"/>
  <c r="AK98" i="24"/>
  <c r="AK97" i="24"/>
  <c r="AK96" i="24"/>
  <c r="AK95" i="24"/>
  <c r="AK94" i="24"/>
  <c r="AK93" i="24"/>
  <c r="AK92" i="24"/>
  <c r="AK91" i="24"/>
  <c r="AK90" i="24"/>
  <c r="AK89" i="24"/>
  <c r="AK88" i="24"/>
  <c r="AK87" i="24"/>
  <c r="AK86" i="24"/>
  <c r="AK85" i="24"/>
  <c r="AK84" i="24"/>
  <c r="AK83" i="24"/>
  <c r="AK82" i="24"/>
  <c r="AK81" i="24"/>
  <c r="AK80" i="24"/>
  <c r="AK79" i="24"/>
  <c r="AK78" i="24"/>
  <c r="AK77" i="24"/>
  <c r="AK76" i="24"/>
  <c r="AK75" i="24"/>
  <c r="AK74" i="24"/>
  <c r="AK73" i="24"/>
  <c r="AK72" i="24"/>
  <c r="AK71" i="24"/>
  <c r="AK70" i="24"/>
  <c r="AK69" i="24"/>
  <c r="AK68" i="24"/>
  <c r="AK67" i="24"/>
  <c r="AK66" i="24"/>
  <c r="AK65" i="24"/>
  <c r="AK64" i="24"/>
  <c r="AK63" i="24"/>
  <c r="AK62" i="24"/>
  <c r="AK61" i="24"/>
  <c r="AK60" i="24"/>
  <c r="AK59" i="24"/>
  <c r="AK58" i="24"/>
  <c r="AK57" i="24"/>
  <c r="AK56" i="24"/>
  <c r="AK55" i="24"/>
  <c r="AK54" i="24"/>
  <c r="AK53" i="24"/>
  <c r="AK52" i="24"/>
  <c r="AK51" i="24"/>
  <c r="AK50" i="24"/>
  <c r="AK49" i="24"/>
  <c r="AK48" i="24"/>
  <c r="AK47" i="24"/>
  <c r="AK46" i="24"/>
  <c r="AK45" i="24"/>
  <c r="AK44" i="24"/>
  <c r="AK43" i="24"/>
  <c r="AK42" i="24"/>
  <c r="AK41" i="24"/>
  <c r="AK40" i="24"/>
  <c r="AK39" i="24"/>
  <c r="AK38" i="24"/>
  <c r="AK37" i="24"/>
  <c r="AK36" i="24"/>
  <c r="AK35" i="24"/>
  <c r="AK34" i="24"/>
  <c r="AK33" i="24"/>
  <c r="AK32" i="24"/>
  <c r="AK31" i="24"/>
  <c r="AK30" i="24"/>
  <c r="AK29" i="24"/>
  <c r="AK28" i="24"/>
  <c r="AK27" i="24"/>
  <c r="AK26" i="24"/>
  <c r="AK25" i="24"/>
  <c r="AK24" i="24"/>
  <c r="AK23" i="24"/>
  <c r="AK22" i="24"/>
  <c r="AK21" i="24"/>
  <c r="AK20" i="24"/>
  <c r="AK19" i="24"/>
  <c r="AK18" i="24"/>
  <c r="AK17" i="24"/>
  <c r="AK16" i="24"/>
  <c r="AK15" i="24"/>
  <c r="AK14" i="24"/>
  <c r="AK13" i="24"/>
  <c r="AK12" i="24"/>
  <c r="AK11" i="24"/>
  <c r="AK10" i="24"/>
  <c r="AK9" i="24"/>
  <c r="AK8" i="24"/>
  <c r="AK7" i="24"/>
  <c r="AK6" i="24"/>
  <c r="AK5" i="24"/>
  <c r="AK4" i="24"/>
  <c r="AK3" i="24"/>
  <c r="X357" i="24"/>
  <c r="AJ357" i="24" s="1"/>
  <c r="G33" i="4" s="1"/>
  <c r="K33" i="4" s="1"/>
  <c r="K32" i="4" s="1"/>
  <c r="AJ356" i="24"/>
  <c r="AJ355" i="24"/>
  <c r="AJ354" i="24"/>
  <c r="AJ353" i="24"/>
  <c r="AJ352" i="24"/>
  <c r="AJ351" i="24"/>
  <c r="AJ350" i="24"/>
  <c r="AJ349" i="24"/>
  <c r="AJ348" i="24"/>
  <c r="AJ347" i="24"/>
  <c r="AJ346" i="24"/>
  <c r="AJ345" i="24"/>
  <c r="AJ344" i="24"/>
  <c r="AJ343" i="24"/>
  <c r="AJ342" i="24"/>
  <c r="AJ341" i="24"/>
  <c r="AJ340" i="24"/>
  <c r="AJ339" i="24"/>
  <c r="AJ338" i="24"/>
  <c r="AJ337" i="24"/>
  <c r="AJ336" i="24"/>
  <c r="AJ335" i="24"/>
  <c r="AJ334" i="24"/>
  <c r="AJ333" i="24"/>
  <c r="AJ332" i="24"/>
  <c r="AJ331" i="24"/>
  <c r="AJ330" i="24"/>
  <c r="AJ329" i="24"/>
  <c r="AJ328" i="24"/>
  <c r="AJ327" i="24"/>
  <c r="AJ326" i="24"/>
  <c r="AJ325" i="24"/>
  <c r="AJ324" i="24"/>
  <c r="AJ323" i="24"/>
  <c r="AJ322" i="24"/>
  <c r="AJ321" i="24"/>
  <c r="AJ320" i="24"/>
  <c r="AJ319" i="24"/>
  <c r="AJ318" i="24"/>
  <c r="AJ317" i="24"/>
  <c r="AJ316" i="24"/>
  <c r="AJ315" i="24"/>
  <c r="AJ314" i="24"/>
  <c r="AJ313" i="24"/>
  <c r="AJ312" i="24"/>
  <c r="AJ311" i="24"/>
  <c r="AJ310" i="24"/>
  <c r="AJ309" i="24"/>
  <c r="AJ308" i="24"/>
  <c r="AJ307" i="24"/>
  <c r="AJ306" i="24"/>
  <c r="AJ305" i="24"/>
  <c r="AJ304" i="24"/>
  <c r="AJ303" i="24"/>
  <c r="AJ302" i="24"/>
  <c r="AJ301" i="24"/>
  <c r="AJ300" i="24"/>
  <c r="AJ299" i="24"/>
  <c r="AJ298" i="24"/>
  <c r="AJ297" i="24"/>
  <c r="AJ296" i="24"/>
  <c r="AJ295" i="24"/>
  <c r="AJ294" i="24"/>
  <c r="AJ293" i="24"/>
  <c r="AJ292" i="24"/>
  <c r="AJ291" i="24"/>
  <c r="AJ290" i="24"/>
  <c r="AJ289" i="24"/>
  <c r="AJ288" i="24"/>
  <c r="AJ287" i="24"/>
  <c r="AJ286" i="24"/>
  <c r="AJ285" i="24"/>
  <c r="AJ284" i="24"/>
  <c r="AJ283" i="24"/>
  <c r="AJ282" i="24"/>
  <c r="AJ281" i="24"/>
  <c r="AJ280" i="24"/>
  <c r="AJ279" i="24"/>
  <c r="AJ278" i="24"/>
  <c r="AJ277" i="24"/>
  <c r="AJ276" i="24"/>
  <c r="AJ275" i="24"/>
  <c r="AJ274" i="24"/>
  <c r="AJ273" i="24"/>
  <c r="AJ272" i="24"/>
  <c r="AJ271" i="24"/>
  <c r="AJ270" i="24"/>
  <c r="AJ269" i="24"/>
  <c r="AJ268" i="24"/>
  <c r="AJ267" i="24"/>
  <c r="AJ266" i="24"/>
  <c r="AJ265" i="24"/>
  <c r="AJ264" i="24"/>
  <c r="AJ263" i="24"/>
  <c r="AJ262" i="24"/>
  <c r="AJ261" i="24"/>
  <c r="AJ260" i="24"/>
  <c r="AJ259" i="24"/>
  <c r="AJ258" i="24"/>
  <c r="AJ257" i="24"/>
  <c r="AJ256" i="24"/>
  <c r="AJ255" i="24"/>
  <c r="AJ254" i="24"/>
  <c r="AJ253" i="24"/>
  <c r="AJ252" i="24"/>
  <c r="AJ251" i="24"/>
  <c r="AJ250" i="24"/>
  <c r="AJ249" i="24"/>
  <c r="AJ248" i="24"/>
  <c r="AJ247" i="24"/>
  <c r="AJ246" i="24"/>
  <c r="AJ245" i="24"/>
  <c r="AJ244" i="24"/>
  <c r="AJ243" i="24"/>
  <c r="AJ242" i="24"/>
  <c r="AJ241" i="24"/>
  <c r="AJ240" i="24"/>
  <c r="AJ239" i="24"/>
  <c r="AJ238" i="24"/>
  <c r="AJ237" i="24"/>
  <c r="AJ236" i="24"/>
  <c r="AJ235" i="24"/>
  <c r="AJ234" i="24"/>
  <c r="AJ233" i="24"/>
  <c r="AJ232" i="24"/>
  <c r="AJ231" i="24"/>
  <c r="AJ230" i="24"/>
  <c r="AJ229" i="24"/>
  <c r="AJ228" i="24"/>
  <c r="AJ227" i="24"/>
  <c r="AJ226" i="24"/>
  <c r="AJ225" i="24"/>
  <c r="AJ224" i="24"/>
  <c r="AJ223" i="24"/>
  <c r="AJ222" i="24"/>
  <c r="AJ221" i="24"/>
  <c r="AJ220" i="24"/>
  <c r="AJ219" i="24"/>
  <c r="AJ218" i="24"/>
  <c r="AJ217" i="24"/>
  <c r="AJ216" i="24"/>
  <c r="AJ215" i="24"/>
  <c r="AJ214" i="24"/>
  <c r="AJ213" i="24"/>
  <c r="AJ212" i="24"/>
  <c r="AJ211" i="24"/>
  <c r="AJ210" i="24"/>
  <c r="AJ209" i="24"/>
  <c r="AJ208" i="24"/>
  <c r="AJ207" i="24"/>
  <c r="AJ206" i="24"/>
  <c r="AJ205" i="24"/>
  <c r="AJ204" i="24"/>
  <c r="AJ203" i="24"/>
  <c r="AJ202" i="24"/>
  <c r="AJ201" i="24"/>
  <c r="AJ200" i="24"/>
  <c r="AJ199" i="24"/>
  <c r="AJ198" i="24"/>
  <c r="AJ197" i="24"/>
  <c r="AJ196" i="24"/>
  <c r="AJ195" i="24"/>
  <c r="AJ194" i="24"/>
  <c r="AJ193" i="24"/>
  <c r="AJ192" i="24"/>
  <c r="AJ191" i="24"/>
  <c r="AJ190" i="24"/>
  <c r="AJ189" i="24"/>
  <c r="AJ188" i="24"/>
  <c r="AJ187" i="24"/>
  <c r="AJ186" i="24"/>
  <c r="AJ185" i="24"/>
  <c r="AJ184" i="24"/>
  <c r="AJ183" i="24"/>
  <c r="AJ182" i="24"/>
  <c r="AJ181" i="24"/>
  <c r="AJ180" i="24"/>
  <c r="AJ179" i="24"/>
  <c r="AJ178" i="24"/>
  <c r="AJ177" i="24"/>
  <c r="AJ176" i="24"/>
  <c r="AJ175" i="24"/>
  <c r="AJ174" i="24"/>
  <c r="AJ173" i="24"/>
  <c r="AJ172" i="24"/>
  <c r="AJ171" i="24"/>
  <c r="AJ170" i="24"/>
  <c r="AJ169" i="24"/>
  <c r="AJ168" i="24"/>
  <c r="AJ167" i="24"/>
  <c r="AJ166" i="24"/>
  <c r="AJ165" i="24"/>
  <c r="AJ164" i="24"/>
  <c r="AJ163" i="24"/>
  <c r="AJ162" i="24"/>
  <c r="AJ161" i="24"/>
  <c r="AJ160" i="24"/>
  <c r="AJ159" i="24"/>
  <c r="AJ158" i="24"/>
  <c r="AJ157" i="24"/>
  <c r="AJ156" i="24"/>
  <c r="AJ155" i="24"/>
  <c r="AJ154" i="24"/>
  <c r="AJ153" i="24"/>
  <c r="AJ152" i="24"/>
  <c r="AJ151" i="24"/>
  <c r="AJ150" i="24"/>
  <c r="AJ149" i="24"/>
  <c r="AJ148" i="24"/>
  <c r="AJ147" i="24"/>
  <c r="AJ146" i="24"/>
  <c r="AJ145" i="24"/>
  <c r="AJ144" i="24"/>
  <c r="AJ143" i="24"/>
  <c r="AJ142" i="24"/>
  <c r="AJ141" i="24"/>
  <c r="AJ140" i="24"/>
  <c r="AJ139" i="24"/>
  <c r="AJ138" i="24"/>
  <c r="AJ137" i="24"/>
  <c r="AJ136" i="24"/>
  <c r="AJ135" i="24"/>
  <c r="AJ134" i="24"/>
  <c r="AJ133" i="24"/>
  <c r="AJ132" i="24"/>
  <c r="AJ131" i="24"/>
  <c r="AJ130" i="24"/>
  <c r="AJ129" i="24"/>
  <c r="AJ128" i="24"/>
  <c r="AJ127" i="24"/>
  <c r="AJ126" i="24"/>
  <c r="AJ125" i="24"/>
  <c r="AJ124" i="24"/>
  <c r="AJ123" i="24"/>
  <c r="AJ122" i="24"/>
  <c r="AJ121" i="24"/>
  <c r="AJ120" i="24"/>
  <c r="AJ119" i="24"/>
  <c r="AJ118" i="24"/>
  <c r="AJ117" i="24"/>
  <c r="AJ116" i="24"/>
  <c r="AJ115" i="24"/>
  <c r="AJ114" i="24"/>
  <c r="AJ113" i="24"/>
  <c r="AJ112" i="24"/>
  <c r="AJ111" i="24"/>
  <c r="AJ110" i="24"/>
  <c r="AJ109" i="24"/>
  <c r="AJ108" i="24"/>
  <c r="AJ107" i="24"/>
  <c r="AJ106" i="24"/>
  <c r="AJ105" i="24"/>
  <c r="AJ104" i="24"/>
  <c r="AJ103" i="24"/>
  <c r="AJ102" i="24"/>
  <c r="AJ101" i="24"/>
  <c r="AJ100" i="24"/>
  <c r="AJ99" i="24"/>
  <c r="AJ98" i="24"/>
  <c r="AJ97" i="24"/>
  <c r="AJ96" i="24"/>
  <c r="AJ95" i="24"/>
  <c r="AJ94" i="24"/>
  <c r="AJ93" i="24"/>
  <c r="AJ92" i="24"/>
  <c r="AJ91" i="24"/>
  <c r="AJ90" i="24"/>
  <c r="AJ89" i="24"/>
  <c r="AJ88" i="24"/>
  <c r="AJ87" i="24"/>
  <c r="AJ86" i="24"/>
  <c r="AJ85" i="24"/>
  <c r="AJ84" i="24"/>
  <c r="AJ83" i="24"/>
  <c r="AJ82" i="24"/>
  <c r="AJ81" i="24"/>
  <c r="AJ80" i="24"/>
  <c r="AJ79" i="24"/>
  <c r="AJ78" i="24"/>
  <c r="AJ77" i="24"/>
  <c r="AJ76" i="24"/>
  <c r="AJ75" i="24"/>
  <c r="AJ74" i="24"/>
  <c r="AJ73" i="24"/>
  <c r="AJ72" i="24"/>
  <c r="AJ71" i="24"/>
  <c r="AJ70" i="24"/>
  <c r="AJ69" i="24"/>
  <c r="AJ68" i="24"/>
  <c r="AJ67" i="24"/>
  <c r="AJ66" i="24"/>
  <c r="AJ65" i="24"/>
  <c r="AJ64" i="24"/>
  <c r="AJ63" i="24"/>
  <c r="AJ62" i="24"/>
  <c r="AJ61" i="24"/>
  <c r="AJ60" i="24"/>
  <c r="AJ59" i="24"/>
  <c r="AJ58" i="24"/>
  <c r="AJ57" i="24"/>
  <c r="AJ56" i="24"/>
  <c r="AJ55" i="24"/>
  <c r="AJ54" i="24"/>
  <c r="AJ53" i="24"/>
  <c r="AJ52" i="24"/>
  <c r="AJ51" i="24"/>
  <c r="AJ50" i="24"/>
  <c r="AJ49" i="24"/>
  <c r="AJ48" i="24"/>
  <c r="AJ47" i="24"/>
  <c r="AJ46" i="24"/>
  <c r="AJ45" i="24"/>
  <c r="AJ44" i="24"/>
  <c r="AJ43" i="24"/>
  <c r="AJ42" i="24"/>
  <c r="AJ41" i="24"/>
  <c r="AJ40" i="24"/>
  <c r="AJ39" i="24"/>
  <c r="AJ38" i="24"/>
  <c r="AJ37" i="24"/>
  <c r="AJ36" i="24"/>
  <c r="AJ35" i="24"/>
  <c r="AJ34" i="24"/>
  <c r="AJ33" i="24"/>
  <c r="AJ32" i="24"/>
  <c r="AJ31" i="24"/>
  <c r="AJ30" i="24"/>
  <c r="AJ29" i="24"/>
  <c r="AJ28" i="24"/>
  <c r="AJ27" i="24"/>
  <c r="AJ26" i="24"/>
  <c r="AJ25" i="24"/>
  <c r="AJ24" i="24"/>
  <c r="AJ23" i="24"/>
  <c r="AJ22" i="24"/>
  <c r="AJ21" i="24"/>
  <c r="AJ20" i="24"/>
  <c r="AJ19" i="24"/>
  <c r="AJ18" i="24"/>
  <c r="AJ17" i="24"/>
  <c r="AJ16" i="24"/>
  <c r="AJ15" i="24"/>
  <c r="AJ14" i="24"/>
  <c r="AJ13" i="24"/>
  <c r="AJ12" i="24"/>
  <c r="AJ11" i="24"/>
  <c r="AJ10" i="24"/>
  <c r="AJ9" i="24"/>
  <c r="AJ8" i="24"/>
  <c r="AJ7" i="24"/>
  <c r="AJ6" i="24"/>
  <c r="AJ5" i="24"/>
  <c r="AJ4" i="24"/>
  <c r="AJ3" i="24"/>
  <c r="H357" i="24"/>
  <c r="B20" i="6" s="1"/>
  <c r="E3" i="3" s="1"/>
  <c r="M357" i="24"/>
  <c r="N357" i="24"/>
  <c r="B28" i="6" s="1"/>
  <c r="AG356" i="24"/>
  <c r="AH356" i="24"/>
  <c r="AF356" i="24"/>
  <c r="AG355" i="24"/>
  <c r="AH355" i="24"/>
  <c r="AF355" i="24"/>
  <c r="AG354" i="24"/>
  <c r="AH354" i="24"/>
  <c r="AF354" i="24"/>
  <c r="AG353" i="24"/>
  <c r="AH353" i="24"/>
  <c r="AF353" i="24"/>
  <c r="AG352" i="24"/>
  <c r="AH352" i="24"/>
  <c r="AF352" i="24"/>
  <c r="AG351" i="24"/>
  <c r="AH351" i="24"/>
  <c r="AF351" i="24"/>
  <c r="AG350" i="24"/>
  <c r="AH350" i="24"/>
  <c r="AF350" i="24"/>
  <c r="AG349" i="24"/>
  <c r="AH349" i="24"/>
  <c r="AF349" i="24"/>
  <c r="AG348" i="24"/>
  <c r="AH348" i="24"/>
  <c r="AF348" i="24"/>
  <c r="AG347" i="24"/>
  <c r="AH347" i="24"/>
  <c r="AF347" i="24"/>
  <c r="AG346" i="24"/>
  <c r="AH346" i="24"/>
  <c r="AF346" i="24"/>
  <c r="AG345" i="24"/>
  <c r="AH345" i="24"/>
  <c r="AF345" i="24"/>
  <c r="AG344" i="24"/>
  <c r="AH344" i="24"/>
  <c r="AF344" i="24"/>
  <c r="AG343" i="24"/>
  <c r="AH343" i="24"/>
  <c r="AF343" i="24"/>
  <c r="AG342" i="24"/>
  <c r="AH342" i="24"/>
  <c r="AF342" i="24"/>
  <c r="AG341" i="24"/>
  <c r="AH341" i="24"/>
  <c r="AF341" i="24"/>
  <c r="AG340" i="24"/>
  <c r="AH340" i="24"/>
  <c r="AF340" i="24"/>
  <c r="AG339" i="24"/>
  <c r="AH339" i="24"/>
  <c r="AF339" i="24"/>
  <c r="AG338" i="24"/>
  <c r="AH338" i="24"/>
  <c r="AF338" i="24"/>
  <c r="AG337" i="24"/>
  <c r="AH337" i="24"/>
  <c r="AF337" i="24"/>
  <c r="AG336" i="24"/>
  <c r="AH336" i="24"/>
  <c r="AF336" i="24"/>
  <c r="AG335" i="24"/>
  <c r="AH335" i="24"/>
  <c r="AF335" i="24"/>
  <c r="AG334" i="24"/>
  <c r="AH334" i="24"/>
  <c r="AF334" i="24"/>
  <c r="AG333" i="24"/>
  <c r="AH333" i="24"/>
  <c r="AF333" i="24"/>
  <c r="AG332" i="24"/>
  <c r="AH332" i="24"/>
  <c r="AF332" i="24"/>
  <c r="AG331" i="24"/>
  <c r="AH331" i="24"/>
  <c r="AF331" i="24"/>
  <c r="AG330" i="24"/>
  <c r="AH330" i="24"/>
  <c r="AF330" i="24"/>
  <c r="AG329" i="24"/>
  <c r="AH329" i="24"/>
  <c r="AF329" i="24"/>
  <c r="AG328" i="24"/>
  <c r="AH328" i="24"/>
  <c r="AF328" i="24"/>
  <c r="AG327" i="24"/>
  <c r="AH327" i="24"/>
  <c r="AF327" i="24"/>
  <c r="AG326" i="24"/>
  <c r="AH326" i="24"/>
  <c r="AF326" i="24"/>
  <c r="AG325" i="24"/>
  <c r="AH325" i="24"/>
  <c r="AF325" i="24"/>
  <c r="AG324" i="24"/>
  <c r="AH324" i="24"/>
  <c r="AF324" i="24"/>
  <c r="AG323" i="24"/>
  <c r="AH323" i="24"/>
  <c r="AF323" i="24"/>
  <c r="AG322" i="24"/>
  <c r="AH322" i="24"/>
  <c r="AF322" i="24"/>
  <c r="AG321" i="24"/>
  <c r="AH321" i="24"/>
  <c r="AF321" i="24"/>
  <c r="AG320" i="24"/>
  <c r="AH320" i="24"/>
  <c r="AF320" i="24"/>
  <c r="AG319" i="24"/>
  <c r="AH319" i="24"/>
  <c r="AF319" i="24"/>
  <c r="AG318" i="24"/>
  <c r="AH318" i="24"/>
  <c r="AF318" i="24"/>
  <c r="AG317" i="24"/>
  <c r="AH317" i="24"/>
  <c r="AF317" i="24"/>
  <c r="AG316" i="24"/>
  <c r="AH316" i="24"/>
  <c r="AF316" i="24"/>
  <c r="AG315" i="24"/>
  <c r="AH315" i="24"/>
  <c r="AF315" i="24"/>
  <c r="AG314" i="24"/>
  <c r="AH314" i="24"/>
  <c r="AF314" i="24"/>
  <c r="AG313" i="24"/>
  <c r="AH313" i="24"/>
  <c r="AF313" i="24"/>
  <c r="AG312" i="24"/>
  <c r="AH312" i="24"/>
  <c r="AF312" i="24"/>
  <c r="AG311" i="24"/>
  <c r="AH311" i="24"/>
  <c r="AF311" i="24"/>
  <c r="AG310" i="24"/>
  <c r="AH310" i="24"/>
  <c r="AF310" i="24"/>
  <c r="AG309" i="24"/>
  <c r="AH309" i="24"/>
  <c r="AF309" i="24"/>
  <c r="AG308" i="24"/>
  <c r="AH308" i="24"/>
  <c r="AF308" i="24"/>
  <c r="AG307" i="24"/>
  <c r="AH307" i="24"/>
  <c r="AF307" i="24"/>
  <c r="AG306" i="24"/>
  <c r="AH306" i="24"/>
  <c r="AF306" i="24"/>
  <c r="AG305" i="24"/>
  <c r="AH305" i="24"/>
  <c r="AF305" i="24"/>
  <c r="AG304" i="24"/>
  <c r="AH304" i="24"/>
  <c r="AF304" i="24"/>
  <c r="AG303" i="24"/>
  <c r="AH303" i="24"/>
  <c r="AF303" i="24"/>
  <c r="AG302" i="24"/>
  <c r="AH302" i="24"/>
  <c r="AF302" i="24"/>
  <c r="AG301" i="24"/>
  <c r="AH301" i="24"/>
  <c r="AF301" i="24"/>
  <c r="AG300" i="24"/>
  <c r="AH300" i="24"/>
  <c r="AF300" i="24"/>
  <c r="AG299" i="24"/>
  <c r="AH299" i="24"/>
  <c r="AF299" i="24"/>
  <c r="AG298" i="24"/>
  <c r="AH298" i="24"/>
  <c r="AF298" i="24"/>
  <c r="AG297" i="24"/>
  <c r="AH297" i="24"/>
  <c r="AF297" i="24"/>
  <c r="AG296" i="24"/>
  <c r="AH296" i="24"/>
  <c r="AF296" i="24"/>
  <c r="AG295" i="24"/>
  <c r="AH295" i="24"/>
  <c r="AF295" i="24"/>
  <c r="AG294" i="24"/>
  <c r="AH294" i="24"/>
  <c r="AF294" i="24"/>
  <c r="AG293" i="24"/>
  <c r="AH293" i="24"/>
  <c r="AF293" i="24"/>
  <c r="AG292" i="24"/>
  <c r="AH292" i="24"/>
  <c r="AF292" i="24"/>
  <c r="AG291" i="24"/>
  <c r="AH291" i="24"/>
  <c r="AF291" i="24"/>
  <c r="AG290" i="24"/>
  <c r="AH290" i="24"/>
  <c r="AF290" i="24"/>
  <c r="AG289" i="24"/>
  <c r="AH289" i="24"/>
  <c r="AF289" i="24"/>
  <c r="AG288" i="24"/>
  <c r="AH288" i="24"/>
  <c r="AF288" i="24"/>
  <c r="AG287" i="24"/>
  <c r="AH287" i="24"/>
  <c r="AF287" i="24"/>
  <c r="AG286" i="24"/>
  <c r="AH286" i="24"/>
  <c r="AF286" i="24"/>
  <c r="AG285" i="24"/>
  <c r="AH285" i="24"/>
  <c r="AF285" i="24"/>
  <c r="AG284" i="24"/>
  <c r="AH284" i="24"/>
  <c r="AF284" i="24"/>
  <c r="AG283" i="24"/>
  <c r="AH283" i="24"/>
  <c r="AF283" i="24"/>
  <c r="AG282" i="24"/>
  <c r="AH282" i="24"/>
  <c r="AF282" i="24"/>
  <c r="AG281" i="24"/>
  <c r="AH281" i="24"/>
  <c r="AF281" i="24"/>
  <c r="AG280" i="24"/>
  <c r="AH280" i="24"/>
  <c r="AF280" i="24"/>
  <c r="AG279" i="24"/>
  <c r="AH279" i="24"/>
  <c r="AF279" i="24"/>
  <c r="AG278" i="24"/>
  <c r="AH278" i="24"/>
  <c r="AF278" i="24"/>
  <c r="AG277" i="24"/>
  <c r="AH277" i="24"/>
  <c r="AF277" i="24"/>
  <c r="AG276" i="24"/>
  <c r="AH276" i="24"/>
  <c r="AF276" i="24"/>
  <c r="AG275" i="24"/>
  <c r="AH275" i="24"/>
  <c r="AF275" i="24"/>
  <c r="AG274" i="24"/>
  <c r="AH274" i="24"/>
  <c r="AF274" i="24"/>
  <c r="AG273" i="24"/>
  <c r="AH273" i="24"/>
  <c r="AF273" i="24"/>
  <c r="AG272" i="24"/>
  <c r="AH272" i="24"/>
  <c r="AF272" i="24"/>
  <c r="AG271" i="24"/>
  <c r="AH271" i="24"/>
  <c r="AF271" i="24"/>
  <c r="AG270" i="24"/>
  <c r="AH270" i="24"/>
  <c r="AF270" i="24"/>
  <c r="AG269" i="24"/>
  <c r="AH269" i="24"/>
  <c r="AF269" i="24"/>
  <c r="AG268" i="24"/>
  <c r="AH268" i="24"/>
  <c r="AF268" i="24"/>
  <c r="AG267" i="24"/>
  <c r="AH267" i="24"/>
  <c r="AI267" i="24" s="1"/>
  <c r="AF267" i="24"/>
  <c r="AG266" i="24"/>
  <c r="AH266" i="24"/>
  <c r="AF266" i="24"/>
  <c r="AG265" i="24"/>
  <c r="AH265" i="24"/>
  <c r="AF265" i="24"/>
  <c r="AG264" i="24"/>
  <c r="AH264" i="24"/>
  <c r="AF264" i="24"/>
  <c r="AG263" i="24"/>
  <c r="AH263" i="24"/>
  <c r="AI263" i="24" s="1"/>
  <c r="AF263" i="24"/>
  <c r="AG262" i="24"/>
  <c r="AH262" i="24"/>
  <c r="AF262" i="24"/>
  <c r="AG261" i="24"/>
  <c r="AH261" i="24"/>
  <c r="AF261" i="24"/>
  <c r="AG260" i="24"/>
  <c r="AH260" i="24"/>
  <c r="AF260" i="24"/>
  <c r="AG259" i="24"/>
  <c r="AH259" i="24"/>
  <c r="AI259" i="24" s="1"/>
  <c r="AF259" i="24"/>
  <c r="AG258" i="24"/>
  <c r="AH258" i="24"/>
  <c r="AF258" i="24"/>
  <c r="AG257" i="24"/>
  <c r="AH257" i="24"/>
  <c r="AF257" i="24"/>
  <c r="AG256" i="24"/>
  <c r="AH256" i="24"/>
  <c r="AF256" i="24"/>
  <c r="AG255" i="24"/>
  <c r="AH255" i="24"/>
  <c r="AI255" i="24" s="1"/>
  <c r="AF255" i="24"/>
  <c r="AG254" i="24"/>
  <c r="AH254" i="24"/>
  <c r="AF254" i="24"/>
  <c r="AG253" i="24"/>
  <c r="AH253" i="24"/>
  <c r="AF253" i="24"/>
  <c r="AG252" i="24"/>
  <c r="AH252" i="24"/>
  <c r="AF252" i="24"/>
  <c r="AG251" i="24"/>
  <c r="AH251" i="24"/>
  <c r="AI251" i="24" s="1"/>
  <c r="AF251" i="24"/>
  <c r="AG250" i="24"/>
  <c r="AH250" i="24"/>
  <c r="AF250" i="24"/>
  <c r="AG249" i="24"/>
  <c r="AH249" i="24"/>
  <c r="AF249" i="24"/>
  <c r="AG248" i="24"/>
  <c r="AH248" i="24"/>
  <c r="AF248" i="24"/>
  <c r="AG247" i="24"/>
  <c r="AH247" i="24"/>
  <c r="AI247" i="24" s="1"/>
  <c r="AF247" i="24"/>
  <c r="AG246" i="24"/>
  <c r="AH246" i="24"/>
  <c r="AF246" i="24"/>
  <c r="AG245" i="24"/>
  <c r="AH245" i="24"/>
  <c r="AF245" i="24"/>
  <c r="AG244" i="24"/>
  <c r="AH244" i="24"/>
  <c r="AF244" i="24"/>
  <c r="AG243" i="24"/>
  <c r="AH243" i="24"/>
  <c r="AI243" i="24" s="1"/>
  <c r="AF243" i="24"/>
  <c r="AG242" i="24"/>
  <c r="AH242" i="24"/>
  <c r="AF242" i="24"/>
  <c r="AG241" i="24"/>
  <c r="AH241" i="24"/>
  <c r="AF241" i="24"/>
  <c r="AG240" i="24"/>
  <c r="AH240" i="24"/>
  <c r="AF240" i="24"/>
  <c r="AG239" i="24"/>
  <c r="AH239" i="24"/>
  <c r="AI239" i="24" s="1"/>
  <c r="AF239" i="24"/>
  <c r="AG238" i="24"/>
  <c r="AH238" i="24"/>
  <c r="AF238" i="24"/>
  <c r="AG237" i="24"/>
  <c r="AH237" i="24"/>
  <c r="AF237" i="24"/>
  <c r="AG236" i="24"/>
  <c r="AH236" i="24"/>
  <c r="AF236" i="24"/>
  <c r="AG235" i="24"/>
  <c r="AH235" i="24"/>
  <c r="AI235" i="24" s="1"/>
  <c r="AF235" i="24"/>
  <c r="AG234" i="24"/>
  <c r="AH234" i="24"/>
  <c r="AF234" i="24"/>
  <c r="AG233" i="24"/>
  <c r="AH233" i="24"/>
  <c r="AF233" i="24"/>
  <c r="AG232" i="24"/>
  <c r="AH232" i="24"/>
  <c r="AF232" i="24"/>
  <c r="AG231" i="24"/>
  <c r="AH231" i="24"/>
  <c r="AI231" i="24" s="1"/>
  <c r="AF231" i="24"/>
  <c r="AG230" i="24"/>
  <c r="AH230" i="24"/>
  <c r="AF230" i="24"/>
  <c r="AG229" i="24"/>
  <c r="AH229" i="24"/>
  <c r="AF229" i="24"/>
  <c r="AG228" i="24"/>
  <c r="AH228" i="24"/>
  <c r="AF228" i="24"/>
  <c r="AG227" i="24"/>
  <c r="AH227" i="24"/>
  <c r="AI227" i="24" s="1"/>
  <c r="AF227" i="24"/>
  <c r="AG226" i="24"/>
  <c r="AH226" i="24"/>
  <c r="AF226" i="24"/>
  <c r="AG225" i="24"/>
  <c r="AH225" i="24"/>
  <c r="AF225" i="24"/>
  <c r="AG224" i="24"/>
  <c r="AH224" i="24"/>
  <c r="AF224" i="24"/>
  <c r="AG223" i="24"/>
  <c r="AH223" i="24"/>
  <c r="AI223" i="24" s="1"/>
  <c r="AF223" i="24"/>
  <c r="AG222" i="24"/>
  <c r="AH222" i="24"/>
  <c r="AF222" i="24"/>
  <c r="AG221" i="24"/>
  <c r="AH221" i="24"/>
  <c r="AF221" i="24"/>
  <c r="AG220" i="24"/>
  <c r="AH220" i="24"/>
  <c r="AF220" i="24"/>
  <c r="AG219" i="24"/>
  <c r="AH219" i="24"/>
  <c r="AI219" i="24" s="1"/>
  <c r="AF219" i="24"/>
  <c r="AG218" i="24"/>
  <c r="AH218" i="24"/>
  <c r="AF218" i="24"/>
  <c r="AG217" i="24"/>
  <c r="AH217" i="24"/>
  <c r="AF217" i="24"/>
  <c r="AG216" i="24"/>
  <c r="AH216" i="24"/>
  <c r="AF216" i="24"/>
  <c r="AG215" i="24"/>
  <c r="AH215" i="24"/>
  <c r="AI215" i="24" s="1"/>
  <c r="AF215" i="24"/>
  <c r="AG214" i="24"/>
  <c r="AH214" i="24"/>
  <c r="AF214" i="24"/>
  <c r="AG213" i="24"/>
  <c r="AH213" i="24"/>
  <c r="AF213" i="24"/>
  <c r="AG212" i="24"/>
  <c r="AH212" i="24"/>
  <c r="AF212" i="24"/>
  <c r="AG211" i="24"/>
  <c r="AH211" i="24"/>
  <c r="AI211" i="24" s="1"/>
  <c r="AF211" i="24"/>
  <c r="AG210" i="24"/>
  <c r="AH210" i="24"/>
  <c r="AF210" i="24"/>
  <c r="AG209" i="24"/>
  <c r="AH209" i="24"/>
  <c r="AF209" i="24"/>
  <c r="AG208" i="24"/>
  <c r="AH208" i="24"/>
  <c r="AF208" i="24"/>
  <c r="AG207" i="24"/>
  <c r="AH207" i="24"/>
  <c r="AI207" i="24" s="1"/>
  <c r="AF207" i="24"/>
  <c r="AG206" i="24"/>
  <c r="AH206" i="24"/>
  <c r="AF206" i="24"/>
  <c r="AG205" i="24"/>
  <c r="AH205" i="24"/>
  <c r="AF205" i="24"/>
  <c r="AG204" i="24"/>
  <c r="AH204" i="24"/>
  <c r="AF204" i="24"/>
  <c r="AG203" i="24"/>
  <c r="AH203" i="24"/>
  <c r="AI203" i="24" s="1"/>
  <c r="AF203" i="24"/>
  <c r="AG202" i="24"/>
  <c r="AH202" i="24"/>
  <c r="AF202" i="24"/>
  <c r="AG201" i="24"/>
  <c r="AH201" i="24"/>
  <c r="AF201" i="24"/>
  <c r="AG200" i="24"/>
  <c r="AH200" i="24"/>
  <c r="AF200" i="24"/>
  <c r="AG199" i="24"/>
  <c r="AH199" i="24"/>
  <c r="AI199" i="24" s="1"/>
  <c r="AF199" i="24"/>
  <c r="AG198" i="24"/>
  <c r="AH198" i="24"/>
  <c r="AF198" i="24"/>
  <c r="AG197" i="24"/>
  <c r="AH197" i="24"/>
  <c r="AF197" i="24"/>
  <c r="AG196" i="24"/>
  <c r="AH196" i="24"/>
  <c r="AF196" i="24"/>
  <c r="AG195" i="24"/>
  <c r="AH195" i="24"/>
  <c r="AI195" i="24" s="1"/>
  <c r="AF195" i="24"/>
  <c r="AG194" i="24"/>
  <c r="AH194" i="24"/>
  <c r="AF194" i="24"/>
  <c r="AG193" i="24"/>
  <c r="AH193" i="24"/>
  <c r="AF193" i="24"/>
  <c r="AG192" i="24"/>
  <c r="AH192" i="24"/>
  <c r="AF192" i="24"/>
  <c r="AG191" i="24"/>
  <c r="AH191" i="24"/>
  <c r="AI191" i="24" s="1"/>
  <c r="AF191" i="24"/>
  <c r="AG190" i="24"/>
  <c r="AH190" i="24"/>
  <c r="AF190" i="24"/>
  <c r="AG189" i="24"/>
  <c r="AH189" i="24"/>
  <c r="AF189" i="24"/>
  <c r="AG188" i="24"/>
  <c r="AH188" i="24"/>
  <c r="AF188" i="24"/>
  <c r="AG187" i="24"/>
  <c r="AH187" i="24"/>
  <c r="AI187" i="24" s="1"/>
  <c r="AF187" i="24"/>
  <c r="AG186" i="24"/>
  <c r="AH186" i="24"/>
  <c r="AF186" i="24"/>
  <c r="AG185" i="24"/>
  <c r="AH185" i="24"/>
  <c r="AF185" i="24"/>
  <c r="AG184" i="24"/>
  <c r="AH184" i="24"/>
  <c r="AF184" i="24"/>
  <c r="AG183" i="24"/>
  <c r="AH183" i="24"/>
  <c r="AI183" i="24" s="1"/>
  <c r="AF183" i="24"/>
  <c r="AG182" i="24"/>
  <c r="AH182" i="24"/>
  <c r="AF182" i="24"/>
  <c r="AG181" i="24"/>
  <c r="AH181" i="24"/>
  <c r="AF181" i="24"/>
  <c r="AG180" i="24"/>
  <c r="AH180" i="24"/>
  <c r="AF180" i="24"/>
  <c r="AG179" i="24"/>
  <c r="AH179" i="24"/>
  <c r="AI179" i="24" s="1"/>
  <c r="AF179" i="24"/>
  <c r="AG178" i="24"/>
  <c r="AH178" i="24"/>
  <c r="AF178" i="24"/>
  <c r="AG177" i="24"/>
  <c r="AH177" i="24"/>
  <c r="AF177" i="24"/>
  <c r="AG176" i="24"/>
  <c r="AH176" i="24"/>
  <c r="AF176" i="24"/>
  <c r="AG175" i="24"/>
  <c r="AH175" i="24"/>
  <c r="AI175" i="24" s="1"/>
  <c r="AF175" i="24"/>
  <c r="AG174" i="24"/>
  <c r="AH174" i="24"/>
  <c r="AF174" i="24"/>
  <c r="AG173" i="24"/>
  <c r="AH173" i="24"/>
  <c r="AF173" i="24"/>
  <c r="AG172" i="24"/>
  <c r="AH172" i="24"/>
  <c r="AF172" i="24"/>
  <c r="AG171" i="24"/>
  <c r="AH171" i="24"/>
  <c r="AI171" i="24" s="1"/>
  <c r="AF171" i="24"/>
  <c r="AG170" i="24"/>
  <c r="AH170" i="24"/>
  <c r="AF170" i="24"/>
  <c r="AG169" i="24"/>
  <c r="AH169" i="24"/>
  <c r="AF169" i="24"/>
  <c r="AG168" i="24"/>
  <c r="AH168" i="24"/>
  <c r="AF168" i="24"/>
  <c r="AG167" i="24"/>
  <c r="AH167" i="24"/>
  <c r="AI167" i="24" s="1"/>
  <c r="AF167" i="24"/>
  <c r="AG166" i="24"/>
  <c r="AH166" i="24"/>
  <c r="AF166" i="24"/>
  <c r="AG165" i="24"/>
  <c r="AH165" i="24"/>
  <c r="AF165" i="24"/>
  <c r="AG164" i="24"/>
  <c r="AH164" i="24"/>
  <c r="AF164" i="24"/>
  <c r="AG163" i="24"/>
  <c r="AH163" i="24"/>
  <c r="AI163" i="24" s="1"/>
  <c r="AF163" i="24"/>
  <c r="AG162" i="24"/>
  <c r="AH162" i="24"/>
  <c r="AF162" i="24"/>
  <c r="AG161" i="24"/>
  <c r="AH161" i="24"/>
  <c r="AF161" i="24"/>
  <c r="AG160" i="24"/>
  <c r="AH160" i="24"/>
  <c r="AF160" i="24"/>
  <c r="AG159" i="24"/>
  <c r="AH159" i="24"/>
  <c r="AI159" i="24" s="1"/>
  <c r="AF159" i="24"/>
  <c r="AG158" i="24"/>
  <c r="AH158" i="24"/>
  <c r="AF158" i="24"/>
  <c r="AG157" i="24"/>
  <c r="AH157" i="24"/>
  <c r="AF157" i="24"/>
  <c r="AG156" i="24"/>
  <c r="AH156" i="24"/>
  <c r="AF156" i="24"/>
  <c r="AG155" i="24"/>
  <c r="AH155" i="24"/>
  <c r="AI155" i="24" s="1"/>
  <c r="AF155" i="24"/>
  <c r="AG154" i="24"/>
  <c r="AH154" i="24"/>
  <c r="AF154" i="24"/>
  <c r="AG153" i="24"/>
  <c r="AH153" i="24"/>
  <c r="AF153" i="24"/>
  <c r="AG152" i="24"/>
  <c r="AH152" i="24"/>
  <c r="AF152" i="24"/>
  <c r="AG151" i="24"/>
  <c r="AH151" i="24"/>
  <c r="AI151" i="24" s="1"/>
  <c r="AF151" i="24"/>
  <c r="AG150" i="24"/>
  <c r="AH150" i="24"/>
  <c r="AF150" i="24"/>
  <c r="AG149" i="24"/>
  <c r="AH149" i="24"/>
  <c r="AF149" i="24"/>
  <c r="AG148" i="24"/>
  <c r="AH148" i="24"/>
  <c r="AF148" i="24"/>
  <c r="AG147" i="24"/>
  <c r="AH147" i="24"/>
  <c r="AI147" i="24" s="1"/>
  <c r="AF147" i="24"/>
  <c r="AG146" i="24"/>
  <c r="AH146" i="24"/>
  <c r="AF146" i="24"/>
  <c r="AG145" i="24"/>
  <c r="AH145" i="24"/>
  <c r="AF145" i="24"/>
  <c r="AG144" i="24"/>
  <c r="AH144" i="24"/>
  <c r="AF144" i="24"/>
  <c r="AG143" i="24"/>
  <c r="AH143" i="24"/>
  <c r="AI143" i="24" s="1"/>
  <c r="AF143" i="24"/>
  <c r="AG142" i="24"/>
  <c r="AH142" i="24"/>
  <c r="AF142" i="24"/>
  <c r="AG141" i="24"/>
  <c r="AH141" i="24"/>
  <c r="AF141" i="24"/>
  <c r="AG140" i="24"/>
  <c r="AH140" i="24"/>
  <c r="AF140" i="24"/>
  <c r="AG139" i="24"/>
  <c r="AH139" i="24"/>
  <c r="AI139" i="24" s="1"/>
  <c r="AF139" i="24"/>
  <c r="AG138" i="24"/>
  <c r="AH138" i="24"/>
  <c r="AF138" i="24"/>
  <c r="AG137" i="24"/>
  <c r="AH137" i="24"/>
  <c r="AF137" i="24"/>
  <c r="AG136" i="24"/>
  <c r="AH136" i="24"/>
  <c r="AF136" i="24"/>
  <c r="AG135" i="24"/>
  <c r="AH135" i="24"/>
  <c r="AI135" i="24" s="1"/>
  <c r="AF135" i="24"/>
  <c r="AG134" i="24"/>
  <c r="AH134" i="24"/>
  <c r="AF134" i="24"/>
  <c r="AG133" i="24"/>
  <c r="AH133" i="24"/>
  <c r="AF133" i="24"/>
  <c r="AG132" i="24"/>
  <c r="AH132" i="24"/>
  <c r="AF132" i="24"/>
  <c r="AG131" i="24"/>
  <c r="AH131" i="24"/>
  <c r="AI131" i="24" s="1"/>
  <c r="AF131" i="24"/>
  <c r="AG130" i="24"/>
  <c r="AH130" i="24"/>
  <c r="AF130" i="24"/>
  <c r="AG129" i="24"/>
  <c r="AH129" i="24"/>
  <c r="AF129" i="24"/>
  <c r="AG128" i="24"/>
  <c r="AH128" i="24"/>
  <c r="AF128" i="24"/>
  <c r="AG127" i="24"/>
  <c r="AH127" i="24"/>
  <c r="AI127" i="24" s="1"/>
  <c r="AF127" i="24"/>
  <c r="AG126" i="24"/>
  <c r="AH126" i="24"/>
  <c r="AF126" i="24"/>
  <c r="AG125" i="24"/>
  <c r="AH125" i="24"/>
  <c r="AF125" i="24"/>
  <c r="AG124" i="24"/>
  <c r="AH124" i="24"/>
  <c r="AF124" i="24"/>
  <c r="AG123" i="24"/>
  <c r="AH123" i="24"/>
  <c r="AI123" i="24" s="1"/>
  <c r="AF123" i="24"/>
  <c r="AG122" i="24"/>
  <c r="AH122" i="24"/>
  <c r="AF122" i="24"/>
  <c r="AG121" i="24"/>
  <c r="AH121" i="24"/>
  <c r="AF121" i="24"/>
  <c r="AG120" i="24"/>
  <c r="AH120" i="24"/>
  <c r="AF120" i="24"/>
  <c r="AG119" i="24"/>
  <c r="AH119" i="24"/>
  <c r="AI119" i="24" s="1"/>
  <c r="AF119" i="24"/>
  <c r="AG118" i="24"/>
  <c r="AH118" i="24"/>
  <c r="AF118" i="24"/>
  <c r="AG117" i="24"/>
  <c r="AH117" i="24"/>
  <c r="AF117" i="24"/>
  <c r="AG116" i="24"/>
  <c r="AH116" i="24"/>
  <c r="AF116" i="24"/>
  <c r="AG115" i="24"/>
  <c r="AH115" i="24"/>
  <c r="AI115" i="24" s="1"/>
  <c r="AF115" i="24"/>
  <c r="AG114" i="24"/>
  <c r="AH114" i="24"/>
  <c r="AF114" i="24"/>
  <c r="AG113" i="24"/>
  <c r="AH113" i="24"/>
  <c r="AF113" i="24"/>
  <c r="AG112" i="24"/>
  <c r="AH112" i="24"/>
  <c r="AF112" i="24"/>
  <c r="AG111" i="24"/>
  <c r="AH111" i="24"/>
  <c r="AI111" i="24" s="1"/>
  <c r="AF111" i="24"/>
  <c r="AG110" i="24"/>
  <c r="AH110" i="24"/>
  <c r="AF110" i="24"/>
  <c r="AG109" i="24"/>
  <c r="AH109" i="24"/>
  <c r="AF109" i="24"/>
  <c r="AG108" i="24"/>
  <c r="AH108" i="24"/>
  <c r="AF108" i="24"/>
  <c r="AG107" i="24"/>
  <c r="AH107" i="24"/>
  <c r="AI107" i="24" s="1"/>
  <c r="AF107" i="24"/>
  <c r="AG106" i="24"/>
  <c r="AH106" i="24"/>
  <c r="AF106" i="24"/>
  <c r="AG105" i="24"/>
  <c r="AH105" i="24"/>
  <c r="AF105" i="24"/>
  <c r="AG104" i="24"/>
  <c r="AH104" i="24"/>
  <c r="AF104" i="24"/>
  <c r="AG103" i="24"/>
  <c r="AH103" i="24"/>
  <c r="AI103" i="24" s="1"/>
  <c r="AF103" i="24"/>
  <c r="AG102" i="24"/>
  <c r="AH102" i="24"/>
  <c r="AF102" i="24"/>
  <c r="AG101" i="24"/>
  <c r="AH101" i="24"/>
  <c r="AF101" i="24"/>
  <c r="AG100" i="24"/>
  <c r="AH100" i="24"/>
  <c r="AF100" i="24"/>
  <c r="AG99" i="24"/>
  <c r="AH99" i="24"/>
  <c r="AI99" i="24" s="1"/>
  <c r="AF99" i="24"/>
  <c r="AG98" i="24"/>
  <c r="AH98" i="24"/>
  <c r="AF98" i="24"/>
  <c r="AG97" i="24"/>
  <c r="AH97" i="24"/>
  <c r="AF97" i="24"/>
  <c r="AG96" i="24"/>
  <c r="AH96" i="24"/>
  <c r="AF96" i="24"/>
  <c r="AG95" i="24"/>
  <c r="AH95" i="24"/>
  <c r="AF95" i="24"/>
  <c r="AG94" i="24"/>
  <c r="AH94" i="24"/>
  <c r="AI94" i="24" s="1"/>
  <c r="AF94" i="24"/>
  <c r="AG93" i="24"/>
  <c r="AH93" i="24"/>
  <c r="AF93" i="24"/>
  <c r="AG92" i="24"/>
  <c r="AH92" i="24"/>
  <c r="AF92" i="24"/>
  <c r="AG91" i="24"/>
  <c r="AH91" i="24"/>
  <c r="AF91" i="24"/>
  <c r="AG90" i="24"/>
  <c r="AH90" i="24"/>
  <c r="AI90" i="24" s="1"/>
  <c r="AF90" i="24"/>
  <c r="AG89" i="24"/>
  <c r="AH89" i="24"/>
  <c r="AF89" i="24"/>
  <c r="AG88" i="24"/>
  <c r="AH88" i="24"/>
  <c r="AF88" i="24"/>
  <c r="AG87" i="24"/>
  <c r="AH87" i="24"/>
  <c r="AF87" i="24"/>
  <c r="AG86" i="24"/>
  <c r="AH86" i="24"/>
  <c r="AI86" i="24" s="1"/>
  <c r="AF86" i="24"/>
  <c r="AG85" i="24"/>
  <c r="AH85" i="24"/>
  <c r="AF85" i="24"/>
  <c r="AG84" i="24"/>
  <c r="AH84" i="24"/>
  <c r="AF84" i="24"/>
  <c r="AG83" i="24"/>
  <c r="AH83" i="24"/>
  <c r="AF83" i="24"/>
  <c r="AG82" i="24"/>
  <c r="AH82" i="24"/>
  <c r="AI82" i="24" s="1"/>
  <c r="AF82" i="24"/>
  <c r="AG81" i="24"/>
  <c r="AH81" i="24"/>
  <c r="AF81" i="24"/>
  <c r="AG80" i="24"/>
  <c r="AH80" i="24"/>
  <c r="AF80" i="24"/>
  <c r="AG79" i="24"/>
  <c r="AH79" i="24"/>
  <c r="AF79" i="24"/>
  <c r="AG78" i="24"/>
  <c r="AH78" i="24"/>
  <c r="AI78" i="24" s="1"/>
  <c r="AF78" i="24"/>
  <c r="AG77" i="24"/>
  <c r="AH77" i="24"/>
  <c r="AF77" i="24"/>
  <c r="AG76" i="24"/>
  <c r="AH76" i="24"/>
  <c r="AF76" i="24"/>
  <c r="AG75" i="24"/>
  <c r="AH75" i="24"/>
  <c r="AF75" i="24"/>
  <c r="AG74" i="24"/>
  <c r="AH74" i="24"/>
  <c r="AI74" i="24" s="1"/>
  <c r="AF74" i="24"/>
  <c r="AG73" i="24"/>
  <c r="AH73" i="24"/>
  <c r="AF73" i="24"/>
  <c r="AG72" i="24"/>
  <c r="AH72" i="24"/>
  <c r="AF72" i="24"/>
  <c r="AG71" i="24"/>
  <c r="AH71" i="24"/>
  <c r="AF71" i="24"/>
  <c r="AG70" i="24"/>
  <c r="AH70" i="24"/>
  <c r="AI70" i="24" s="1"/>
  <c r="AF70" i="24"/>
  <c r="AG69" i="24"/>
  <c r="AH69" i="24"/>
  <c r="AF69" i="24"/>
  <c r="AG68" i="24"/>
  <c r="AH68" i="24"/>
  <c r="AF68" i="24"/>
  <c r="AG67" i="24"/>
  <c r="AH67" i="24"/>
  <c r="AF67" i="24"/>
  <c r="AG66" i="24"/>
  <c r="AH66" i="24"/>
  <c r="AI66" i="24" s="1"/>
  <c r="AF66" i="24"/>
  <c r="AG65" i="24"/>
  <c r="AH65" i="24"/>
  <c r="AF65" i="24"/>
  <c r="AG64" i="24"/>
  <c r="AH64" i="24"/>
  <c r="AF64" i="24"/>
  <c r="AG63" i="24"/>
  <c r="AH63" i="24"/>
  <c r="AF63" i="24"/>
  <c r="AG62" i="24"/>
  <c r="AH62" i="24"/>
  <c r="AI62" i="24" s="1"/>
  <c r="AF62" i="24"/>
  <c r="AG61" i="24"/>
  <c r="AH61" i="24"/>
  <c r="AF61" i="24"/>
  <c r="AG60" i="24"/>
  <c r="AH60" i="24"/>
  <c r="AF60" i="24"/>
  <c r="AG59" i="24"/>
  <c r="AH59" i="24"/>
  <c r="AF59" i="24"/>
  <c r="AG58" i="24"/>
  <c r="AH58" i="24"/>
  <c r="AI58" i="24" s="1"/>
  <c r="AF58" i="24"/>
  <c r="AG57" i="24"/>
  <c r="AH57" i="24"/>
  <c r="AF57" i="24"/>
  <c r="AG56" i="24"/>
  <c r="AH56" i="24"/>
  <c r="AF56" i="24"/>
  <c r="AG55" i="24"/>
  <c r="AH55" i="24"/>
  <c r="AF55" i="24"/>
  <c r="AG54" i="24"/>
  <c r="AH54" i="24"/>
  <c r="AI54" i="24" s="1"/>
  <c r="AF54" i="24"/>
  <c r="AG53" i="24"/>
  <c r="AH53" i="24"/>
  <c r="AF53" i="24"/>
  <c r="AG52" i="24"/>
  <c r="AH52" i="24"/>
  <c r="AF52" i="24"/>
  <c r="AG51" i="24"/>
  <c r="AH51" i="24"/>
  <c r="AF51" i="24"/>
  <c r="AG50" i="24"/>
  <c r="AH50" i="24"/>
  <c r="AI50" i="24" s="1"/>
  <c r="AF50" i="24"/>
  <c r="AG49" i="24"/>
  <c r="AH49" i="24"/>
  <c r="AF49" i="24"/>
  <c r="AG48" i="24"/>
  <c r="AH48" i="24"/>
  <c r="AF48" i="24"/>
  <c r="AG47" i="24"/>
  <c r="AH47" i="24"/>
  <c r="AF47" i="24"/>
  <c r="AG46" i="24"/>
  <c r="AH46" i="24"/>
  <c r="AI46" i="24" s="1"/>
  <c r="AF46" i="24"/>
  <c r="AG45" i="24"/>
  <c r="AH45" i="24"/>
  <c r="AF45" i="24"/>
  <c r="AG44" i="24"/>
  <c r="AH44" i="24"/>
  <c r="AF44" i="24"/>
  <c r="AG43" i="24"/>
  <c r="AH43" i="24"/>
  <c r="AF43" i="24"/>
  <c r="AG42" i="24"/>
  <c r="AH42" i="24"/>
  <c r="AI42" i="24" s="1"/>
  <c r="AF42" i="24"/>
  <c r="AG41" i="24"/>
  <c r="AH41" i="24"/>
  <c r="AF41" i="24"/>
  <c r="AG40" i="24"/>
  <c r="AH40" i="24"/>
  <c r="AF40" i="24"/>
  <c r="AG39" i="24"/>
  <c r="AH39" i="24"/>
  <c r="AF39" i="24"/>
  <c r="AG38" i="24"/>
  <c r="AH38" i="24"/>
  <c r="AI38" i="24" s="1"/>
  <c r="AF38" i="24"/>
  <c r="AG37" i="24"/>
  <c r="AH37" i="24"/>
  <c r="AF37" i="24"/>
  <c r="AG36" i="24"/>
  <c r="AH36" i="24"/>
  <c r="AF36" i="24"/>
  <c r="AG35" i="24"/>
  <c r="AH35" i="24"/>
  <c r="AF35" i="24"/>
  <c r="AG34" i="24"/>
  <c r="AH34" i="24"/>
  <c r="AI34" i="24" s="1"/>
  <c r="AF34" i="24"/>
  <c r="AG33" i="24"/>
  <c r="AH33" i="24"/>
  <c r="AF33" i="24"/>
  <c r="AG32" i="24"/>
  <c r="AH32" i="24"/>
  <c r="AF32" i="24"/>
  <c r="AG31" i="24"/>
  <c r="AH31" i="24"/>
  <c r="AF31" i="24"/>
  <c r="AG30" i="24"/>
  <c r="AH30" i="24"/>
  <c r="AI30" i="24" s="1"/>
  <c r="AF30" i="24"/>
  <c r="AG29" i="24"/>
  <c r="AH29" i="24"/>
  <c r="AF29" i="24"/>
  <c r="AG28" i="24"/>
  <c r="AH28" i="24"/>
  <c r="AF28" i="24"/>
  <c r="AG27" i="24"/>
  <c r="AH27" i="24"/>
  <c r="AF27" i="24"/>
  <c r="AG26" i="24"/>
  <c r="AH26" i="24"/>
  <c r="AI26" i="24" s="1"/>
  <c r="AF26" i="24"/>
  <c r="AG25" i="24"/>
  <c r="AH25" i="24"/>
  <c r="AF25" i="24"/>
  <c r="AG24" i="24"/>
  <c r="AH24" i="24"/>
  <c r="AF24" i="24"/>
  <c r="AG23" i="24"/>
  <c r="AH23" i="24"/>
  <c r="AF23" i="24"/>
  <c r="AG22" i="24"/>
  <c r="AH22" i="24"/>
  <c r="AI22" i="24" s="1"/>
  <c r="AF22" i="24"/>
  <c r="AG21" i="24"/>
  <c r="AH21" i="24"/>
  <c r="AF21" i="24"/>
  <c r="AG20" i="24"/>
  <c r="AH20" i="24"/>
  <c r="AF20" i="24"/>
  <c r="AG19" i="24"/>
  <c r="AH19" i="24"/>
  <c r="AF19" i="24"/>
  <c r="AG18" i="24"/>
  <c r="AH18" i="24"/>
  <c r="AI18" i="24" s="1"/>
  <c r="AF18" i="24"/>
  <c r="AG17" i="24"/>
  <c r="AH17" i="24"/>
  <c r="AF17" i="24"/>
  <c r="AG16" i="24"/>
  <c r="AH16" i="24"/>
  <c r="AF16" i="24"/>
  <c r="AG15" i="24"/>
  <c r="AH15" i="24"/>
  <c r="AF15" i="24"/>
  <c r="AG14" i="24"/>
  <c r="AH14" i="24"/>
  <c r="AI14" i="24" s="1"/>
  <c r="AF14" i="24"/>
  <c r="AG13" i="24"/>
  <c r="AH13" i="24"/>
  <c r="AF13" i="24"/>
  <c r="AG12" i="24"/>
  <c r="AH12" i="24"/>
  <c r="AF12" i="24"/>
  <c r="AG11" i="24"/>
  <c r="AH11" i="24"/>
  <c r="AF11" i="24"/>
  <c r="AG10" i="24"/>
  <c r="AH10" i="24"/>
  <c r="AI10" i="24" s="1"/>
  <c r="AF10" i="24"/>
  <c r="AG9" i="24"/>
  <c r="AH9" i="24"/>
  <c r="AF9" i="24"/>
  <c r="AG8" i="24"/>
  <c r="AH8" i="24"/>
  <c r="AF8" i="24"/>
  <c r="AG7" i="24"/>
  <c r="AH7" i="24"/>
  <c r="AF7" i="24"/>
  <c r="AG6" i="24"/>
  <c r="AH6" i="24"/>
  <c r="AI6" i="24" s="1"/>
  <c r="AF6" i="24"/>
  <c r="AG5" i="24"/>
  <c r="AH5" i="24"/>
  <c r="AF5" i="24"/>
  <c r="AG4" i="24"/>
  <c r="AH4" i="24"/>
  <c r="AF4" i="24"/>
  <c r="AG3" i="24"/>
  <c r="AH3" i="24"/>
  <c r="AF3" i="24"/>
  <c r="AE356" i="24"/>
  <c r="AE355" i="24"/>
  <c r="AE354" i="24"/>
  <c r="AE353" i="24"/>
  <c r="AE352" i="24"/>
  <c r="AE351" i="24"/>
  <c r="AE350" i="24"/>
  <c r="AE349" i="24"/>
  <c r="AE348" i="24"/>
  <c r="AE347" i="24"/>
  <c r="AE346" i="24"/>
  <c r="AE345" i="24"/>
  <c r="AE344" i="24"/>
  <c r="AE343" i="24"/>
  <c r="AE342" i="24"/>
  <c r="AE341" i="24"/>
  <c r="AE340" i="24"/>
  <c r="AE339" i="24"/>
  <c r="AE338" i="24"/>
  <c r="AE337" i="24"/>
  <c r="AE336" i="24"/>
  <c r="AE335" i="24"/>
  <c r="AE334" i="24"/>
  <c r="AE333" i="24"/>
  <c r="AE332" i="24"/>
  <c r="AE331" i="24"/>
  <c r="AE330" i="24"/>
  <c r="AE329" i="24"/>
  <c r="AE328" i="24"/>
  <c r="AE327" i="24"/>
  <c r="AE326" i="24"/>
  <c r="AE325" i="24"/>
  <c r="AE324" i="24"/>
  <c r="AE323" i="24"/>
  <c r="AE322" i="24"/>
  <c r="AE321" i="24"/>
  <c r="AE320" i="24"/>
  <c r="AE319" i="24"/>
  <c r="AE318" i="24"/>
  <c r="AE317" i="24"/>
  <c r="AE316" i="24"/>
  <c r="AE315" i="24"/>
  <c r="AE314" i="24"/>
  <c r="AE313" i="24"/>
  <c r="AE312" i="24"/>
  <c r="AE311" i="24"/>
  <c r="AE310" i="24"/>
  <c r="AE309" i="24"/>
  <c r="AE308" i="24"/>
  <c r="AE307" i="24"/>
  <c r="AE306" i="24"/>
  <c r="AE305" i="24"/>
  <c r="AE304" i="24"/>
  <c r="AE303" i="24"/>
  <c r="AE302" i="24"/>
  <c r="AE301" i="24"/>
  <c r="AE300" i="24"/>
  <c r="AE299" i="24"/>
  <c r="AE298" i="24"/>
  <c r="AE297" i="24"/>
  <c r="AE296" i="24"/>
  <c r="AE295" i="24"/>
  <c r="AE294" i="24"/>
  <c r="AE293" i="24"/>
  <c r="AE292" i="24"/>
  <c r="AE291" i="24"/>
  <c r="AE290" i="24"/>
  <c r="AE289" i="24"/>
  <c r="AE288" i="24"/>
  <c r="AE287" i="24"/>
  <c r="AE286" i="24"/>
  <c r="AE285" i="24"/>
  <c r="AE284" i="24"/>
  <c r="AE283" i="24"/>
  <c r="AE282" i="24"/>
  <c r="AE281" i="24"/>
  <c r="AE280" i="24"/>
  <c r="AE279" i="24"/>
  <c r="AE278" i="24"/>
  <c r="AE277" i="24"/>
  <c r="AE276" i="24"/>
  <c r="AE275" i="24"/>
  <c r="AE274" i="24"/>
  <c r="AE273" i="24"/>
  <c r="AE272" i="24"/>
  <c r="AE271" i="24"/>
  <c r="AE270" i="24"/>
  <c r="AE269" i="24"/>
  <c r="AE268" i="24"/>
  <c r="AE267" i="24"/>
  <c r="AE266" i="24"/>
  <c r="AE265" i="24"/>
  <c r="AE264" i="24"/>
  <c r="AE263" i="24"/>
  <c r="AE262" i="24"/>
  <c r="AE261" i="24"/>
  <c r="AE260" i="24"/>
  <c r="AE259" i="24"/>
  <c r="AE258" i="24"/>
  <c r="AE257" i="24"/>
  <c r="AE256" i="24"/>
  <c r="AE255" i="24"/>
  <c r="AE254" i="24"/>
  <c r="AE253" i="24"/>
  <c r="AE252" i="24"/>
  <c r="AE251" i="24"/>
  <c r="AE250" i="24"/>
  <c r="AE249" i="24"/>
  <c r="AE248" i="24"/>
  <c r="AE247" i="24"/>
  <c r="AE246" i="24"/>
  <c r="AE245" i="24"/>
  <c r="AE244" i="24"/>
  <c r="AE243" i="24"/>
  <c r="AE242" i="24"/>
  <c r="AE241" i="24"/>
  <c r="AE240" i="24"/>
  <c r="AE239" i="24"/>
  <c r="AE238" i="24"/>
  <c r="AE237" i="24"/>
  <c r="AE236" i="24"/>
  <c r="AE235" i="24"/>
  <c r="AE234" i="24"/>
  <c r="AE233" i="24"/>
  <c r="AE232" i="24"/>
  <c r="AE231" i="24"/>
  <c r="AE230" i="24"/>
  <c r="AE229" i="24"/>
  <c r="AE228" i="24"/>
  <c r="AE227" i="24"/>
  <c r="AE226" i="24"/>
  <c r="AE225" i="24"/>
  <c r="AE224" i="24"/>
  <c r="AE223" i="24"/>
  <c r="AE222" i="24"/>
  <c r="AE221" i="24"/>
  <c r="AE220" i="24"/>
  <c r="AE219" i="24"/>
  <c r="AE218" i="24"/>
  <c r="AE217" i="24"/>
  <c r="AE216" i="24"/>
  <c r="AE215" i="24"/>
  <c r="AE214" i="24"/>
  <c r="AE213" i="24"/>
  <c r="AE212" i="24"/>
  <c r="AE211" i="24"/>
  <c r="AE210" i="24"/>
  <c r="AE209" i="24"/>
  <c r="AE208" i="24"/>
  <c r="AE207" i="24"/>
  <c r="AE206" i="24"/>
  <c r="AE205" i="24"/>
  <c r="AE204" i="24"/>
  <c r="AE203" i="24"/>
  <c r="AE202" i="24"/>
  <c r="AE201" i="24"/>
  <c r="AE200" i="24"/>
  <c r="AE199" i="24"/>
  <c r="AE198" i="24"/>
  <c r="AE197" i="24"/>
  <c r="AE196" i="24"/>
  <c r="AE195" i="24"/>
  <c r="AE194" i="24"/>
  <c r="AE193" i="24"/>
  <c r="AE192" i="24"/>
  <c r="AE191" i="24"/>
  <c r="AE190" i="24"/>
  <c r="AE189" i="24"/>
  <c r="AE188" i="24"/>
  <c r="AE187" i="24"/>
  <c r="AE186" i="24"/>
  <c r="AE185" i="24"/>
  <c r="AE184" i="24"/>
  <c r="AE183" i="24"/>
  <c r="AE182" i="24"/>
  <c r="AE181" i="24"/>
  <c r="AE180" i="24"/>
  <c r="AE179" i="24"/>
  <c r="AE178" i="24"/>
  <c r="AE177" i="24"/>
  <c r="AE176" i="24"/>
  <c r="AE175" i="24"/>
  <c r="AE174" i="24"/>
  <c r="AE173" i="24"/>
  <c r="AE172" i="24"/>
  <c r="AE171" i="24"/>
  <c r="AE170" i="24"/>
  <c r="AE169" i="24"/>
  <c r="AE168" i="24"/>
  <c r="AE167" i="24"/>
  <c r="AE166" i="24"/>
  <c r="AE165" i="24"/>
  <c r="AE164" i="24"/>
  <c r="AE163" i="24"/>
  <c r="AE162" i="24"/>
  <c r="AE161" i="24"/>
  <c r="AE160" i="24"/>
  <c r="AE159" i="24"/>
  <c r="AE158" i="24"/>
  <c r="AE157" i="24"/>
  <c r="AE156" i="24"/>
  <c r="AE155" i="24"/>
  <c r="AE154" i="24"/>
  <c r="AE153" i="24"/>
  <c r="AE152" i="24"/>
  <c r="AE151" i="24"/>
  <c r="AE150" i="24"/>
  <c r="AE149" i="24"/>
  <c r="AE148" i="24"/>
  <c r="AE147" i="24"/>
  <c r="AE146" i="24"/>
  <c r="AE145" i="24"/>
  <c r="AE144" i="24"/>
  <c r="AE143" i="24"/>
  <c r="AE142" i="24"/>
  <c r="AE141" i="24"/>
  <c r="AE140" i="24"/>
  <c r="AE139" i="24"/>
  <c r="AE138" i="24"/>
  <c r="AE137" i="24"/>
  <c r="AE136" i="24"/>
  <c r="AE135" i="24"/>
  <c r="AE134" i="24"/>
  <c r="AE133" i="24"/>
  <c r="AE132" i="24"/>
  <c r="AE131" i="24"/>
  <c r="AE130" i="24"/>
  <c r="AE129" i="24"/>
  <c r="AE128" i="24"/>
  <c r="AE127" i="24"/>
  <c r="AE126" i="24"/>
  <c r="AE125" i="24"/>
  <c r="AE124" i="24"/>
  <c r="AE123" i="24"/>
  <c r="AE122" i="24"/>
  <c r="AE121" i="24"/>
  <c r="AE120" i="24"/>
  <c r="AE119" i="24"/>
  <c r="AE118" i="24"/>
  <c r="AE117" i="24"/>
  <c r="AE116" i="24"/>
  <c r="AE115" i="24"/>
  <c r="AE114" i="24"/>
  <c r="AE113" i="24"/>
  <c r="AE112" i="24"/>
  <c r="AE111" i="24"/>
  <c r="AE110" i="24"/>
  <c r="AE109" i="24"/>
  <c r="AE108" i="24"/>
  <c r="AE107" i="24"/>
  <c r="AE106" i="24"/>
  <c r="AE105" i="24"/>
  <c r="AE104" i="24"/>
  <c r="AE103" i="24"/>
  <c r="AE102" i="24"/>
  <c r="AE101" i="24"/>
  <c r="AE100" i="24"/>
  <c r="AE99" i="24"/>
  <c r="AE98" i="24"/>
  <c r="AE97" i="24"/>
  <c r="AE96" i="24"/>
  <c r="AE95" i="24"/>
  <c r="AE94" i="24"/>
  <c r="AE93" i="24"/>
  <c r="AE92" i="24"/>
  <c r="AE91" i="24"/>
  <c r="AE90" i="24"/>
  <c r="AE89" i="24"/>
  <c r="AE88" i="24"/>
  <c r="AE87" i="24"/>
  <c r="AE86" i="24"/>
  <c r="AE85" i="24"/>
  <c r="AE84" i="24"/>
  <c r="AE83" i="24"/>
  <c r="AE82" i="24"/>
  <c r="AE81" i="24"/>
  <c r="AE80" i="24"/>
  <c r="AE79" i="24"/>
  <c r="AE78" i="24"/>
  <c r="AE77" i="24"/>
  <c r="AE76" i="24"/>
  <c r="AE75" i="24"/>
  <c r="AE74" i="24"/>
  <c r="AE73" i="24"/>
  <c r="AE72" i="24"/>
  <c r="AE71" i="24"/>
  <c r="AE70" i="24"/>
  <c r="AE69" i="24"/>
  <c r="AE68" i="24"/>
  <c r="AE67" i="24"/>
  <c r="AE66" i="24"/>
  <c r="AE65" i="24"/>
  <c r="AE64" i="24"/>
  <c r="AE63" i="24"/>
  <c r="AE62" i="24"/>
  <c r="AE61" i="24"/>
  <c r="AE60" i="24"/>
  <c r="AE59" i="24"/>
  <c r="AE58" i="24"/>
  <c r="AE57" i="24"/>
  <c r="AE56" i="24"/>
  <c r="AE55" i="24"/>
  <c r="AE54" i="24"/>
  <c r="AE53" i="24"/>
  <c r="AE52" i="24"/>
  <c r="AE51" i="24"/>
  <c r="AE50" i="24"/>
  <c r="AE49" i="24"/>
  <c r="AE48" i="24"/>
  <c r="AE47" i="24"/>
  <c r="AE46" i="24"/>
  <c r="AE45" i="24"/>
  <c r="AE44" i="24"/>
  <c r="AE43" i="24"/>
  <c r="AE42" i="24"/>
  <c r="AE41" i="24"/>
  <c r="AE40" i="24"/>
  <c r="AE39" i="24"/>
  <c r="AE38" i="24"/>
  <c r="AE37" i="24"/>
  <c r="AE36" i="24"/>
  <c r="AE35" i="24"/>
  <c r="AE34" i="24"/>
  <c r="AE33" i="24"/>
  <c r="AE32" i="24"/>
  <c r="AE31" i="24"/>
  <c r="AE30" i="24"/>
  <c r="AE29" i="24"/>
  <c r="AE28" i="24"/>
  <c r="AE27" i="24"/>
  <c r="AE26" i="24"/>
  <c r="AE25" i="24"/>
  <c r="AE24" i="24"/>
  <c r="AE23" i="24"/>
  <c r="AE22" i="24"/>
  <c r="AE21" i="24"/>
  <c r="AE20" i="24"/>
  <c r="AE19" i="24"/>
  <c r="AE18" i="24"/>
  <c r="AE17" i="24"/>
  <c r="AE16" i="24"/>
  <c r="AE15" i="24"/>
  <c r="AE14" i="24"/>
  <c r="AE13" i="24"/>
  <c r="AE12" i="24"/>
  <c r="AE11" i="24"/>
  <c r="AE10" i="24"/>
  <c r="AE9" i="24"/>
  <c r="AE8" i="24"/>
  <c r="AE7" i="24"/>
  <c r="AE6" i="24"/>
  <c r="AE5" i="24"/>
  <c r="AE4" i="24"/>
  <c r="AE3" i="24"/>
  <c r="AC378" i="24"/>
  <c r="AB378" i="24"/>
  <c r="AA378" i="24"/>
  <c r="Z378" i="24"/>
  <c r="Y378" i="24"/>
  <c r="X378" i="24"/>
  <c r="W378" i="24"/>
  <c r="V378" i="24"/>
  <c r="U378" i="24"/>
  <c r="T378" i="24"/>
  <c r="S378" i="24"/>
  <c r="R378" i="24"/>
  <c r="Q378" i="24"/>
  <c r="P378" i="24"/>
  <c r="O378" i="24"/>
  <c r="N378" i="24"/>
  <c r="M378" i="24"/>
  <c r="L378" i="24"/>
  <c r="K378" i="24"/>
  <c r="J378" i="24"/>
  <c r="I378" i="24"/>
  <c r="H378" i="24"/>
  <c r="G378" i="24"/>
  <c r="F378" i="24"/>
  <c r="E378" i="24"/>
  <c r="D378" i="24"/>
  <c r="C378" i="24"/>
  <c r="B378" i="24"/>
  <c r="AC410" i="24"/>
  <c r="AB410" i="24"/>
  <c r="AA410" i="24"/>
  <c r="Z410" i="24"/>
  <c r="Y410" i="24"/>
  <c r="X410" i="24"/>
  <c r="W410" i="24"/>
  <c r="V410" i="24"/>
  <c r="U410" i="24"/>
  <c r="T410" i="24"/>
  <c r="S410" i="24"/>
  <c r="R410" i="24"/>
  <c r="Q410" i="24"/>
  <c r="P410" i="24"/>
  <c r="O410" i="24"/>
  <c r="N410" i="24"/>
  <c r="M410" i="24"/>
  <c r="L410" i="24"/>
  <c r="K410" i="24"/>
  <c r="J410" i="24"/>
  <c r="I410" i="24"/>
  <c r="H410" i="24"/>
  <c r="G410" i="24"/>
  <c r="F410" i="24"/>
  <c r="E410" i="24"/>
  <c r="D410" i="24"/>
  <c r="C410" i="24"/>
  <c r="B410"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B357" i="24"/>
  <c r="Z357" i="24"/>
  <c r="Y357" i="24"/>
  <c r="C357" i="24"/>
  <c r="B7" i="6" s="1"/>
  <c r="B357" i="24"/>
  <c r="AO356" i="24"/>
  <c r="AO355" i="24"/>
  <c r="AO354" i="24"/>
  <c r="AO353" i="24"/>
  <c r="AO352" i="24"/>
  <c r="AO351" i="24"/>
  <c r="AO409" i="24"/>
  <c r="AO350" i="24"/>
  <c r="AO349" i="24"/>
  <c r="AO348" i="24"/>
  <c r="AO347" i="24"/>
  <c r="AO346" i="24"/>
  <c r="AO366" i="24"/>
  <c r="AO345" i="24"/>
  <c r="AO344" i="24"/>
  <c r="AO343" i="24"/>
  <c r="AO372" i="24"/>
  <c r="AO342" i="24"/>
  <c r="AO341" i="24"/>
  <c r="AO340" i="24"/>
  <c r="AO339" i="24"/>
  <c r="AO338" i="24"/>
  <c r="AO360" i="24"/>
  <c r="AO337" i="24"/>
  <c r="AO336" i="24"/>
  <c r="AO335" i="24"/>
  <c r="AO334" i="24"/>
  <c r="AO333" i="24"/>
  <c r="AO332" i="24"/>
  <c r="AO331" i="24"/>
  <c r="AO330" i="24"/>
  <c r="AO329" i="24"/>
  <c r="AO328" i="24"/>
  <c r="AO326" i="24"/>
  <c r="AO371" i="24"/>
  <c r="AO324" i="24"/>
  <c r="AO323" i="24"/>
  <c r="AO322" i="24"/>
  <c r="AO321" i="24"/>
  <c r="AO320" i="24"/>
  <c r="AO319" i="24"/>
  <c r="AO318" i="24"/>
  <c r="AO317" i="24"/>
  <c r="AO316" i="24"/>
  <c r="AO315" i="24"/>
  <c r="AO314" i="24"/>
  <c r="AO313" i="24"/>
  <c r="AO312" i="24"/>
  <c r="AO311" i="24"/>
  <c r="AO310" i="24"/>
  <c r="AO309" i="24"/>
  <c r="AO365" i="24"/>
  <c r="AO307" i="24"/>
  <c r="AO306" i="24"/>
  <c r="AO305" i="24"/>
  <c r="AO304" i="24"/>
  <c r="AO303" i="24"/>
  <c r="AO302" i="24"/>
  <c r="AO301" i="24"/>
  <c r="AO300" i="24"/>
  <c r="AO299" i="24"/>
  <c r="AO298" i="24"/>
  <c r="AO297" i="24"/>
  <c r="AO296" i="24"/>
  <c r="AO295" i="24"/>
  <c r="AO294" i="24"/>
  <c r="AO293" i="24"/>
  <c r="AO292" i="24"/>
  <c r="AO291" i="24"/>
  <c r="AO290" i="24"/>
  <c r="AO289" i="24"/>
  <c r="AO288" i="24"/>
  <c r="AO287" i="24"/>
  <c r="AO286" i="24"/>
  <c r="AO285" i="24"/>
  <c r="AO284" i="24"/>
  <c r="AO283" i="24"/>
  <c r="AO282" i="24"/>
  <c r="AO281" i="24"/>
  <c r="AO376" i="24"/>
  <c r="AO280" i="24"/>
  <c r="AO380" i="24"/>
  <c r="AO279" i="24"/>
  <c r="AO278" i="24"/>
  <c r="AO277" i="24"/>
  <c r="AO276" i="24"/>
  <c r="AO275" i="24"/>
  <c r="AO274" i="24"/>
  <c r="AO273" i="24"/>
  <c r="AO272" i="24"/>
  <c r="AO271" i="24"/>
  <c r="AO270" i="24"/>
  <c r="AO269" i="24"/>
  <c r="AO268" i="24"/>
  <c r="AO267" i="24"/>
  <c r="AO266" i="24"/>
  <c r="AO265" i="24"/>
  <c r="AO264" i="24"/>
  <c r="AO263" i="24"/>
  <c r="AO262" i="24"/>
  <c r="AO261" i="24"/>
  <c r="AO260" i="24"/>
  <c r="AO388" i="24"/>
  <c r="AO259" i="24"/>
  <c r="AO258" i="24"/>
  <c r="AO257" i="24"/>
  <c r="AO256" i="24"/>
  <c r="AO255" i="24"/>
  <c r="AO254" i="24"/>
  <c r="AO253" i="24"/>
  <c r="AO252" i="24"/>
  <c r="AO251" i="24"/>
  <c r="AO250" i="24"/>
  <c r="AO249" i="24"/>
  <c r="AO248" i="24"/>
  <c r="AO247" i="24"/>
  <c r="AO246" i="24"/>
  <c r="AO245" i="24"/>
  <c r="AO244" i="24"/>
  <c r="AO243" i="24"/>
  <c r="AO242" i="24"/>
  <c r="AO241" i="24"/>
  <c r="AO240" i="24"/>
  <c r="AO239" i="24"/>
  <c r="AO238" i="24"/>
  <c r="AO237" i="24"/>
  <c r="AO236" i="24"/>
  <c r="AO235" i="24"/>
  <c r="AO234" i="24"/>
  <c r="AO233" i="24"/>
  <c r="AO232" i="24"/>
  <c r="AO231" i="24"/>
  <c r="AO230" i="24"/>
  <c r="AO384" i="24"/>
  <c r="AO229" i="24"/>
  <c r="AO228" i="24"/>
  <c r="AO227" i="24"/>
  <c r="AO226" i="24"/>
  <c r="AO225" i="24"/>
  <c r="AO224" i="24"/>
  <c r="AO223" i="24"/>
  <c r="AO389" i="24"/>
  <c r="AO222" i="24"/>
  <c r="AO221" i="24"/>
  <c r="AO220" i="24"/>
  <c r="AO219" i="24"/>
  <c r="AO218" i="24"/>
  <c r="AO217" i="24"/>
  <c r="AO216" i="24"/>
  <c r="AO215" i="24"/>
  <c r="AO387" i="24"/>
  <c r="AO214" i="24"/>
  <c r="AO213" i="24"/>
  <c r="AO417" i="24"/>
  <c r="AO416" i="24"/>
  <c r="AO211" i="24"/>
  <c r="AO210" i="24"/>
  <c r="AO209" i="24"/>
  <c r="AO207" i="24"/>
  <c r="AO206" i="24"/>
  <c r="AO205" i="24"/>
  <c r="AO204" i="24"/>
  <c r="AO203" i="24"/>
  <c r="AO397" i="24"/>
  <c r="AO202" i="24"/>
  <c r="AO201" i="24"/>
  <c r="AO200" i="24"/>
  <c r="AO199" i="24"/>
  <c r="AO198" i="24"/>
  <c r="AO402" i="24"/>
  <c r="AO196" i="24"/>
  <c r="AO195" i="24"/>
  <c r="AO194" i="24"/>
  <c r="AO193" i="24"/>
  <c r="AO192" i="24"/>
  <c r="AO191" i="24"/>
  <c r="AO190" i="24"/>
  <c r="AO189" i="24"/>
  <c r="AO188" i="24"/>
  <c r="AO187" i="24"/>
  <c r="AO408" i="24"/>
  <c r="AO186" i="24"/>
  <c r="AO185" i="24"/>
  <c r="AO184" i="24"/>
  <c r="AO183" i="24"/>
  <c r="AO182" i="24"/>
  <c r="AO181" i="24"/>
  <c r="AO180" i="24"/>
  <c r="AO179" i="24"/>
  <c r="AO178" i="24"/>
  <c r="AO177" i="24"/>
  <c r="AO176" i="24"/>
  <c r="AO399" i="24"/>
  <c r="AO175" i="24"/>
  <c r="AO174" i="24"/>
  <c r="AO173" i="24"/>
  <c r="AO172" i="24"/>
  <c r="AO171" i="24"/>
  <c r="AO170" i="24"/>
  <c r="AO169" i="24"/>
  <c r="AO367" i="24"/>
  <c r="AO406" i="24"/>
  <c r="AO168" i="24"/>
  <c r="AO167" i="24"/>
  <c r="AO166" i="24"/>
  <c r="AO165" i="24"/>
  <c r="AO164" i="24"/>
  <c r="AO163" i="24"/>
  <c r="AO162" i="24"/>
  <c r="AO161" i="24"/>
  <c r="AO160" i="24"/>
  <c r="AO383" i="24"/>
  <c r="AO394" i="24"/>
  <c r="AO159" i="24"/>
  <c r="AO158" i="24"/>
  <c r="AO157" i="24"/>
  <c r="AO156" i="24"/>
  <c r="AO155" i="24"/>
  <c r="AO154" i="24"/>
  <c r="AO153" i="24"/>
  <c r="AO152" i="24"/>
  <c r="AO151" i="24"/>
  <c r="AO150" i="24"/>
  <c r="AO149" i="24"/>
  <c r="AO148" i="24"/>
  <c r="AO147" i="24"/>
  <c r="AO146" i="24"/>
  <c r="AO145" i="24"/>
  <c r="AO143" i="24"/>
  <c r="AO142" i="24"/>
  <c r="AO141" i="24"/>
  <c r="AO140" i="24"/>
  <c r="AO139" i="24"/>
  <c r="AO137" i="24"/>
  <c r="AO136" i="24"/>
  <c r="AO135" i="24"/>
  <c r="AO134" i="24"/>
  <c r="AO133" i="24"/>
  <c r="AO132" i="24"/>
  <c r="AO131" i="24"/>
  <c r="AO130" i="24"/>
  <c r="AO129" i="24"/>
  <c r="AO128" i="24"/>
  <c r="AO127" i="24"/>
  <c r="AO126" i="24"/>
  <c r="AO125" i="24"/>
  <c r="AO124" i="24"/>
  <c r="AO123" i="24"/>
  <c r="AO375" i="24"/>
  <c r="AO122" i="24"/>
  <c r="AO121" i="24"/>
  <c r="AO120" i="24"/>
  <c r="AO119" i="24"/>
  <c r="AO413" i="24"/>
  <c r="AO412" i="24"/>
  <c r="AO117" i="24"/>
  <c r="AO116" i="24"/>
  <c r="AO115" i="24"/>
  <c r="AO114" i="24"/>
  <c r="AO407" i="24"/>
  <c r="AO377" i="24"/>
  <c r="AO112" i="24"/>
  <c r="AO111" i="24"/>
  <c r="AO110" i="24"/>
  <c r="AO109" i="24"/>
  <c r="AO108" i="24"/>
  <c r="AO107" i="24"/>
  <c r="AO106" i="24"/>
  <c r="AO105" i="24"/>
  <c r="AO403" i="24"/>
  <c r="AO104" i="24"/>
  <c r="AO103" i="24"/>
  <c r="AO102" i="24"/>
  <c r="AO398" i="24"/>
  <c r="AO101" i="24"/>
  <c r="AO393" i="24"/>
  <c r="AO100" i="24"/>
  <c r="AO99" i="24"/>
  <c r="AO98" i="24"/>
  <c r="AO97" i="24"/>
  <c r="AO96" i="24"/>
  <c r="AO95" i="24"/>
  <c r="AO94" i="24"/>
  <c r="AO93" i="24"/>
  <c r="AO92" i="24"/>
  <c r="AO91" i="24"/>
  <c r="AO362" i="24"/>
  <c r="AO90" i="24"/>
  <c r="AO89" i="24"/>
  <c r="AO88" i="24"/>
  <c r="AO87" i="24"/>
  <c r="AO86" i="24"/>
  <c r="AO85" i="24"/>
  <c r="AO84" i="24"/>
  <c r="AO83" i="24"/>
  <c r="AO82" i="24"/>
  <c r="AO81" i="24"/>
  <c r="AO392" i="24"/>
  <c r="AO80" i="24"/>
  <c r="AO79" i="24"/>
  <c r="AO78" i="24"/>
  <c r="AO77" i="24"/>
  <c r="AO76" i="24"/>
  <c r="AO75" i="24"/>
  <c r="AO74" i="24"/>
  <c r="AO73" i="24"/>
  <c r="AO72" i="24"/>
  <c r="AO71" i="24"/>
  <c r="AO70" i="24"/>
  <c r="AO69" i="24"/>
  <c r="AO359" i="24"/>
  <c r="AO68" i="24"/>
  <c r="AO67" i="24"/>
  <c r="AO66" i="24"/>
  <c r="AO65" i="24"/>
  <c r="AO64" i="24"/>
  <c r="AO63" i="24"/>
  <c r="AO62" i="24"/>
  <c r="AO61" i="24"/>
  <c r="AO60" i="24"/>
  <c r="AO59" i="24"/>
  <c r="AO58" i="24"/>
  <c r="AO57" i="24"/>
  <c r="AO56" i="24"/>
  <c r="AO55" i="24"/>
  <c r="AO54" i="24"/>
  <c r="AO53" i="24"/>
  <c r="AO52" i="24"/>
  <c r="AO51" i="24"/>
  <c r="AO50" i="24"/>
  <c r="AO49" i="24"/>
  <c r="AO48" i="24"/>
  <c r="AO47" i="24"/>
  <c r="AO46" i="24"/>
  <c r="AO45" i="24"/>
  <c r="AO44" i="24"/>
  <c r="AO43" i="24"/>
  <c r="AO42" i="24"/>
  <c r="AO41" i="24"/>
  <c r="AO381" i="24"/>
  <c r="AO40" i="24"/>
  <c r="AO39" i="24"/>
  <c r="AO38" i="24"/>
  <c r="AO37" i="24"/>
  <c r="AO36" i="24"/>
  <c r="AO35" i="24"/>
  <c r="AO34" i="24"/>
  <c r="AO33" i="24"/>
  <c r="AO32" i="24"/>
  <c r="AO31" i="24"/>
  <c r="AO30" i="24"/>
  <c r="AO29" i="24"/>
  <c r="AO27" i="24"/>
  <c r="AO361" i="24"/>
  <c r="AO26" i="24"/>
  <c r="AO25" i="24"/>
  <c r="AO24" i="24"/>
  <c r="AO23" i="24"/>
  <c r="AO22" i="24"/>
  <c r="G41" i="4" s="1"/>
  <c r="AO21" i="24"/>
  <c r="AO20" i="24"/>
  <c r="AO19" i="24"/>
  <c r="AO18" i="24"/>
  <c r="AO17" i="24"/>
  <c r="AO16" i="24"/>
  <c r="AO15" i="24"/>
  <c r="AO14" i="24"/>
  <c r="AO12" i="24"/>
  <c r="AO11" i="24"/>
  <c r="AO10" i="24"/>
  <c r="AO9" i="24"/>
  <c r="AO8" i="24"/>
  <c r="AO7" i="24"/>
  <c r="AO6" i="24"/>
  <c r="AO5" i="24"/>
  <c r="AO4" i="24"/>
  <c r="AO3" i="24"/>
  <c r="AO370" i="24"/>
  <c r="AO2" i="24"/>
  <c r="AM409" i="24"/>
  <c r="AM366" i="24"/>
  <c r="AM372" i="24"/>
  <c r="AM371" i="24"/>
  <c r="AM365" i="24"/>
  <c r="AM376" i="24"/>
  <c r="AM380" i="24"/>
  <c r="AM388" i="24"/>
  <c r="AM384" i="24"/>
  <c r="AM389" i="24"/>
  <c r="AM387" i="24"/>
  <c r="AM417" i="24"/>
  <c r="AM416" i="24"/>
  <c r="AM397" i="24"/>
  <c r="AM402" i="24"/>
  <c r="AM408" i="24"/>
  <c r="AM399" i="24"/>
  <c r="AM367" i="24"/>
  <c r="AM406" i="24"/>
  <c r="AM383" i="24"/>
  <c r="AM394" i="24"/>
  <c r="AM375" i="24"/>
  <c r="AM413" i="24"/>
  <c r="AM412" i="24"/>
  <c r="AM407" i="24"/>
  <c r="AM377" i="24"/>
  <c r="AM403" i="24"/>
  <c r="AM398" i="24"/>
  <c r="AM393" i="24"/>
  <c r="AM392" i="24"/>
  <c r="AM381" i="24"/>
  <c r="AM370" i="24"/>
  <c r="AM2" i="24"/>
  <c r="AL409" i="24"/>
  <c r="AL366" i="24"/>
  <c r="AL372" i="24"/>
  <c r="AL371" i="24"/>
  <c r="AL365" i="24"/>
  <c r="AL376" i="24"/>
  <c r="AL380" i="24"/>
  <c r="AL388" i="24"/>
  <c r="AL384" i="24"/>
  <c r="AL389" i="24"/>
  <c r="AL387" i="24"/>
  <c r="AL417" i="24"/>
  <c r="AL416" i="24"/>
  <c r="AL397" i="24"/>
  <c r="AL402" i="24"/>
  <c r="AL408" i="24"/>
  <c r="AL399" i="24"/>
  <c r="AL367" i="24"/>
  <c r="AL406" i="24"/>
  <c r="AL383" i="24"/>
  <c r="AL394" i="24"/>
  <c r="AL375" i="24"/>
  <c r="AL413" i="24"/>
  <c r="AL412" i="24"/>
  <c r="AL407" i="24"/>
  <c r="AL377" i="24"/>
  <c r="AL403" i="24"/>
  <c r="AL398" i="24"/>
  <c r="AL393" i="24"/>
  <c r="AL392" i="24"/>
  <c r="AL381" i="24"/>
  <c r="AL370" i="24"/>
  <c r="AL2" i="24"/>
  <c r="AK409" i="24"/>
  <c r="AK366" i="24"/>
  <c r="AK372" i="24"/>
  <c r="AK371" i="24"/>
  <c r="AK365" i="24"/>
  <c r="AK376" i="24"/>
  <c r="AK380" i="24"/>
  <c r="AK388" i="24"/>
  <c r="AK384" i="24"/>
  <c r="AK389" i="24"/>
  <c r="AK387" i="24"/>
  <c r="AK417" i="24"/>
  <c r="AK416" i="24"/>
  <c r="AK397" i="24"/>
  <c r="AK402" i="24"/>
  <c r="AK408" i="24"/>
  <c r="AK399" i="24"/>
  <c r="AK367" i="24"/>
  <c r="AK406" i="24"/>
  <c r="AK383" i="24"/>
  <c r="AK394" i="24"/>
  <c r="AK375" i="24"/>
  <c r="AK413" i="24"/>
  <c r="AK412" i="24"/>
  <c r="AK407" i="24"/>
  <c r="AK377" i="24"/>
  <c r="AK403" i="24"/>
  <c r="AK398" i="24"/>
  <c r="AK393" i="24"/>
  <c r="AK392" i="24"/>
  <c r="AK381" i="24"/>
  <c r="AK370" i="24"/>
  <c r="AK2" i="24"/>
  <c r="AJ409" i="24"/>
  <c r="AJ366" i="24"/>
  <c r="AJ372" i="24"/>
  <c r="AJ371" i="24"/>
  <c r="AJ365" i="24"/>
  <c r="AJ376" i="24"/>
  <c r="AJ380" i="24"/>
  <c r="AJ388" i="24"/>
  <c r="AJ384" i="24"/>
  <c r="AJ389" i="24"/>
  <c r="AJ387" i="24"/>
  <c r="AJ417" i="24"/>
  <c r="AJ416" i="24"/>
  <c r="AJ397" i="24"/>
  <c r="AJ402" i="24"/>
  <c r="AJ408" i="24"/>
  <c r="AJ399" i="24"/>
  <c r="AJ367" i="24"/>
  <c r="AJ406" i="24"/>
  <c r="AJ383" i="24"/>
  <c r="AJ394" i="24"/>
  <c r="AJ375" i="24"/>
  <c r="AJ413" i="24"/>
  <c r="AJ412" i="24"/>
  <c r="AJ407" i="24"/>
  <c r="AJ377" i="24"/>
  <c r="AJ403" i="24"/>
  <c r="AJ398" i="24"/>
  <c r="AJ393" i="24"/>
  <c r="AJ392" i="24"/>
  <c r="AJ381" i="24"/>
  <c r="AJ370" i="24"/>
  <c r="AJ2" i="24"/>
  <c r="AH409" i="24"/>
  <c r="AI409" i="24" s="1"/>
  <c r="AH366" i="24"/>
  <c r="AH372" i="24"/>
  <c r="AH371" i="24"/>
  <c r="AH365" i="24"/>
  <c r="AH376" i="24"/>
  <c r="AH380" i="24"/>
  <c r="AH388" i="24"/>
  <c r="AI388" i="24" s="1"/>
  <c r="AH384" i="24"/>
  <c r="AH389" i="24"/>
  <c r="AH387" i="24"/>
  <c r="AH417" i="24"/>
  <c r="AI417" i="24" s="1"/>
  <c r="AH416" i="24"/>
  <c r="AH397" i="24"/>
  <c r="AH402" i="24"/>
  <c r="AH408" i="24"/>
  <c r="AH399" i="24"/>
  <c r="AH367" i="24"/>
  <c r="AH406" i="24"/>
  <c r="AH383" i="24"/>
  <c r="AI383" i="24" s="1"/>
  <c r="AH394" i="24"/>
  <c r="AH375" i="24"/>
  <c r="AH413" i="24"/>
  <c r="AH412" i="24"/>
  <c r="AI412" i="24" s="1"/>
  <c r="AH407" i="24"/>
  <c r="AH377" i="24"/>
  <c r="AH403" i="24"/>
  <c r="AH398" i="24"/>
  <c r="AH393" i="24"/>
  <c r="AH392" i="24"/>
  <c r="AH381" i="24"/>
  <c r="AH370" i="24"/>
  <c r="AH2" i="24"/>
  <c r="AG409" i="24"/>
  <c r="AG366" i="24"/>
  <c r="AG372" i="24"/>
  <c r="AI372" i="24" s="1"/>
  <c r="AG371" i="24"/>
  <c r="AI371" i="24" s="1"/>
  <c r="AG365" i="24"/>
  <c r="AG376" i="24"/>
  <c r="AG380" i="24"/>
  <c r="AG388" i="24"/>
  <c r="AG384" i="24"/>
  <c r="AG389" i="24"/>
  <c r="AG387" i="24"/>
  <c r="AG417" i="24"/>
  <c r="AG416" i="24"/>
  <c r="AG397" i="24"/>
  <c r="AG402" i="24"/>
  <c r="AG408" i="24"/>
  <c r="AI408" i="24" s="1"/>
  <c r="AG399" i="24"/>
  <c r="AG367" i="24"/>
  <c r="AG406" i="24"/>
  <c r="AI406" i="24" s="1"/>
  <c r="AG383" i="24"/>
  <c r="AG394" i="24"/>
  <c r="AG375" i="24"/>
  <c r="AG413" i="24"/>
  <c r="AG412" i="24"/>
  <c r="AG407" i="24"/>
  <c r="AG377" i="24"/>
  <c r="AG403" i="24"/>
  <c r="AI403" i="24" s="1"/>
  <c r="AG398" i="24"/>
  <c r="AI398" i="24" s="1"/>
  <c r="AG393" i="24"/>
  <c r="AG392" i="24"/>
  <c r="AG381" i="24"/>
  <c r="AG370" i="24"/>
  <c r="AG2" i="24"/>
  <c r="AF409" i="24"/>
  <c r="AF366" i="24"/>
  <c r="AF372" i="24"/>
  <c r="AF371" i="24"/>
  <c r="AF365" i="24"/>
  <c r="AF376" i="24"/>
  <c r="AF380" i="24"/>
  <c r="AF388" i="24"/>
  <c r="AF384" i="24"/>
  <c r="AI384" i="24" s="1"/>
  <c r="AF389" i="24"/>
  <c r="AI389" i="24" s="1"/>
  <c r="AF387" i="24"/>
  <c r="AF417" i="24"/>
  <c r="AF416" i="24"/>
  <c r="AI416" i="24" s="1"/>
  <c r="AF397" i="24"/>
  <c r="AF402" i="24"/>
  <c r="AF408" i="24"/>
  <c r="AF399" i="24"/>
  <c r="AI399" i="24" s="1"/>
  <c r="AF367" i="24"/>
  <c r="AF406" i="24"/>
  <c r="AF383" i="24"/>
  <c r="AF394" i="24"/>
  <c r="AF375" i="24"/>
  <c r="AF413" i="24"/>
  <c r="AF412" i="24"/>
  <c r="AF407" i="24"/>
  <c r="AI407" i="24" s="1"/>
  <c r="AF377" i="24"/>
  <c r="AF403" i="24"/>
  <c r="AF398" i="24"/>
  <c r="AF393" i="24"/>
  <c r="AI393" i="24" s="1"/>
  <c r="AF392" i="24"/>
  <c r="AF381" i="24"/>
  <c r="AF370" i="24"/>
  <c r="AF2" i="24"/>
  <c r="AI2" i="24" s="1"/>
  <c r="AE409" i="24"/>
  <c r="AE366" i="24"/>
  <c r="AE372" i="24"/>
  <c r="AE371" i="24"/>
  <c r="AE365" i="24"/>
  <c r="AE376" i="24"/>
  <c r="AE380" i="24"/>
  <c r="AE388" i="24"/>
  <c r="AE384" i="24"/>
  <c r="AE389" i="24"/>
  <c r="AE387" i="24"/>
  <c r="AE417" i="24"/>
  <c r="AE416" i="24"/>
  <c r="AE397" i="24"/>
  <c r="AE402" i="24"/>
  <c r="AE408" i="24"/>
  <c r="AE399" i="24"/>
  <c r="AE367" i="24"/>
  <c r="AE406" i="24"/>
  <c r="AE383" i="24"/>
  <c r="AE394" i="24"/>
  <c r="AE375" i="24"/>
  <c r="AE413" i="24"/>
  <c r="AE412" i="24"/>
  <c r="AE407" i="24"/>
  <c r="AE377" i="24"/>
  <c r="AE403" i="24"/>
  <c r="AE398" i="24"/>
  <c r="AE393" i="24"/>
  <c r="AE392" i="24"/>
  <c r="AE381" i="24"/>
  <c r="AE370" i="24"/>
  <c r="AE2" i="24"/>
  <c r="F21" i="6"/>
  <c r="M54" i="3" s="1"/>
  <c r="M78" i="3" s="1"/>
  <c r="F19" i="6"/>
  <c r="G19" i="6" s="1"/>
  <c r="F8" i="6"/>
  <c r="G8" i="6" s="1"/>
  <c r="B24" i="6"/>
  <c r="F54" i="3" s="1"/>
  <c r="F78" i="3" s="1"/>
  <c r="B6" i="6"/>
  <c r="AI370" i="24"/>
  <c r="AI365" i="24"/>
  <c r="AI397" i="24"/>
  <c r="AI394" i="24"/>
  <c r="V357" i="7"/>
  <c r="U357" i="7"/>
  <c r="F420" i="7"/>
  <c r="F408" i="7"/>
  <c r="F364" i="7"/>
  <c r="F365" i="7" s="1"/>
  <c r="F377" i="7"/>
  <c r="F363" i="7"/>
  <c r="F407" i="7"/>
  <c r="F390" i="7"/>
  <c r="F386" i="7"/>
  <c r="F369" i="7"/>
  <c r="F385" i="7"/>
  <c r="F368" i="7"/>
  <c r="F367" i="7"/>
  <c r="F404" i="7"/>
  <c r="F403" i="7"/>
  <c r="F412" i="7"/>
  <c r="F415" i="7" s="1"/>
  <c r="F399" i="7"/>
  <c r="F419" i="7"/>
  <c r="F414" i="7"/>
  <c r="F409" i="7"/>
  <c r="F410" i="7" s="1"/>
  <c r="F417" i="7"/>
  <c r="F421" i="7" s="1"/>
  <c r="F384" i="7"/>
  <c r="F396" i="7"/>
  <c r="F391" i="7"/>
  <c r="F373" i="7"/>
  <c r="F374" i="7" s="1"/>
  <c r="F372" i="7"/>
  <c r="F418" i="7"/>
  <c r="F389" i="7"/>
  <c r="F392" i="7" s="1"/>
  <c r="F400" i="7"/>
  <c r="F413" i="7"/>
  <c r="F395" i="7"/>
  <c r="F379" i="7"/>
  <c r="F394" i="7"/>
  <c r="F376" i="7"/>
  <c r="F383" i="7"/>
  <c r="F382" i="7"/>
  <c r="F378" i="7"/>
  <c r="F362" i="7"/>
  <c r="AA357" i="7"/>
  <c r="T357" i="7"/>
  <c r="S357" i="7"/>
  <c r="R357" i="7"/>
  <c r="Q357" i="7"/>
  <c r="P357" i="7"/>
  <c r="O357" i="7"/>
  <c r="N357" i="7"/>
  <c r="M357" i="7"/>
  <c r="L357" i="7"/>
  <c r="K357" i="7"/>
  <c r="J357" i="7"/>
  <c r="I357" i="7"/>
  <c r="F405" i="7"/>
  <c r="F397" i="7"/>
  <c r="J12" i="1"/>
  <c r="AG2" i="7"/>
  <c r="AF1" i="7"/>
  <c r="AG1" i="7"/>
  <c r="V357" i="23"/>
  <c r="T357" i="23"/>
  <c r="S357" i="23"/>
  <c r="R357" i="23"/>
  <c r="P357" i="23"/>
  <c r="O357" i="23"/>
  <c r="H30" i="1"/>
  <c r="H31" i="1" s="1"/>
  <c r="H32" i="1" s="1"/>
  <c r="H33" i="1" s="1"/>
  <c r="H34" i="1" s="1"/>
  <c r="H35" i="1" s="1"/>
  <c r="H36" i="1" s="1"/>
  <c r="H37" i="1" s="1"/>
  <c r="H38" i="1" s="1"/>
  <c r="H39" i="1" s="1"/>
  <c r="M12" i="1"/>
  <c r="M8" i="1"/>
  <c r="G1" i="1"/>
  <c r="C1" i="1"/>
  <c r="M98" i="3"/>
  <c r="L98" i="3"/>
  <c r="H98" i="3"/>
  <c r="F98" i="3"/>
  <c r="M96" i="3"/>
  <c r="L96" i="3"/>
  <c r="H96" i="3"/>
  <c r="F96" i="3"/>
  <c r="M94" i="3"/>
  <c r="L94" i="3"/>
  <c r="H94" i="3"/>
  <c r="F94" i="3"/>
  <c r="M92" i="3"/>
  <c r="L92" i="3"/>
  <c r="H92" i="3"/>
  <c r="F92" i="3"/>
  <c r="M90" i="3"/>
  <c r="L90" i="3"/>
  <c r="H90" i="3"/>
  <c r="F90" i="3"/>
  <c r="M88" i="3"/>
  <c r="L88" i="3"/>
  <c r="H88" i="3"/>
  <c r="F88" i="3"/>
  <c r="M86" i="3"/>
  <c r="L86" i="3"/>
  <c r="H86" i="3"/>
  <c r="F86" i="3"/>
  <c r="M84" i="3"/>
  <c r="L84" i="3"/>
  <c r="H84" i="3"/>
  <c r="F84" i="3"/>
  <c r="M82" i="3"/>
  <c r="L82" i="3"/>
  <c r="H82" i="3"/>
  <c r="F82" i="3"/>
  <c r="M80" i="3"/>
  <c r="L80" i="3"/>
  <c r="H80" i="3"/>
  <c r="F80" i="3"/>
  <c r="Z63" i="3"/>
  <c r="Z62" i="3"/>
  <c r="Z61" i="3"/>
  <c r="AA61" i="3" s="1"/>
  <c r="I70" i="3" s="1"/>
  <c r="I94" i="3" s="1"/>
  <c r="Z60" i="3"/>
  <c r="AA60" i="3" s="1"/>
  <c r="Z59" i="3"/>
  <c r="Z58" i="3"/>
  <c r="AA58" i="3" s="1"/>
  <c r="Z57" i="3"/>
  <c r="AA57" i="3" s="1"/>
  <c r="Z56" i="3"/>
  <c r="AA56" i="3" s="1"/>
  <c r="AB56" i="3" s="1"/>
  <c r="C60" i="3" s="1"/>
  <c r="C84" i="3" s="1"/>
  <c r="Z55" i="3"/>
  <c r="AB23" i="3"/>
  <c r="AB22" i="3"/>
  <c r="AB21" i="3"/>
  <c r="AA10" i="3"/>
  <c r="AB10" i="3"/>
  <c r="AA9" i="3"/>
  <c r="AB9" i="3" s="1"/>
  <c r="AA8" i="3"/>
  <c r="AB8" i="3" s="1"/>
  <c r="AA7" i="3"/>
  <c r="AB7" i="3" s="1"/>
  <c r="AA6" i="3"/>
  <c r="AB6" i="3" s="1"/>
  <c r="AA5" i="3"/>
  <c r="AB5" i="3" s="1"/>
  <c r="AA4" i="3"/>
  <c r="AB4" i="3"/>
  <c r="AA3" i="3"/>
  <c r="AB3" i="3" s="1"/>
  <c r="W5" i="3"/>
  <c r="W3" i="3"/>
  <c r="AA2" i="3"/>
  <c r="AB2" i="3" s="1"/>
  <c r="W4" i="3"/>
  <c r="Y3" i="3"/>
  <c r="Y4" i="3" s="1"/>
  <c r="Y5" i="3" s="1"/>
  <c r="Y6" i="3" s="1"/>
  <c r="Y7" i="3"/>
  <c r="Y8" i="3" s="1"/>
  <c r="Y9" i="3" s="1"/>
  <c r="Y10" i="3" s="1"/>
  <c r="Y11" i="3"/>
  <c r="Y12" i="3" s="1"/>
  <c r="Y13" i="3" s="1"/>
  <c r="Y14" i="3" s="1"/>
  <c r="Y15" i="3" s="1"/>
  <c r="Y16" i="3" s="1"/>
  <c r="Y17" i="3" s="1"/>
  <c r="Y18" i="3" s="1"/>
  <c r="Y19" i="3" s="1"/>
  <c r="Y20" i="3" s="1"/>
  <c r="Y21" i="3" s="1"/>
  <c r="Y22" i="3" s="1"/>
  <c r="Y23" i="3" s="1"/>
  <c r="Y24" i="3" s="1"/>
  <c r="Y25" i="3" s="1"/>
  <c r="Y54" i="3" s="1"/>
  <c r="Y55" i="3" s="1"/>
  <c r="Y56" i="3" s="1"/>
  <c r="Y57" i="3" s="1"/>
  <c r="Y58" i="3" s="1"/>
  <c r="Y59" i="3" s="1"/>
  <c r="Y60" i="3" s="1"/>
  <c r="Y61" i="3" s="1"/>
  <c r="Y62" i="3" s="1"/>
  <c r="Y63" i="3" s="1"/>
  <c r="W2" i="3"/>
  <c r="X2" i="3" s="1"/>
  <c r="C1" i="3"/>
  <c r="B2" i="6"/>
  <c r="B1" i="6"/>
  <c r="AC19" i="4"/>
  <c r="G19" i="4" s="1"/>
  <c r="W24" i="3" s="1"/>
  <c r="X24" i="3" s="1"/>
  <c r="C4" i="3" s="1"/>
  <c r="AC14" i="4"/>
  <c r="J14" i="4"/>
  <c r="AC13" i="4"/>
  <c r="J13" i="4"/>
  <c r="AC12" i="4"/>
  <c r="W21" i="3" s="1"/>
  <c r="J12" i="4"/>
  <c r="J11" i="4"/>
  <c r="AC10" i="4"/>
  <c r="W20" i="3" s="1"/>
  <c r="X20" i="3" s="1"/>
  <c r="J10" i="4"/>
  <c r="AC9" i="4"/>
  <c r="W19" i="3" s="1"/>
  <c r="J9" i="4"/>
  <c r="AC8" i="4"/>
  <c r="W16" i="3"/>
  <c r="X16" i="3" s="1"/>
  <c r="J8" i="4"/>
  <c r="AC7" i="4"/>
  <c r="W15" i="3"/>
  <c r="X15" i="3" s="1"/>
  <c r="J7" i="4"/>
  <c r="AC6" i="4"/>
  <c r="M5" i="1"/>
  <c r="N5" i="1" s="1"/>
  <c r="J6" i="4"/>
  <c r="AC5" i="4"/>
  <c r="J5" i="4"/>
  <c r="M6" i="1"/>
  <c r="N6" i="1" s="1"/>
  <c r="AC4" i="4"/>
  <c r="M3" i="1"/>
  <c r="N3" i="1" s="1"/>
  <c r="J4" i="4"/>
  <c r="AC3" i="4"/>
  <c r="M2" i="1"/>
  <c r="N2" i="1" s="1"/>
  <c r="AB13" i="3"/>
  <c r="AB14" i="3"/>
  <c r="AB18" i="3"/>
  <c r="AB15" i="3"/>
  <c r="AB19" i="3"/>
  <c r="AA62" i="3"/>
  <c r="AB62" i="3" s="1"/>
  <c r="I72" i="3"/>
  <c r="I96" i="3" s="1"/>
  <c r="AA55" i="3"/>
  <c r="J58" i="3" s="1"/>
  <c r="J82" i="3" s="1"/>
  <c r="AA59" i="3"/>
  <c r="J66" i="3" s="1"/>
  <c r="J90" i="3" s="1"/>
  <c r="AB20" i="3"/>
  <c r="AA63" i="3"/>
  <c r="AB63" i="3" s="1"/>
  <c r="AB17" i="3"/>
  <c r="AB12" i="3"/>
  <c r="AB11" i="3"/>
  <c r="AB16" i="3"/>
  <c r="G56" i="3"/>
  <c r="N62" i="3"/>
  <c r="G64" i="3"/>
  <c r="N70" i="3"/>
  <c r="G72" i="3"/>
  <c r="K60" i="3"/>
  <c r="G62" i="3"/>
  <c r="K68" i="3"/>
  <c r="G70" i="3"/>
  <c r="N58" i="3"/>
  <c r="G60" i="3"/>
  <c r="N66" i="3"/>
  <c r="G68" i="3"/>
  <c r="N74" i="3"/>
  <c r="K56" i="3"/>
  <c r="G58" i="3"/>
  <c r="K64" i="3"/>
  <c r="G66" i="3"/>
  <c r="K72" i="3"/>
  <c r="G74" i="3"/>
  <c r="N56" i="3"/>
  <c r="R58" i="3"/>
  <c r="N60" i="3"/>
  <c r="R62" i="3"/>
  <c r="N64" i="3"/>
  <c r="R66" i="3"/>
  <c r="N68" i="3"/>
  <c r="R70" i="3"/>
  <c r="N72" i="3"/>
  <c r="R80" i="3"/>
  <c r="O58" i="3"/>
  <c r="O62" i="3"/>
  <c r="O66" i="3"/>
  <c r="O70" i="3"/>
  <c r="O74" i="3"/>
  <c r="O56" i="3"/>
  <c r="K58" i="3"/>
  <c r="O60" i="3"/>
  <c r="K62" i="3"/>
  <c r="O64" i="3"/>
  <c r="K66" i="3"/>
  <c r="O68" i="3"/>
  <c r="K70" i="3"/>
  <c r="O72" i="3"/>
  <c r="K74" i="3"/>
  <c r="F4" i="6"/>
  <c r="R56" i="3"/>
  <c r="R60" i="3"/>
  <c r="R64" i="3"/>
  <c r="R68" i="3"/>
  <c r="R72" i="3"/>
  <c r="D3" i="3"/>
  <c r="C8" i="6"/>
  <c r="J72" i="3"/>
  <c r="J96" i="3" s="1"/>
  <c r="AB59" i="3"/>
  <c r="AB55" i="3"/>
  <c r="D58" i="3" s="1"/>
  <c r="D82" i="3" s="1"/>
  <c r="I58" i="3"/>
  <c r="I82" i="3" s="1"/>
  <c r="J64" i="3"/>
  <c r="J88" i="3" s="1"/>
  <c r="C58" i="3"/>
  <c r="C82" i="3" s="1"/>
  <c r="Y43" i="4"/>
  <c r="AI392" i="24" l="1"/>
  <c r="AI377" i="24"/>
  <c r="AI375" i="24"/>
  <c r="AI367" i="24"/>
  <c r="AI376" i="24"/>
  <c r="AI366" i="24"/>
  <c r="AI381" i="24"/>
  <c r="AI413" i="24"/>
  <c r="AI402" i="24"/>
  <c r="AI387" i="24"/>
  <c r="AI380" i="24"/>
  <c r="AI5" i="24"/>
  <c r="AI9" i="24"/>
  <c r="AI13" i="24"/>
  <c r="AI17" i="24"/>
  <c r="AI21" i="24"/>
  <c r="AI25" i="24"/>
  <c r="AI29" i="24"/>
  <c r="AI33" i="24"/>
  <c r="AI37" i="24"/>
  <c r="AI41" i="24"/>
  <c r="AI45" i="24"/>
  <c r="AI49" i="24"/>
  <c r="AI53" i="24"/>
  <c r="AI57" i="24"/>
  <c r="AI61" i="24"/>
  <c r="AI65" i="24"/>
  <c r="AI69" i="24"/>
  <c r="AI73" i="24"/>
  <c r="AM357" i="24"/>
  <c r="G38" i="4" s="1"/>
  <c r="K38" i="4" s="1"/>
  <c r="AD364" i="21"/>
  <c r="AE364" i="21" s="1"/>
  <c r="E58" i="3"/>
  <c r="E82" i="3" s="1"/>
  <c r="I74" i="3"/>
  <c r="I98" i="3" s="1"/>
  <c r="J74" i="3"/>
  <c r="J98" i="3" s="1"/>
  <c r="AG3" i="7"/>
  <c r="AG6" i="7" s="1"/>
  <c r="AG7" i="7" s="1"/>
  <c r="AI4" i="24"/>
  <c r="AI8" i="24"/>
  <c r="AI12" i="24"/>
  <c r="AI16" i="24"/>
  <c r="AI20" i="24"/>
  <c r="AI24" i="24"/>
  <c r="AI28" i="24"/>
  <c r="AI32" i="24"/>
  <c r="AI36" i="24"/>
  <c r="AI40" i="24"/>
  <c r="AI44" i="24"/>
  <c r="AI48" i="24"/>
  <c r="AI52" i="24"/>
  <c r="AI56" i="24"/>
  <c r="AI60" i="24"/>
  <c r="AI64" i="24"/>
  <c r="AI68" i="24"/>
  <c r="AI72" i="24"/>
  <c r="AD357" i="21"/>
  <c r="AE357" i="21" s="1"/>
  <c r="F370" i="7"/>
  <c r="AI3" i="24"/>
  <c r="AI7" i="24"/>
  <c r="AI11" i="24"/>
  <c r="AI15" i="24"/>
  <c r="AI19" i="24"/>
  <c r="AI23" i="24"/>
  <c r="AI27" i="24"/>
  <c r="AI31" i="24"/>
  <c r="AI35" i="24"/>
  <c r="AI39" i="24"/>
  <c r="AI43" i="24"/>
  <c r="AI47" i="24"/>
  <c r="AI51" i="24"/>
  <c r="AI55" i="24"/>
  <c r="AI59" i="24"/>
  <c r="AI63" i="24"/>
  <c r="AI67" i="24"/>
  <c r="AI71" i="24"/>
  <c r="AI75" i="24"/>
  <c r="AI79" i="24"/>
  <c r="AI83" i="24"/>
  <c r="AI87" i="24"/>
  <c r="AI91" i="24"/>
  <c r="AI95" i="24"/>
  <c r="C325" i="23"/>
  <c r="D380" i="7"/>
  <c r="C363" i="23"/>
  <c r="C421" i="7"/>
  <c r="AI271" i="24"/>
  <c r="AI275" i="24"/>
  <c r="AI279" i="24"/>
  <c r="AI283" i="24"/>
  <c r="AI287" i="24"/>
  <c r="AI291" i="24"/>
  <c r="AI295" i="24"/>
  <c r="AI299" i="24"/>
  <c r="AI303" i="24"/>
  <c r="AI307" i="24"/>
  <c r="AI311" i="24"/>
  <c r="AI315" i="24"/>
  <c r="AI319" i="24"/>
  <c r="AI323" i="24"/>
  <c r="AI327" i="24"/>
  <c r="AI331" i="24"/>
  <c r="AI335" i="24"/>
  <c r="AI339" i="24"/>
  <c r="AI343" i="24"/>
  <c r="AI347" i="24"/>
  <c r="AI351" i="24"/>
  <c r="AI355" i="24"/>
  <c r="AE357" i="24"/>
  <c r="G25" i="4" s="1"/>
  <c r="K25" i="4" s="1"/>
  <c r="E363" i="23"/>
  <c r="E368" i="23"/>
  <c r="D421" i="7"/>
  <c r="C387" i="7"/>
  <c r="C415" i="7"/>
  <c r="C370" i="7"/>
  <c r="C365" i="7"/>
  <c r="T400" i="21"/>
  <c r="U400" i="21" s="1"/>
  <c r="V400" i="21" s="1"/>
  <c r="T410" i="21"/>
  <c r="U410" i="21" s="1"/>
  <c r="V410" i="21" s="1"/>
  <c r="T414" i="21"/>
  <c r="U414" i="21" s="1"/>
  <c r="V414" i="21" s="1"/>
  <c r="U419" i="21"/>
  <c r="V419" i="21" s="1"/>
  <c r="AC386" i="21"/>
  <c r="AI98" i="24"/>
  <c r="AI102" i="24"/>
  <c r="AI106" i="24"/>
  <c r="AI110" i="24"/>
  <c r="AI114" i="24"/>
  <c r="AI118" i="24"/>
  <c r="AI122" i="24"/>
  <c r="AI126" i="24"/>
  <c r="AI130" i="24"/>
  <c r="AI134" i="24"/>
  <c r="AI138" i="24"/>
  <c r="AI142" i="24"/>
  <c r="AI146" i="24"/>
  <c r="AI150" i="24"/>
  <c r="AI154" i="24"/>
  <c r="AI158" i="24"/>
  <c r="AI162" i="24"/>
  <c r="AI166" i="24"/>
  <c r="AI170" i="24"/>
  <c r="AI174" i="24"/>
  <c r="AI178" i="24"/>
  <c r="AI182" i="24"/>
  <c r="AI186" i="24"/>
  <c r="AI190" i="24"/>
  <c r="AI194" i="24"/>
  <c r="AI198" i="24"/>
  <c r="AI202" i="24"/>
  <c r="AI206" i="24"/>
  <c r="AI210" i="24"/>
  <c r="AI214" i="24"/>
  <c r="AI218" i="24"/>
  <c r="AI222" i="24"/>
  <c r="AI226" i="24"/>
  <c r="AI230" i="24"/>
  <c r="AI234" i="24"/>
  <c r="AI238" i="24"/>
  <c r="AI242" i="24"/>
  <c r="AI246" i="24"/>
  <c r="AI250" i="24"/>
  <c r="AI254" i="24"/>
  <c r="AI258" i="24"/>
  <c r="AI262" i="24"/>
  <c r="AI266" i="24"/>
  <c r="AI270" i="24"/>
  <c r="AI274" i="24"/>
  <c r="AI278" i="24"/>
  <c r="AI282" i="24"/>
  <c r="AI286" i="24"/>
  <c r="AI290" i="24"/>
  <c r="AI294" i="24"/>
  <c r="AI298" i="24"/>
  <c r="AI302" i="24"/>
  <c r="AI306" i="24"/>
  <c r="AI310" i="24"/>
  <c r="AI314" i="24"/>
  <c r="AI318" i="24"/>
  <c r="AI322" i="24"/>
  <c r="AI326" i="24"/>
  <c r="AI330" i="24"/>
  <c r="AI334" i="24"/>
  <c r="AI338" i="24"/>
  <c r="AI342" i="24"/>
  <c r="AI346" i="24"/>
  <c r="AI350" i="24"/>
  <c r="AI354" i="24"/>
  <c r="AK357" i="24"/>
  <c r="G35" i="4" s="1"/>
  <c r="K35" i="4" s="1"/>
  <c r="T357" i="21"/>
  <c r="U357" i="21" s="1"/>
  <c r="V357" i="21" s="1"/>
  <c r="M13" i="1" s="1"/>
  <c r="G15" i="4" s="1"/>
  <c r="AD375" i="21"/>
  <c r="AE375" i="21" s="1"/>
  <c r="O357" i="22"/>
  <c r="AC379" i="21"/>
  <c r="AD379" i="21" s="1"/>
  <c r="AE379" i="21" s="1"/>
  <c r="AC405" i="21"/>
  <c r="AD405" i="21" s="1"/>
  <c r="AE405" i="21" s="1"/>
  <c r="L357" i="22"/>
  <c r="D79" i="3"/>
  <c r="C42" i="6" s="1"/>
  <c r="C14" i="6" s="1"/>
  <c r="D71" i="3"/>
  <c r="D95" i="3" s="1"/>
  <c r="C73" i="3"/>
  <c r="D57" i="3"/>
  <c r="D81" i="3" s="1"/>
  <c r="D73" i="3"/>
  <c r="D97" i="3" s="1"/>
  <c r="W6" i="3"/>
  <c r="D63" i="3"/>
  <c r="D87" i="3" s="1"/>
  <c r="D65" i="3"/>
  <c r="D89" i="3" s="1"/>
  <c r="J59" i="3"/>
  <c r="J83" i="3" s="1"/>
  <c r="I65" i="3"/>
  <c r="I89" i="3" s="1"/>
  <c r="B15" i="6"/>
  <c r="V4" i="4" s="1"/>
  <c r="C69" i="3"/>
  <c r="C67" i="3"/>
  <c r="I69" i="3"/>
  <c r="I93" i="3" s="1"/>
  <c r="C71" i="3"/>
  <c r="G26" i="1"/>
  <c r="G2" i="1"/>
  <c r="G32" i="1"/>
  <c r="G10" i="1"/>
  <c r="G17" i="1"/>
  <c r="C24" i="6"/>
  <c r="C64" i="1"/>
  <c r="E65" i="3"/>
  <c r="E89" i="3" s="1"/>
  <c r="C55" i="3"/>
  <c r="I61" i="3"/>
  <c r="I85" i="3" s="1"/>
  <c r="J71" i="3"/>
  <c r="J95" i="3" s="1"/>
  <c r="K80" i="3"/>
  <c r="R82" i="3"/>
  <c r="O82" i="3"/>
  <c r="N82" i="3"/>
  <c r="M9" i="1"/>
  <c r="E71" i="3"/>
  <c r="E95" i="3" s="1"/>
  <c r="L54" i="3"/>
  <c r="L78" i="3" s="1"/>
  <c r="G17" i="6"/>
  <c r="G41" i="6" s="1"/>
  <c r="I25" i="4" s="1"/>
  <c r="M25" i="4" s="1"/>
  <c r="E55" i="3"/>
  <c r="C59" i="3"/>
  <c r="C61" i="3"/>
  <c r="C65" i="3"/>
  <c r="I57" i="3"/>
  <c r="I81" i="3" s="1"/>
  <c r="I63" i="3"/>
  <c r="I87" i="3" s="1"/>
  <c r="I71" i="3"/>
  <c r="I95" i="3" s="1"/>
  <c r="D59" i="3"/>
  <c r="D83" i="3" s="1"/>
  <c r="D67" i="3"/>
  <c r="C34" i="1"/>
  <c r="C63" i="3"/>
  <c r="C57" i="3"/>
  <c r="I67" i="3"/>
  <c r="I91" i="3" s="1"/>
  <c r="I59" i="3"/>
  <c r="I83" i="3" s="1"/>
  <c r="D61" i="3"/>
  <c r="D85" i="3" s="1"/>
  <c r="D55" i="3"/>
  <c r="D69" i="3"/>
  <c r="D93" i="3" s="1"/>
  <c r="B22" i="6"/>
  <c r="C17" i="6"/>
  <c r="N5" i="4"/>
  <c r="E73" i="3"/>
  <c r="E97" i="3" s="1"/>
  <c r="E57" i="3"/>
  <c r="E81" i="3" s="1"/>
  <c r="E67" i="3"/>
  <c r="E91" i="3" s="1"/>
  <c r="J61" i="3"/>
  <c r="J85" i="3" s="1"/>
  <c r="J57" i="3"/>
  <c r="J81" i="3" s="1"/>
  <c r="F13" i="6"/>
  <c r="G21" i="6"/>
  <c r="N7" i="3"/>
  <c r="Y5" i="4"/>
  <c r="Y6" i="4" s="1"/>
  <c r="K39" i="4"/>
  <c r="E63" i="3"/>
  <c r="E87" i="3" s="1"/>
  <c r="E61" i="3"/>
  <c r="E85" i="3" s="1"/>
  <c r="J63" i="3"/>
  <c r="J87" i="3" s="1"/>
  <c r="J65" i="3"/>
  <c r="J89" i="3" s="1"/>
  <c r="E59" i="3"/>
  <c r="E83" i="3" s="1"/>
  <c r="J69" i="3"/>
  <c r="J93" i="3" s="1"/>
  <c r="J67" i="3"/>
  <c r="J91" i="3" s="1"/>
  <c r="E69" i="3"/>
  <c r="E93" i="3" s="1"/>
  <c r="F6" i="3"/>
  <c r="C32" i="1"/>
  <c r="C9" i="1"/>
  <c r="C40" i="1"/>
  <c r="C7" i="1"/>
  <c r="C51" i="1"/>
  <c r="G29" i="4"/>
  <c r="E9" i="3"/>
  <c r="X19" i="3"/>
  <c r="G4" i="6"/>
  <c r="B4" i="6"/>
  <c r="C4" i="6"/>
  <c r="J70" i="3"/>
  <c r="J94" i="3" s="1"/>
  <c r="AB61" i="3"/>
  <c r="D410" i="7"/>
  <c r="E66" i="3"/>
  <c r="E90" i="3" s="1"/>
  <c r="C66" i="3"/>
  <c r="D66" i="3"/>
  <c r="D90" i="3" s="1"/>
  <c r="M10" i="1"/>
  <c r="W22" i="3"/>
  <c r="F387" i="7"/>
  <c r="AF357" i="24"/>
  <c r="G28" i="4" s="1"/>
  <c r="K28" i="4" s="1"/>
  <c r="F35" i="6"/>
  <c r="D74" i="3"/>
  <c r="D98" i="3" s="1"/>
  <c r="E74" i="3"/>
  <c r="E98" i="3" s="1"/>
  <c r="C74" i="3"/>
  <c r="E72" i="3"/>
  <c r="E96" i="3" s="1"/>
  <c r="C72" i="3"/>
  <c r="C96" i="3" s="1"/>
  <c r="D72" i="3"/>
  <c r="D96" i="3" s="1"/>
  <c r="J62" i="3"/>
  <c r="J86" i="3" s="1"/>
  <c r="AB57" i="3"/>
  <c r="C3" i="3"/>
  <c r="C5" i="3" s="1"/>
  <c r="W11" i="3" s="1"/>
  <c r="B9" i="6"/>
  <c r="M11" i="1"/>
  <c r="W23" i="3"/>
  <c r="I64" i="3"/>
  <c r="I88" i="3" s="1"/>
  <c r="AB58" i="3"/>
  <c r="F401" i="7"/>
  <c r="F380" i="7"/>
  <c r="I62" i="3"/>
  <c r="I86" i="3" s="1"/>
  <c r="E60" i="3"/>
  <c r="E84" i="3" s="1"/>
  <c r="D60" i="3"/>
  <c r="D84" i="3" s="1"/>
  <c r="I60" i="3"/>
  <c r="I84" i="3" s="1"/>
  <c r="J60" i="3"/>
  <c r="J84" i="3" s="1"/>
  <c r="I68" i="3"/>
  <c r="I92" i="3" s="1"/>
  <c r="J68" i="3"/>
  <c r="J92" i="3" s="1"/>
  <c r="AB60" i="3"/>
  <c r="H54" i="3"/>
  <c r="H78" i="3" s="1"/>
  <c r="C28" i="6"/>
  <c r="AH357" i="24"/>
  <c r="G30" i="4" s="1"/>
  <c r="AL357" i="24"/>
  <c r="G37" i="4" s="1"/>
  <c r="D387" i="7"/>
  <c r="F357" i="7"/>
  <c r="I66" i="3"/>
  <c r="I90" i="3" s="1"/>
  <c r="D415" i="7"/>
  <c r="C380" i="7"/>
  <c r="C357" i="7"/>
  <c r="E11" i="3" s="1"/>
  <c r="AI77" i="24"/>
  <c r="AI81" i="24"/>
  <c r="AI85" i="24"/>
  <c r="AI89" i="24"/>
  <c r="AI93" i="24"/>
  <c r="AI97" i="24"/>
  <c r="AI101" i="24"/>
  <c r="AI105" i="24"/>
  <c r="AI109" i="24"/>
  <c r="AI113" i="24"/>
  <c r="AI117" i="24"/>
  <c r="AI121" i="24"/>
  <c r="AI125" i="24"/>
  <c r="AI129" i="24"/>
  <c r="AI133" i="24"/>
  <c r="AI137" i="24"/>
  <c r="AI141" i="24"/>
  <c r="AI145" i="24"/>
  <c r="AI149" i="24"/>
  <c r="AI153" i="24"/>
  <c r="AI157" i="24"/>
  <c r="AI161" i="24"/>
  <c r="AI165" i="24"/>
  <c r="AI169" i="24"/>
  <c r="AI173" i="24"/>
  <c r="AI177" i="24"/>
  <c r="AI181" i="24"/>
  <c r="AI185" i="24"/>
  <c r="AI189" i="24"/>
  <c r="AI193" i="24"/>
  <c r="AI197" i="24"/>
  <c r="AI201" i="24"/>
  <c r="AI205" i="24"/>
  <c r="AI209" i="24"/>
  <c r="AI213" i="24"/>
  <c r="AI217" i="24"/>
  <c r="AI221" i="24"/>
  <c r="AI225" i="24"/>
  <c r="AI229" i="24"/>
  <c r="AI233" i="24"/>
  <c r="AI237" i="24"/>
  <c r="AI241" i="24"/>
  <c r="AI245" i="24"/>
  <c r="AI249" i="24"/>
  <c r="AI253" i="24"/>
  <c r="AI257" i="24"/>
  <c r="AI261" i="24"/>
  <c r="AI265" i="24"/>
  <c r="AI269" i="24"/>
  <c r="AI273" i="24"/>
  <c r="AI277" i="24"/>
  <c r="AI281" i="24"/>
  <c r="AI285" i="24"/>
  <c r="AI289" i="24"/>
  <c r="AI293" i="24"/>
  <c r="AI297" i="24"/>
  <c r="AI301" i="24"/>
  <c r="AI305" i="24"/>
  <c r="AI309" i="24"/>
  <c r="AI313" i="24"/>
  <c r="AI317" i="24"/>
  <c r="AI321" i="24"/>
  <c r="AI325" i="24"/>
  <c r="AI329" i="24"/>
  <c r="AI333" i="24"/>
  <c r="AI337" i="24"/>
  <c r="AI341" i="24"/>
  <c r="AI345" i="24"/>
  <c r="AI349" i="24"/>
  <c r="AI353" i="24"/>
  <c r="AI76" i="24"/>
  <c r="AI80" i="24"/>
  <c r="AI84" i="24"/>
  <c r="AI88" i="24"/>
  <c r="AI92" i="24"/>
  <c r="AI96" i="24"/>
  <c r="AI100" i="24"/>
  <c r="AI104" i="24"/>
  <c r="AI108" i="24"/>
  <c r="AI112" i="24"/>
  <c r="AI116" i="24"/>
  <c r="AI120" i="24"/>
  <c r="AI124" i="24"/>
  <c r="AI128" i="24"/>
  <c r="AI132" i="24"/>
  <c r="AI136" i="24"/>
  <c r="AI140" i="24"/>
  <c r="AI144" i="24"/>
  <c r="AI148" i="24"/>
  <c r="AI152" i="24"/>
  <c r="AI156" i="24"/>
  <c r="AI160" i="24"/>
  <c r="AI164" i="24"/>
  <c r="AI168" i="24"/>
  <c r="AI172" i="24"/>
  <c r="AI176" i="24"/>
  <c r="AI180" i="24"/>
  <c r="AI184" i="24"/>
  <c r="AI188" i="24"/>
  <c r="AI192" i="24"/>
  <c r="AI196" i="24"/>
  <c r="AI200" i="24"/>
  <c r="AI204" i="24"/>
  <c r="AI208" i="24"/>
  <c r="AI212" i="24"/>
  <c r="AI216" i="24"/>
  <c r="AI220" i="24"/>
  <c r="AI224" i="24"/>
  <c r="AI228" i="24"/>
  <c r="AI232" i="24"/>
  <c r="AI236" i="24"/>
  <c r="AI240" i="24"/>
  <c r="AI244" i="24"/>
  <c r="AI248" i="24"/>
  <c r="AI252" i="24"/>
  <c r="AI256" i="24"/>
  <c r="AI260" i="24"/>
  <c r="AI264" i="24"/>
  <c r="AI268" i="24"/>
  <c r="AI272" i="24"/>
  <c r="AI276" i="24"/>
  <c r="AI280" i="24"/>
  <c r="AI284" i="24"/>
  <c r="AI288" i="24"/>
  <c r="AI292" i="24"/>
  <c r="AI296" i="24"/>
  <c r="AI300" i="24"/>
  <c r="AI304" i="24"/>
  <c r="AI308" i="24"/>
  <c r="AI312" i="24"/>
  <c r="AI316" i="24"/>
  <c r="AI320" i="24"/>
  <c r="AI324" i="24"/>
  <c r="AI328" i="24"/>
  <c r="AI332" i="24"/>
  <c r="AI336" i="24"/>
  <c r="AI340" i="24"/>
  <c r="AI344" i="24"/>
  <c r="AI348" i="24"/>
  <c r="AI352" i="24"/>
  <c r="AI356" i="24"/>
  <c r="D397" i="7"/>
  <c r="AD386" i="21"/>
  <c r="AE386" i="21" s="1"/>
  <c r="D401" i="7"/>
  <c r="C374" i="7"/>
  <c r="L357" i="23"/>
  <c r="E357" i="23" s="1"/>
  <c r="C13" i="4" s="1"/>
  <c r="J9" i="1" s="1"/>
  <c r="C59" i="1" s="1"/>
  <c r="E325" i="23"/>
  <c r="AD420" i="21"/>
  <c r="AE420" i="21" s="1"/>
  <c r="AC396" i="21"/>
  <c r="J55" i="3"/>
  <c r="J79" i="3" s="1"/>
  <c r="J78" i="3"/>
  <c r="AD391" i="21"/>
  <c r="AE391" i="21" s="1"/>
  <c r="AC410" i="21"/>
  <c r="AD410" i="21" s="1"/>
  <c r="AE410" i="21" s="1"/>
  <c r="C24" i="1"/>
  <c r="C53" i="1"/>
  <c r="AD396" i="21"/>
  <c r="AE396" i="21" s="1"/>
  <c r="I56" i="3"/>
  <c r="I80" i="3" s="1"/>
  <c r="AB54" i="3"/>
  <c r="J56" i="3"/>
  <c r="J80" i="3" s="1"/>
  <c r="G80" i="3"/>
  <c r="C41" i="6"/>
  <c r="I78" i="3"/>
  <c r="I55" i="3"/>
  <c r="K40" i="4"/>
  <c r="L40" i="4"/>
  <c r="J11" i="1"/>
  <c r="C2" i="1" s="1"/>
  <c r="L39" i="4"/>
  <c r="C42" i="1"/>
  <c r="B26" i="6"/>
  <c r="G6" i="3"/>
  <c r="C22" i="1"/>
  <c r="AC414" i="21"/>
  <c r="AD414" i="21" s="1"/>
  <c r="AE414" i="21" s="1"/>
  <c r="D357" i="7"/>
  <c r="AI357" i="24" l="1"/>
  <c r="G31" i="4" s="1"/>
  <c r="K31" i="4"/>
  <c r="N57" i="3"/>
  <c r="O57" i="3" s="1"/>
  <c r="N65" i="3"/>
  <c r="O65" i="3" s="1"/>
  <c r="N71" i="3"/>
  <c r="O71" i="3" s="1"/>
  <c r="N73" i="3"/>
  <c r="O73" i="3" s="1"/>
  <c r="N63" i="3"/>
  <c r="O63" i="3" s="1"/>
  <c r="N67" i="3"/>
  <c r="O67" i="3" s="1"/>
  <c r="D91" i="3"/>
  <c r="F43" i="6"/>
  <c r="H29" i="4" s="1"/>
  <c r="C85" i="3"/>
  <c r="N85" i="3" s="1"/>
  <c r="O85" i="3" s="1"/>
  <c r="C95" i="3"/>
  <c r="N95" i="3" s="1"/>
  <c r="O95" i="3" s="1"/>
  <c r="C83" i="3"/>
  <c r="N83" i="3" s="1"/>
  <c r="O83" i="3" s="1"/>
  <c r="C93" i="3"/>
  <c r="N93" i="3" s="1"/>
  <c r="N59" i="3"/>
  <c r="O59" i="3" s="1"/>
  <c r="N61" i="3"/>
  <c r="O61" i="3" s="1"/>
  <c r="N69" i="3"/>
  <c r="O69" i="3" s="1"/>
  <c r="F8" i="3"/>
  <c r="C21" i="6"/>
  <c r="B30" i="6"/>
  <c r="F30" i="6" s="1"/>
  <c r="F39" i="6" s="1"/>
  <c r="Y7" i="4"/>
  <c r="C8" i="3"/>
  <c r="C6" i="3"/>
  <c r="C9" i="6" s="1"/>
  <c r="G47" i="6" s="1"/>
  <c r="I37" i="4" s="1"/>
  <c r="F46" i="6"/>
  <c r="H33" i="4" s="1"/>
  <c r="L33" i="4" s="1"/>
  <c r="L32" i="4" s="1"/>
  <c r="G8" i="3"/>
  <c r="C11" i="6"/>
  <c r="N79" i="3"/>
  <c r="N55" i="3"/>
  <c r="O55" i="3" s="1"/>
  <c r="C13" i="6"/>
  <c r="C15" i="6" s="1"/>
  <c r="V5" i="4"/>
  <c r="G74" i="1"/>
  <c r="G46" i="6"/>
  <c r="I33" i="4" s="1"/>
  <c r="M33" i="4" s="1"/>
  <c r="M32" i="4" s="1"/>
  <c r="E68" i="3"/>
  <c r="E92" i="3" s="1"/>
  <c r="D68" i="3"/>
  <c r="D92" i="3" s="1"/>
  <c r="C68" i="3"/>
  <c r="F47" i="6"/>
  <c r="H37" i="4" s="1"/>
  <c r="E6" i="3"/>
  <c r="C20" i="6" s="1"/>
  <c r="E8" i="3"/>
  <c r="N6" i="4" s="1"/>
  <c r="G54" i="3"/>
  <c r="F40" i="6"/>
  <c r="C26" i="6"/>
  <c r="G40" i="6" s="1"/>
  <c r="I79" i="3"/>
  <c r="K96" i="3"/>
  <c r="G88" i="3"/>
  <c r="G84" i="3"/>
  <c r="O90" i="3"/>
  <c r="K84" i="3"/>
  <c r="K94" i="3"/>
  <c r="K92" i="3"/>
  <c r="R96" i="3"/>
  <c r="R98" i="3"/>
  <c r="R86" i="3"/>
  <c r="K98" i="3"/>
  <c r="R90" i="3"/>
  <c r="G98" i="3"/>
  <c r="O96" i="3"/>
  <c r="K86" i="3"/>
  <c r="O92" i="3"/>
  <c r="N86" i="3"/>
  <c r="R92" i="3"/>
  <c r="R94" i="3"/>
  <c r="N90" i="3"/>
  <c r="O86" i="3"/>
  <c r="G92" i="3"/>
  <c r="N92" i="3"/>
  <c r="N96" i="3"/>
  <c r="N94" i="3"/>
  <c r="G90" i="3"/>
  <c r="R88" i="3"/>
  <c r="G96" i="3"/>
  <c r="O98" i="3"/>
  <c r="G94" i="3"/>
  <c r="K88" i="3"/>
  <c r="G86" i="3"/>
  <c r="O88" i="3"/>
  <c r="K90" i="3"/>
  <c r="N88" i="3"/>
  <c r="O94" i="3"/>
  <c r="N98" i="3"/>
  <c r="C98" i="3"/>
  <c r="R84" i="3"/>
  <c r="G82" i="3"/>
  <c r="O84" i="3"/>
  <c r="K82" i="3"/>
  <c r="N84" i="3"/>
  <c r="E70" i="3"/>
  <c r="E94" i="3" s="1"/>
  <c r="D70" i="3"/>
  <c r="D94" i="3" s="1"/>
  <c r="C70" i="3"/>
  <c r="N9" i="3"/>
  <c r="E56" i="3"/>
  <c r="E80" i="3" s="1"/>
  <c r="C56" i="3"/>
  <c r="D56" i="3"/>
  <c r="D80" i="3" s="1"/>
  <c r="C90" i="3"/>
  <c r="J14" i="1"/>
  <c r="C74" i="1"/>
  <c r="N11" i="3"/>
  <c r="V56" i="3"/>
  <c r="V58" i="3" s="1"/>
  <c r="D64" i="3"/>
  <c r="D88" i="3" s="1"/>
  <c r="C64" i="3"/>
  <c r="E64" i="3"/>
  <c r="E88" i="3" s="1"/>
  <c r="D62" i="3"/>
  <c r="D86" i="3" s="1"/>
  <c r="C62" i="3"/>
  <c r="E62" i="3"/>
  <c r="E86" i="3" s="1"/>
  <c r="H35" i="4"/>
  <c r="L35" i="4" s="1"/>
  <c r="L4" i="4"/>
  <c r="F44" i="6"/>
  <c r="H30" i="4" s="1"/>
  <c r="F41" i="6"/>
  <c r="H25" i="4" s="1"/>
  <c r="F42" i="6"/>
  <c r="H28" i="4" s="1"/>
  <c r="C87" i="3"/>
  <c r="C81" i="3"/>
  <c r="C89" i="3"/>
  <c r="N81" i="3"/>
  <c r="C97" i="3"/>
  <c r="C91" i="3"/>
  <c r="L28" i="4" l="1"/>
  <c r="N28" i="4" s="1"/>
  <c r="L25" i="4"/>
  <c r="N25" i="4" s="1"/>
  <c r="L31" i="4"/>
  <c r="N31" i="4" s="1"/>
  <c r="O6" i="3"/>
  <c r="P6" i="3" s="1"/>
  <c r="Q6" i="3" s="1"/>
  <c r="O6" i="4"/>
  <c r="T59" i="3"/>
  <c r="Q32" i="1"/>
  <c r="O93" i="3"/>
  <c r="O5" i="4"/>
  <c r="T65" i="3"/>
  <c r="F10" i="3"/>
  <c r="F12" i="3" s="1"/>
  <c r="C22" i="6"/>
  <c r="G44" i="6" s="1"/>
  <c r="I30" i="4" s="1"/>
  <c r="G10" i="3"/>
  <c r="G12" i="3" s="1"/>
  <c r="G14" i="3" s="1"/>
  <c r="Y8" i="4"/>
  <c r="C10" i="3"/>
  <c r="F6" i="6"/>
  <c r="N33" i="4"/>
  <c r="Q34" i="1"/>
  <c r="L37" i="4"/>
  <c r="K37" i="4"/>
  <c r="C92" i="3"/>
  <c r="T67" i="3"/>
  <c r="T57" i="3"/>
  <c r="N89" i="3"/>
  <c r="O89" i="3" s="1"/>
  <c r="T61" i="3"/>
  <c r="C86" i="3"/>
  <c r="N91" i="3"/>
  <c r="O91" i="3" s="1"/>
  <c r="V6" i="4"/>
  <c r="O81" i="3"/>
  <c r="H31" i="4"/>
  <c r="C80" i="3"/>
  <c r="T55" i="3"/>
  <c r="Q55" i="3"/>
  <c r="C94" i="3"/>
  <c r="T69" i="3"/>
  <c r="N97" i="3"/>
  <c r="N87" i="3"/>
  <c r="F45" i="6"/>
  <c r="C6" i="6"/>
  <c r="G78" i="3"/>
  <c r="P78" i="3" s="1"/>
  <c r="P54" i="3"/>
  <c r="C88" i="3"/>
  <c r="T63" i="3"/>
  <c r="T73" i="3"/>
  <c r="S2" i="1"/>
  <c r="Q6" i="1"/>
  <c r="Q31" i="1"/>
  <c r="I35" i="4" s="1"/>
  <c r="M35" i="4" s="1"/>
  <c r="N35" i="4" s="1"/>
  <c r="S3" i="1"/>
  <c r="Q7" i="1"/>
  <c r="Q3" i="1"/>
  <c r="Q8" i="1"/>
  <c r="Q4" i="1"/>
  <c r="Q9" i="1"/>
  <c r="Q5" i="1"/>
  <c r="S4" i="1"/>
  <c r="Q2" i="1"/>
  <c r="T71" i="3"/>
  <c r="R6" i="3"/>
  <c r="S55" i="3"/>
  <c r="O79" i="3"/>
  <c r="S79" i="3" s="1"/>
  <c r="E12" i="3"/>
  <c r="E22" i="3"/>
  <c r="E14" i="3"/>
  <c r="E20" i="3"/>
  <c r="E16" i="3"/>
  <c r="E18" i="3"/>
  <c r="E10" i="3"/>
  <c r="E24" i="3"/>
  <c r="O8" i="3"/>
  <c r="R8" i="3"/>
  <c r="G43" i="6"/>
  <c r="C30" i="6" l="1"/>
  <c r="G30" i="6" s="1"/>
  <c r="T91" i="3"/>
  <c r="W11" i="4" s="1"/>
  <c r="T87" i="3"/>
  <c r="W9" i="4" s="1"/>
  <c r="T81" i="3"/>
  <c r="W6" i="4" s="1"/>
  <c r="F38" i="6"/>
  <c r="H38" i="4" s="1"/>
  <c r="F9" i="6"/>
  <c r="O7" i="4"/>
  <c r="T97" i="3"/>
  <c r="W14" i="4" s="1"/>
  <c r="T93" i="3"/>
  <c r="W12" i="4" s="1"/>
  <c r="Y9" i="4"/>
  <c r="C12" i="3"/>
  <c r="O8" i="4" s="1"/>
  <c r="F14" i="3"/>
  <c r="T89" i="3"/>
  <c r="W10" i="4" s="1"/>
  <c r="T85" i="3"/>
  <c r="W8" i="4" s="1"/>
  <c r="L27" i="4"/>
  <c r="O87" i="3"/>
  <c r="O97" i="3"/>
  <c r="T79" i="3"/>
  <c r="V7" i="4"/>
  <c r="T95" i="3"/>
  <c r="W13" i="4" s="1"/>
  <c r="S4" i="4"/>
  <c r="P8" i="3"/>
  <c r="Q8" i="3" s="1"/>
  <c r="T83" i="3"/>
  <c r="W7" i="4" s="1"/>
  <c r="G16" i="3"/>
  <c r="I29" i="4"/>
  <c r="N7" i="4"/>
  <c r="V55" i="3"/>
  <c r="V57" i="3" s="1"/>
  <c r="V59" i="3" s="1"/>
  <c r="V60" i="3" s="1"/>
  <c r="O10" i="3"/>
  <c r="R10" i="3"/>
  <c r="S6" i="3"/>
  <c r="Q29" i="1"/>
  <c r="I34" i="4" s="1"/>
  <c r="Q10" i="1"/>
  <c r="M18" i="1" s="1"/>
  <c r="M20" i="1" s="1"/>
  <c r="R55" i="3"/>
  <c r="M37" i="4"/>
  <c r="N37" i="4" s="1"/>
  <c r="M34" i="4" l="1"/>
  <c r="N34" i="4" s="1"/>
  <c r="L38" i="4"/>
  <c r="N38" i="4" s="1"/>
  <c r="K27" i="4" s="1"/>
  <c r="N27" i="4" s="1"/>
  <c r="M27" i="4" s="1"/>
  <c r="F16" i="3"/>
  <c r="F18" i="3" s="1"/>
  <c r="F20" i="3" s="1"/>
  <c r="Y10" i="4"/>
  <c r="C14" i="3"/>
  <c r="O9" i="4" s="1"/>
  <c r="Q57" i="3"/>
  <c r="S57" i="3"/>
  <c r="P55" i="3"/>
  <c r="G18" i="3"/>
  <c r="E15" i="3"/>
  <c r="E13" i="3"/>
  <c r="E17" i="3"/>
  <c r="E19" i="3"/>
  <c r="E23" i="3"/>
  <c r="E21" i="3"/>
  <c r="E25" i="3"/>
  <c r="K4" i="4"/>
  <c r="T4" i="4"/>
  <c r="U4" i="4"/>
  <c r="C70" i="1"/>
  <c r="W5" i="4"/>
  <c r="T6" i="3"/>
  <c r="P10" i="3"/>
  <c r="Q10" i="3" s="1"/>
  <c r="Q79" i="3"/>
  <c r="V8" i="4"/>
  <c r="I27" i="4" l="1"/>
  <c r="F22" i="3"/>
  <c r="F24" i="3" s="1"/>
  <c r="Y11" i="4"/>
  <c r="C16" i="3"/>
  <c r="O10" i="4" s="1"/>
  <c r="R79" i="3"/>
  <c r="N25" i="3"/>
  <c r="N14" i="4"/>
  <c r="R57" i="3"/>
  <c r="P57" i="3" s="1"/>
  <c r="C67" i="1"/>
  <c r="H70" i="1"/>
  <c r="N23" i="3"/>
  <c r="N13" i="4"/>
  <c r="N15" i="3"/>
  <c r="R14" i="3"/>
  <c r="O14" i="3"/>
  <c r="N9" i="4"/>
  <c r="G20" i="3"/>
  <c r="G22" i="3" s="1"/>
  <c r="V9" i="4"/>
  <c r="N17" i="3"/>
  <c r="N10" i="4"/>
  <c r="N21" i="3"/>
  <c r="N12" i="4"/>
  <c r="N13" i="3"/>
  <c r="R12" i="3"/>
  <c r="O12" i="3"/>
  <c r="N8" i="4"/>
  <c r="S8" i="3"/>
  <c r="Q5" i="4"/>
  <c r="N19" i="3"/>
  <c r="N11" i="4"/>
  <c r="P56" i="3"/>
  <c r="R16" i="3" l="1"/>
  <c r="O16" i="3"/>
  <c r="G24" i="3"/>
  <c r="Y12" i="4"/>
  <c r="C18" i="3"/>
  <c r="I30" i="1"/>
  <c r="L5" i="4" s="1"/>
  <c r="M17" i="1"/>
  <c r="M19" i="1" s="1"/>
  <c r="M21" i="1" s="1"/>
  <c r="N21" i="1" s="1"/>
  <c r="C55" i="1"/>
  <c r="C57" i="1" s="1"/>
  <c r="H60" i="1" s="1"/>
  <c r="C66" i="1" s="1"/>
  <c r="Q59" i="3"/>
  <c r="S59" i="3"/>
  <c r="T8" i="3"/>
  <c r="P12" i="3"/>
  <c r="Q12" i="3" s="1"/>
  <c r="V10" i="4"/>
  <c r="R5" i="4"/>
  <c r="S81" i="3"/>
  <c r="Q81" i="3" s="1"/>
  <c r="P79" i="3"/>
  <c r="H73" i="1"/>
  <c r="G70" i="1" s="1"/>
  <c r="P58" i="3"/>
  <c r="G67" i="1" l="1"/>
  <c r="G39" i="1" s="1"/>
  <c r="G41" i="1" s="1"/>
  <c r="H41" i="1" s="1"/>
  <c r="G66" i="1" s="1"/>
  <c r="Q33" i="1"/>
  <c r="O11" i="4"/>
  <c r="R18" i="3"/>
  <c r="O18" i="3"/>
  <c r="Y13" i="4"/>
  <c r="C20" i="3"/>
  <c r="P14" i="3"/>
  <c r="Q14" i="3" s="1"/>
  <c r="P80" i="3"/>
  <c r="Q6" i="4"/>
  <c r="S10" i="3"/>
  <c r="R81" i="3"/>
  <c r="V11" i="4"/>
  <c r="R59" i="3"/>
  <c r="H71" i="1" l="1"/>
  <c r="H72" i="1" s="1"/>
  <c r="H74" i="1" s="1"/>
  <c r="M14" i="1"/>
  <c r="G16" i="4" s="1"/>
  <c r="J30" i="1"/>
  <c r="L30" i="1" s="1"/>
  <c r="M23" i="1"/>
  <c r="M25" i="1" s="1"/>
  <c r="N25" i="1" s="1"/>
  <c r="Y14" i="4"/>
  <c r="C24" i="3" s="1"/>
  <c r="C22" i="3"/>
  <c r="O20" i="3"/>
  <c r="R20" i="3"/>
  <c r="O12" i="4"/>
  <c r="T10" i="3"/>
  <c r="P59" i="3"/>
  <c r="Q61" i="3"/>
  <c r="S61" i="3"/>
  <c r="V12" i="4"/>
  <c r="R6" i="4"/>
  <c r="S83" i="3"/>
  <c r="Q83" i="3" s="1"/>
  <c r="P81" i="3"/>
  <c r="P16" i="3"/>
  <c r="Q16" i="3" s="1"/>
  <c r="M5" i="4" l="1"/>
  <c r="Q30" i="1"/>
  <c r="M24" i="1"/>
  <c r="N24" i="1" s="1"/>
  <c r="J31" i="1" s="1"/>
  <c r="O24" i="3"/>
  <c r="O14" i="4"/>
  <c r="R24" i="3"/>
  <c r="O22" i="3"/>
  <c r="O13" i="4"/>
  <c r="R22" i="3"/>
  <c r="P82" i="3"/>
  <c r="V13" i="4"/>
  <c r="I39" i="4"/>
  <c r="H17" i="4"/>
  <c r="H18" i="4" s="1"/>
  <c r="J37" i="1"/>
  <c r="J36" i="1"/>
  <c r="J35" i="1"/>
  <c r="J32" i="1"/>
  <c r="J39" i="1"/>
  <c r="J34" i="1"/>
  <c r="J33" i="1"/>
  <c r="J38" i="1"/>
  <c r="M30" i="1"/>
  <c r="X5" i="4" s="1"/>
  <c r="P60" i="3"/>
  <c r="R83" i="3"/>
  <c r="R61" i="3"/>
  <c r="Q7" i="4"/>
  <c r="S12" i="3"/>
  <c r="P18" i="3"/>
  <c r="Q18" i="3" s="1"/>
  <c r="I41" i="4" l="1"/>
  <c r="M41" i="4" s="1"/>
  <c r="N30" i="1"/>
  <c r="P5" i="4" s="1"/>
  <c r="S5" i="4" s="1"/>
  <c r="T5" i="4" s="1"/>
  <c r="P20" i="3"/>
  <c r="Q20" i="3" s="1"/>
  <c r="T12" i="3"/>
  <c r="R7" i="4"/>
  <c r="S85" i="3"/>
  <c r="Q85" i="3" s="1"/>
  <c r="M15" i="1"/>
  <c r="N13" i="1" s="1"/>
  <c r="S63" i="3"/>
  <c r="Q63" i="3"/>
  <c r="P61" i="3"/>
  <c r="N40" i="4"/>
  <c r="N39" i="4"/>
  <c r="P83" i="3"/>
  <c r="V14" i="4"/>
  <c r="N41" i="4" l="1"/>
  <c r="N42" i="4" s="1"/>
  <c r="F42" i="4" s="1"/>
  <c r="K5" i="4"/>
  <c r="U5" i="4"/>
  <c r="G13" i="6"/>
  <c r="I32" i="1"/>
  <c r="I39" i="1"/>
  <c r="I35" i="1"/>
  <c r="I36" i="1"/>
  <c r="I37" i="1"/>
  <c r="I34" i="1"/>
  <c r="I31" i="1"/>
  <c r="I33" i="1"/>
  <c r="I38" i="1"/>
  <c r="K38" i="1"/>
  <c r="K33" i="1"/>
  <c r="K39" i="1"/>
  <c r="K34" i="1"/>
  <c r="K35" i="1"/>
  <c r="K31" i="1"/>
  <c r="K32" i="1"/>
  <c r="K37" i="1"/>
  <c r="K36" i="1"/>
  <c r="Q8" i="4"/>
  <c r="S14" i="3"/>
  <c r="P84" i="3"/>
  <c r="R63" i="3"/>
  <c r="P63" i="3" s="1"/>
  <c r="P22" i="3"/>
  <c r="Q22" i="3" s="1"/>
  <c r="P24" i="3" s="1"/>
  <c r="Q24" i="3" s="1"/>
  <c r="O40" i="4"/>
  <c r="P62" i="3"/>
  <c r="R85" i="3"/>
  <c r="P85" i="3" s="1"/>
  <c r="G42" i="6" l="1"/>
  <c r="I28" i="4" s="1"/>
  <c r="G48" i="6"/>
  <c r="G6" i="6"/>
  <c r="G38" i="6" s="1"/>
  <c r="I38" i="4" s="1"/>
  <c r="M38" i="4" s="1"/>
  <c r="G39" i="6"/>
  <c r="L9" i="4"/>
  <c r="L34" i="1"/>
  <c r="L14" i="4"/>
  <c r="L39" i="1"/>
  <c r="R8" i="4"/>
  <c r="S87" i="3"/>
  <c r="Q87" i="3" s="1"/>
  <c r="S65" i="3"/>
  <c r="Q65" i="3"/>
  <c r="T14" i="3"/>
  <c r="L13" i="4"/>
  <c r="L38" i="1"/>
  <c r="L12" i="4"/>
  <c r="L37" i="1"/>
  <c r="L7" i="4"/>
  <c r="L32" i="1"/>
  <c r="P86" i="3"/>
  <c r="P64" i="3"/>
  <c r="L8" i="4"/>
  <c r="L33" i="1"/>
  <c r="L11" i="4"/>
  <c r="L36" i="1"/>
  <c r="L6" i="4"/>
  <c r="L31" i="1"/>
  <c r="L10" i="4"/>
  <c r="L35" i="1"/>
  <c r="M28" i="4" l="1"/>
  <c r="M31" i="4"/>
  <c r="G45" i="6"/>
  <c r="G9" i="6"/>
  <c r="I31" i="4"/>
  <c r="M31" i="1"/>
  <c r="X6" i="4" s="1"/>
  <c r="M6" i="4" s="1"/>
  <c r="Q9" i="4"/>
  <c r="S16" i="3"/>
  <c r="R87" i="3"/>
  <c r="R65" i="3"/>
  <c r="P65" i="3" l="1"/>
  <c r="S67" i="3"/>
  <c r="Q67" i="3"/>
  <c r="R9" i="4"/>
  <c r="S89" i="3"/>
  <c r="Q89" i="3" s="1"/>
  <c r="P87" i="3"/>
  <c r="N31" i="1"/>
  <c r="T16" i="3"/>
  <c r="Q10" i="4" l="1"/>
  <c r="S18" i="3"/>
  <c r="P88" i="3"/>
  <c r="P6" i="4"/>
  <c r="S6" i="4" s="1"/>
  <c r="M32" i="1"/>
  <c r="R89" i="3"/>
  <c r="R67" i="3"/>
  <c r="P67" i="3" s="1"/>
  <c r="P66" i="3"/>
  <c r="P68" i="3" l="1"/>
  <c r="R10" i="4"/>
  <c r="S91" i="3"/>
  <c r="Q91" i="3" s="1"/>
  <c r="P89" i="3"/>
  <c r="Q69" i="3"/>
  <c r="S69" i="3"/>
  <c r="X7" i="4"/>
  <c r="M7" i="4" s="1"/>
  <c r="N32" i="1"/>
  <c r="K6" i="4"/>
  <c r="T6" i="4"/>
  <c r="U6" i="4"/>
  <c r="T18" i="3"/>
  <c r="P7" i="4" l="1"/>
  <c r="S7" i="4" s="1"/>
  <c r="M33" i="1"/>
  <c r="P90" i="3"/>
  <c r="Q11" i="4"/>
  <c r="S20" i="3"/>
  <c r="R69" i="3"/>
  <c r="R91" i="3"/>
  <c r="P91" i="3" s="1"/>
  <c r="P92" i="3" l="1"/>
  <c r="T20" i="3"/>
  <c r="P69" i="3"/>
  <c r="S71" i="3"/>
  <c r="Q71" i="3"/>
  <c r="X8" i="4"/>
  <c r="M8" i="4" s="1"/>
  <c r="N33" i="1"/>
  <c r="R11" i="4"/>
  <c r="S93" i="3"/>
  <c r="Q93" i="3" s="1"/>
  <c r="T7" i="4"/>
  <c r="K7" i="4"/>
  <c r="U7" i="4"/>
  <c r="Q12" i="4" l="1"/>
  <c r="S22" i="3"/>
  <c r="R93" i="3"/>
  <c r="P8" i="4"/>
  <c r="S8" i="4" s="1"/>
  <c r="M34" i="1"/>
  <c r="R71" i="3"/>
  <c r="P71" i="3" s="1"/>
  <c r="P72" i="3" s="1"/>
  <c r="P70" i="3"/>
  <c r="S73" i="3" l="1"/>
  <c r="Q73" i="3"/>
  <c r="T8" i="4"/>
  <c r="K8" i="4"/>
  <c r="U8" i="4"/>
  <c r="R12" i="4"/>
  <c r="P93" i="3"/>
  <c r="S95" i="3"/>
  <c r="Q95" i="3" s="1"/>
  <c r="T22" i="3"/>
  <c r="N34" i="1"/>
  <c r="X9" i="4"/>
  <c r="M9" i="4" s="1"/>
  <c r="R95" i="3" l="1"/>
  <c r="P95" i="3" s="1"/>
  <c r="R73" i="3"/>
  <c r="P73" i="3" s="1"/>
  <c r="P74" i="3" s="1"/>
  <c r="Q13" i="4"/>
  <c r="S24" i="3"/>
  <c r="P94" i="3"/>
  <c r="P9" i="4"/>
  <c r="S9" i="4" s="1"/>
  <c r="M35" i="1"/>
  <c r="N35" i="1" l="1"/>
  <c r="X10" i="4"/>
  <c r="M10" i="4" s="1"/>
  <c r="T9" i="4"/>
  <c r="K9" i="4"/>
  <c r="U9" i="4"/>
  <c r="T24" i="3"/>
  <c r="Q14" i="4" s="1"/>
  <c r="R13" i="4"/>
  <c r="S97" i="3"/>
  <c r="Q97" i="3" s="1"/>
  <c r="P96" i="3"/>
  <c r="R97" i="3" l="1"/>
  <c r="P10" i="4"/>
  <c r="S10" i="4" s="1"/>
  <c r="M36" i="1"/>
  <c r="T10" i="4" l="1"/>
  <c r="K10" i="4"/>
  <c r="U10" i="4"/>
  <c r="R14" i="4"/>
  <c r="P97" i="3"/>
  <c r="P98" i="3" s="1"/>
  <c r="N36" i="1"/>
  <c r="X11" i="4"/>
  <c r="M11" i="4" s="1"/>
  <c r="P11" i="4" l="1"/>
  <c r="S11" i="4" s="1"/>
  <c r="M37" i="1"/>
  <c r="N37" i="1" l="1"/>
  <c r="X12" i="4"/>
  <c r="M12" i="4" s="1"/>
  <c r="K11" i="4"/>
  <c r="T11" i="4"/>
  <c r="U11" i="4"/>
  <c r="P12" i="4" l="1"/>
  <c r="S12" i="4" s="1"/>
  <c r="M38" i="1"/>
  <c r="N38" i="1" l="1"/>
  <c r="X13" i="4"/>
  <c r="M13" i="4" s="1"/>
  <c r="K12" i="4"/>
  <c r="T12" i="4"/>
  <c r="U12" i="4"/>
  <c r="P13" i="4" l="1"/>
  <c r="S13" i="4" s="1"/>
  <c r="M39" i="1"/>
  <c r="N39" i="1" l="1"/>
  <c r="P14" i="4" s="1"/>
  <c r="S14" i="4" s="1"/>
  <c r="X14" i="4"/>
  <c r="M14" i="4" s="1"/>
  <c r="T13" i="4"/>
  <c r="K13" i="4"/>
  <c r="U13" i="4"/>
  <c r="K14" i="4" l="1"/>
  <c r="T14" i="4"/>
  <c r="U1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C12" authorId="0" shapeId="0" xr:uid="{00000000-0006-0000-0000-000001000000}">
      <text>
        <r>
          <rPr>
            <b/>
            <sz val="9"/>
            <color indexed="81"/>
            <rFont val="Tahoma"/>
            <family val="2"/>
          </rPr>
          <t>Handmatige bijstelling rentestijging</t>
        </r>
      </text>
    </comment>
    <comment ref="AC13" authorId="0" shapeId="0" xr:uid="{00000000-0006-0000-0000-000002000000}">
      <text>
        <r>
          <rPr>
            <b/>
            <sz val="9"/>
            <color indexed="81"/>
            <rFont val="Tahoma"/>
            <family val="2"/>
          </rPr>
          <t>Handmatige bijstelling rentestijging</t>
        </r>
      </text>
    </comment>
    <comment ref="AC14" authorId="0" shapeId="0" xr:uid="{00000000-0006-0000-0000-000003000000}">
      <text>
        <r>
          <rPr>
            <b/>
            <sz val="9"/>
            <color indexed="81"/>
            <rFont val="Tahoma"/>
            <family val="2"/>
          </rPr>
          <t>Handmatige bijstelling rentestijging</t>
        </r>
      </text>
    </comment>
    <comment ref="AC19" authorId="0" shapeId="0" xr:uid="{00000000-0006-0000-0000-000004000000}">
      <text>
        <r>
          <rPr>
            <b/>
            <sz val="9"/>
            <color indexed="81"/>
            <rFont val="Tahoma"/>
            <family val="2"/>
          </rPr>
          <t>Handmatige bijstelling investeringsruimte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Z1" authorId="0" shapeId="0" xr:uid="{00000000-0006-0000-0200-000001000000}">
      <text>
        <r>
          <rPr>
            <b/>
            <sz val="9"/>
            <color indexed="81"/>
            <rFont val="Tahoma"/>
            <family val="2"/>
          </rPr>
          <t>Jan van der Lei:</t>
        </r>
        <r>
          <rPr>
            <sz val="9"/>
            <color indexed="81"/>
            <rFont val="Tahoma"/>
            <family val="2"/>
          </rPr>
          <t xml:space="preserve">
Bron: DNB gemiddelde rente tien jaars staatslening.</t>
        </r>
      </text>
    </comment>
    <comment ref="AA1" authorId="0" shapeId="0" xr:uid="{00000000-0006-0000-0200-000002000000}">
      <text>
        <r>
          <rPr>
            <sz val="9"/>
            <color indexed="81"/>
            <rFont val="Tahoma"/>
            <family val="2"/>
          </rPr>
          <t>spread in overeenkomst BNG is 0,35% -  0,4% t.o.v. Euribor.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N13" authorId="0" shapeId="0" xr:uid="{00000000-0006-0000-0300-000001000000}">
      <text>
        <r>
          <rPr>
            <b/>
            <sz val="9"/>
            <color indexed="81"/>
            <rFont val="Tahoma"/>
            <family val="2"/>
          </rPr>
          <t>Jan van der Lei:</t>
        </r>
        <r>
          <rPr>
            <sz val="9"/>
            <color indexed="81"/>
            <rFont val="Tahoma"/>
            <family val="2"/>
          </rPr>
          <t xml:space="preserve">
Invulling inkomstenverhoging 1 / 5 deel belastingverhoging per jaar i.v.m. noemereffect schuldquote.</t>
        </r>
      </text>
    </comment>
    <comment ref="K31" authorId="0" shapeId="0" xr:uid="{00000000-0006-0000-0300-000002000000}">
      <text>
        <r>
          <rPr>
            <b/>
            <sz val="9"/>
            <color indexed="81"/>
            <rFont val="Tahoma"/>
            <family val="2"/>
          </rPr>
          <t>Jan van der Lei:</t>
        </r>
        <r>
          <rPr>
            <sz val="9"/>
            <color indexed="81"/>
            <rFont val="Tahoma"/>
            <family val="2"/>
          </rPr>
          <t xml:space="preserve">
Boven 0,5 ombuigingspotentieel correctie voor opplussen inkomsten met benutting belastingcapaciteit. </t>
        </r>
      </text>
    </comment>
    <comment ref="H41" authorId="0" shapeId="0" xr:uid="{00000000-0006-0000-0300-000003000000}">
      <text>
        <r>
          <rPr>
            <b/>
            <sz val="9"/>
            <color indexed="81"/>
            <rFont val="Tahoma"/>
            <family val="2"/>
          </rPr>
          <t xml:space="preserve">correctie voor berekening juiste groeipercentage uitgaven </t>
        </r>
      </text>
    </comment>
    <comment ref="H60" authorId="0" shapeId="0" xr:uid="{00000000-0006-0000-0300-000004000000}">
      <text>
        <r>
          <rPr>
            <b/>
            <sz val="9"/>
            <color indexed="81"/>
            <rFont val="Tahoma"/>
            <family val="2"/>
          </rPr>
          <t>correctie voor berekening juiste groeipercentage inkomsten</t>
        </r>
      </text>
    </comment>
    <comment ref="H70" authorId="0" shapeId="0" xr:uid="{00000000-0006-0000-0300-000005000000}">
      <text>
        <r>
          <rPr>
            <b/>
            <sz val="9"/>
            <color indexed="81"/>
            <rFont val="Tahoma"/>
            <family val="2"/>
          </rPr>
          <t>Jan van der Lei:</t>
        </r>
        <r>
          <rPr>
            <sz val="9"/>
            <color indexed="81"/>
            <rFont val="Tahoma"/>
            <family val="2"/>
          </rPr>
          <t xml:space="preserve">
half jaar rente over financieringsresulltaat exploitatie exlcusief rente over rente</t>
        </r>
      </text>
    </comment>
    <comment ref="H71" authorId="0" shapeId="0" xr:uid="{00000000-0006-0000-0300-000006000000}">
      <text>
        <r>
          <rPr>
            <b/>
            <sz val="9"/>
            <color indexed="81"/>
            <rFont val="Tahoma"/>
            <family val="2"/>
          </rPr>
          <t>Jan van der Lei:</t>
        </r>
        <r>
          <rPr>
            <sz val="9"/>
            <color indexed="81"/>
            <rFont val="Tahoma"/>
            <family val="2"/>
          </rPr>
          <t xml:space="preserve">
Dit is het renteresultaat over financieringsstroom exploitatie</t>
        </r>
      </text>
    </comment>
    <comment ref="H72" authorId="0" shapeId="0" xr:uid="{00000000-0006-0000-0300-000007000000}">
      <text>
        <r>
          <rPr>
            <b/>
            <sz val="9"/>
            <color indexed="81"/>
            <rFont val="Tahoma"/>
            <family val="2"/>
          </rPr>
          <t>Jan van der Lei:</t>
        </r>
        <r>
          <rPr>
            <sz val="9"/>
            <color indexed="81"/>
            <rFont val="Tahoma"/>
            <family val="2"/>
          </rPr>
          <t xml:space="preserve">
benodigde correctie voor rente over rente. (verwaarloosbare afwijking).
</t>
        </r>
      </text>
    </comment>
    <comment ref="H73" authorId="0" shapeId="0" xr:uid="{00000000-0006-0000-0300-000008000000}">
      <text>
        <r>
          <rPr>
            <b/>
            <sz val="9"/>
            <color indexed="81"/>
            <rFont val="Tahoma"/>
            <family val="2"/>
          </rPr>
          <t>Jan van der Lei:</t>
        </r>
        <r>
          <rPr>
            <sz val="9"/>
            <color indexed="81"/>
            <rFont val="Tahoma"/>
            <family val="2"/>
          </rPr>
          <t xml:space="preserve">
rente over het renteresultaat inkomsten en uitgaven plus correctie rente mutatie voorzieningen</t>
        </r>
      </text>
    </comment>
    <comment ref="H74" authorId="0" shapeId="0" xr:uid="{924355CE-A186-4040-8499-7E636EEC3508}">
      <text>
        <r>
          <rPr>
            <b/>
            <sz val="9"/>
            <color indexed="81"/>
            <rFont val="Tahoma"/>
            <family val="2"/>
          </rPr>
          <t>Jan van der Lei:</t>
        </r>
        <r>
          <rPr>
            <sz val="9"/>
            <color indexed="81"/>
            <rFont val="Tahoma"/>
            <family val="2"/>
          </rPr>
          <t xml:space="preserve">
afwijking in procenten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E1" authorId="0" shapeId="0" xr:uid="{00000000-0006-0000-0600-000001000000}">
      <text>
        <r>
          <rPr>
            <b/>
            <sz val="9"/>
            <color indexed="81"/>
            <rFont val="Tahoma"/>
            <family val="2"/>
          </rPr>
          <t>Jan van der Lei:</t>
        </r>
        <r>
          <rPr>
            <sz val="9"/>
            <color indexed="81"/>
            <rFont val="Tahoma"/>
            <family val="2"/>
          </rPr>
          <t xml:space="preserve">
2013 is 138,66 per inwoner. Dat leidt tot een afschrijvingspercentage van 4,3377%. Dat toegepast op boekwaarde Ned mat activa 2015 en delen door aantal inwoners 2015 leidt tot 143,36 per inwoner.
</t>
        </r>
      </text>
    </comment>
    <comment ref="Y1" authorId="0" shapeId="0" xr:uid="{00000000-0006-0000-0600-000002000000}">
      <text>
        <r>
          <rPr>
            <b/>
            <sz val="9"/>
            <color indexed="81"/>
            <rFont val="Tahoma"/>
            <family val="2"/>
          </rPr>
          <t>Jan van der Lei:</t>
        </r>
        <r>
          <rPr>
            <sz val="9"/>
            <color indexed="81"/>
            <rFont val="Tahoma"/>
            <family val="2"/>
          </rPr>
          <t xml:space="preserve">
begroting 2018</t>
        </r>
      </text>
    </comment>
    <comment ref="Z1" authorId="0" shapeId="0" xr:uid="{00000000-0006-0000-0600-000003000000}">
      <text>
        <r>
          <rPr>
            <b/>
            <sz val="9"/>
            <color indexed="81"/>
            <rFont val="Tahoma"/>
            <family val="2"/>
          </rPr>
          <t>Jan van der Lei:</t>
        </r>
        <r>
          <rPr>
            <sz val="9"/>
            <color indexed="81"/>
            <rFont val="Tahoma"/>
            <family val="2"/>
          </rPr>
          <t xml:space="preserve">
Begroting 2018</t>
        </r>
      </text>
    </comment>
    <comment ref="S31" authorId="0" shapeId="0" xr:uid="{00000000-0006-0000-0600-000004000000}">
      <text>
        <r>
          <rPr>
            <b/>
            <sz val="9"/>
            <color indexed="81"/>
            <rFont val="Tahoma"/>
            <family val="2"/>
          </rPr>
          <t>Jan van der Lei:</t>
        </r>
        <r>
          <rPr>
            <sz val="9"/>
            <color indexed="81"/>
            <rFont val="Tahoma"/>
            <family val="2"/>
          </rPr>
          <t xml:space="preserve">
Alleen Groesbeek in cijfers opendata 2015</t>
        </r>
      </text>
    </comment>
    <comment ref="T31" authorId="0" shapeId="0" xr:uid="{00000000-0006-0000-0600-000005000000}">
      <text>
        <r>
          <rPr>
            <b/>
            <sz val="9"/>
            <color indexed="81"/>
            <rFont val="Tahoma"/>
            <family val="2"/>
          </rPr>
          <t>Jan van der Lei:</t>
        </r>
        <r>
          <rPr>
            <sz val="9"/>
            <color indexed="81"/>
            <rFont val="Tahoma"/>
            <family val="2"/>
          </rPr>
          <t xml:space="preserve">
alleen Groesbeek in cijfers opendata 2015</t>
        </r>
      </text>
    </comment>
    <comment ref="S62" authorId="0" shapeId="0" xr:uid="{00000000-0006-0000-0600-000006000000}">
      <text>
        <r>
          <rPr>
            <b/>
            <sz val="9"/>
            <color indexed="81"/>
            <rFont val="Tahoma"/>
            <family val="2"/>
          </rPr>
          <t>Jan van der Lei:</t>
        </r>
        <r>
          <rPr>
            <sz val="9"/>
            <color indexed="81"/>
            <rFont val="Tahoma"/>
            <family val="2"/>
          </rPr>
          <t xml:space="preserve">
gemeente en cijfer ontbreken in opendata cbs 2015</t>
        </r>
      </text>
    </comment>
    <comment ref="T62" authorId="0" shapeId="0" xr:uid="{00000000-0006-0000-0600-000007000000}">
      <text>
        <r>
          <rPr>
            <b/>
            <sz val="9"/>
            <color indexed="81"/>
            <rFont val="Tahoma"/>
            <family val="2"/>
          </rPr>
          <t>Jan van der Lei:</t>
        </r>
        <r>
          <rPr>
            <sz val="9"/>
            <color indexed="81"/>
            <rFont val="Tahoma"/>
            <family val="2"/>
          </rPr>
          <t xml:space="preserve">
gemeente en cijfer ontbreken in opendata 2015 cbs</t>
        </r>
      </text>
    </comment>
    <comment ref="AA128" authorId="0" shapeId="0" xr:uid="{00000000-0006-0000-0600-000008000000}">
      <text>
        <r>
          <rPr>
            <b/>
            <sz val="9"/>
            <color indexed="81"/>
            <rFont val="Tahoma"/>
            <family val="2"/>
          </rPr>
          <t>Jan van der Lei:</t>
        </r>
        <r>
          <rPr>
            <sz val="9"/>
            <color indexed="81"/>
            <rFont val="Tahoma"/>
            <family val="2"/>
          </rPr>
          <t xml:space="preserve">
5742494 + BH
578572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E1" authorId="0" shapeId="0" xr:uid="{8FFFD392-BF21-4CB9-8712-B4121281457F}">
      <text>
        <r>
          <rPr>
            <b/>
            <sz val="9"/>
            <color indexed="81"/>
            <rFont val="Tahoma"/>
            <family val="2"/>
          </rPr>
          <t>Jan van der Lei:</t>
        </r>
        <r>
          <rPr>
            <sz val="9"/>
            <color indexed="81"/>
            <rFont val="Tahoma"/>
            <family val="2"/>
          </rPr>
          <t xml:space="preserve">
Betreft cijfers begroting 2018.</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van der Lei</author>
  </authors>
  <commentList>
    <comment ref="AC1" authorId="0" shapeId="0" xr:uid="{00000000-0006-0000-0900-000001000000}">
      <text>
        <r>
          <rPr>
            <b/>
            <sz val="9"/>
            <color indexed="81"/>
            <rFont val="Tahoma"/>
            <family val="2"/>
          </rPr>
          <t>Jan van der Lei:</t>
        </r>
        <r>
          <rPr>
            <sz val="9"/>
            <color indexed="81"/>
            <rFont val="Tahoma"/>
            <family val="2"/>
          </rPr>
          <t xml:space="preserve">
pag 137 Meicirculaire Gf redelijk tarief 0,1952%   </t>
        </r>
      </text>
    </comment>
  </commentList>
</comments>
</file>

<file path=xl/sharedStrings.xml><?xml version="1.0" encoding="utf-8"?>
<sst xmlns="http://schemas.openxmlformats.org/spreadsheetml/2006/main" count="7988" uniqueCount="1348">
  <si>
    <t>Groeivoeten</t>
  </si>
  <si>
    <t>Inflatie</t>
  </si>
  <si>
    <t>Loonstijging</t>
  </si>
  <si>
    <t>Rente</t>
  </si>
  <si>
    <t>a.</t>
  </si>
  <si>
    <t>b.</t>
  </si>
  <si>
    <t>c.</t>
  </si>
  <si>
    <t>Totaal a.</t>
  </si>
  <si>
    <t>Totaal b.</t>
  </si>
  <si>
    <t>Totaal c.</t>
  </si>
  <si>
    <t>d.</t>
  </si>
  <si>
    <t>Totaal d.</t>
  </si>
  <si>
    <t>e.</t>
  </si>
  <si>
    <t>Totaal e.</t>
  </si>
  <si>
    <t>f.</t>
  </si>
  <si>
    <t>g.</t>
  </si>
  <si>
    <t>Totaal f.</t>
  </si>
  <si>
    <t>Totaal g.</t>
  </si>
  <si>
    <t>Groei inwoners Nederland</t>
  </si>
  <si>
    <t>Groeivoet totale inkomsten</t>
  </si>
  <si>
    <t>Inkomsten</t>
  </si>
  <si>
    <t>Jaar</t>
  </si>
  <si>
    <t>Uitgaven</t>
  </si>
  <si>
    <t>Groei inwoners gemeente</t>
  </si>
  <si>
    <t>Rente 10 jaar lening</t>
  </si>
  <si>
    <t>Kapitaalverstrekkingen</t>
  </si>
  <si>
    <t>Overige voorraden</t>
  </si>
  <si>
    <t>Overlopende activa</t>
  </si>
  <si>
    <t>Overlopende passiva</t>
  </si>
  <si>
    <t>Slechtweerscenario</t>
  </si>
  <si>
    <t xml:space="preserve">Rente 1 jaarslening </t>
  </si>
  <si>
    <t xml:space="preserve">Rente doorgeleend geld </t>
  </si>
  <si>
    <t>Crediteuren</t>
  </si>
  <si>
    <t>Leningen aan verbonden partijen oud</t>
  </si>
  <si>
    <t>Langlopende leningen derden oud</t>
  </si>
  <si>
    <t>Langlopende uitzettingen oud</t>
  </si>
  <si>
    <t>Onderhandse leningen oud</t>
  </si>
  <si>
    <t>Overige vaste schuld oud</t>
  </si>
  <si>
    <t>Rente liquide middelen</t>
  </si>
  <si>
    <t>Leningen derden nieuw</t>
  </si>
  <si>
    <t>Herfinanciering nieuw</t>
  </si>
  <si>
    <t xml:space="preserve">Netto financiering </t>
  </si>
  <si>
    <t>Rente financiering</t>
  </si>
  <si>
    <t>Percentage</t>
  </si>
  <si>
    <t>Afschrijving leningen derden</t>
  </si>
  <si>
    <t xml:space="preserve">Afschrijving leningen verbonden partijen </t>
  </si>
  <si>
    <t>Ombuigingen</t>
  </si>
  <si>
    <t>Financieringsresultaat exploitatie met schok</t>
  </si>
  <si>
    <t>Netto financieringsresultaat</t>
  </si>
  <si>
    <t>Ombuigingspotentieel</t>
  </si>
  <si>
    <t xml:space="preserve">Effectiviteit pol.&amp; org. </t>
  </si>
  <si>
    <t>Financieringsresultaat expl.</t>
  </si>
  <si>
    <t>Netto financiering</t>
  </si>
  <si>
    <t>Opbrengst verkoop 2019</t>
  </si>
  <si>
    <t>Opbrengst verkoop 2020</t>
  </si>
  <si>
    <t>Opbrengst verkoop 2021</t>
  </si>
  <si>
    <t>Opbrengst verkoop 2022</t>
  </si>
  <si>
    <t>Balans netto financiering en financieringsresultaat met schok</t>
  </si>
  <si>
    <t>Netto schuldquote</t>
  </si>
  <si>
    <t>Doorgeleend geld</t>
  </si>
  <si>
    <t>Financiering bezit normaal</t>
  </si>
  <si>
    <t>Financiering bezit met schok</t>
  </si>
  <si>
    <t>Fin.result.financiering</t>
  </si>
  <si>
    <t>Fin.result.bezit</t>
  </si>
  <si>
    <t>Groei inwoners Ned.</t>
  </si>
  <si>
    <t xml:space="preserve">Groei inwoners gemeente </t>
  </si>
  <si>
    <t>Fin.expl.</t>
  </si>
  <si>
    <t>Fin.bezit</t>
  </si>
  <si>
    <t xml:space="preserve">Fin.finan. </t>
  </si>
  <si>
    <t>©</t>
  </si>
  <si>
    <t>Groei bedrijfsvestigingen</t>
  </si>
  <si>
    <t>Algemene uitkering</t>
  </si>
  <si>
    <t>Onroerende zaak belasting woningen</t>
  </si>
  <si>
    <t>Afvalstoffenheffing</t>
  </si>
  <si>
    <t>Rioolheffing</t>
  </si>
  <si>
    <t>Secretarieleges</t>
  </si>
  <si>
    <t>Bouwleges</t>
  </si>
  <si>
    <t>Toeristenbelasting</t>
  </si>
  <si>
    <t>Marktgelden</t>
  </si>
  <si>
    <t>Sportcomplexen</t>
  </si>
  <si>
    <t xml:space="preserve">Groei inkomsten is gelijk aan inflatie &amp; economische groei &amp; groei bedrijfsvestigingen </t>
  </si>
  <si>
    <t>Groei inkomsten is gelijk aan loonstijging &amp; groei inwoners</t>
  </si>
  <si>
    <t>Specifieke uitkeringen onderwijs</t>
  </si>
  <si>
    <t>Uitkeringen bijstand inclusief BBZ</t>
  </si>
  <si>
    <t>Uitleenquote</t>
  </si>
  <si>
    <t>Solvabiliteitsratio</t>
  </si>
  <si>
    <t>Inwoners</t>
  </si>
  <si>
    <t>Gemeente</t>
  </si>
  <si>
    <r>
      <t xml:space="preserve">Inkomsten uit gewone exploitatie </t>
    </r>
    <r>
      <rPr>
        <sz val="10"/>
        <color theme="1"/>
        <rFont val="Arial"/>
        <family val="2"/>
      </rPr>
      <t>(exclusief rente en voor bestemming reserves)</t>
    </r>
  </si>
  <si>
    <r>
      <t xml:space="preserve">Uitgaven uit gewone exploitatie </t>
    </r>
    <r>
      <rPr>
        <sz val="10"/>
        <color theme="1"/>
        <rFont val="Arial"/>
        <family val="2"/>
      </rPr>
      <t>(exclusief afschrijvingen, rente en voor bestemming reserves)</t>
    </r>
  </si>
  <si>
    <t>Schuldratio</t>
  </si>
  <si>
    <t>Inwonergevoeligheid Alg.Uitk.</t>
  </si>
  <si>
    <t xml:space="preserve">In euro </t>
  </si>
  <si>
    <t>Huren &amp; pachten</t>
  </si>
  <si>
    <t xml:space="preserve">Groei inkomsten is gelijk aan 0,8 * inflatie &amp; 0,2 * loonstijging &amp; groei inwoners </t>
  </si>
  <si>
    <t>Rente-inkomsten uitzettingen</t>
  </si>
  <si>
    <t>Fin.resultaat bezit</t>
  </si>
  <si>
    <t>Parkeerbelasting</t>
  </si>
  <si>
    <t>Investeringen</t>
  </si>
  <si>
    <t>Financieringstructuur</t>
  </si>
  <si>
    <t>Overige specifieke uitkeringen</t>
  </si>
  <si>
    <t>Rente kortlopende schuld</t>
  </si>
  <si>
    <t>Houdbaarheidstest gemeentefinanciën</t>
  </si>
  <si>
    <t>Precario</t>
  </si>
  <si>
    <t>Dividend</t>
  </si>
  <si>
    <t>Kaptaalverstrekkingen</t>
  </si>
  <si>
    <t>Leningen aan verbonden partijen</t>
  </si>
  <si>
    <t>Leningen aan derden</t>
  </si>
  <si>
    <t>Langlopende uitzettingen</t>
  </si>
  <si>
    <t>Balanstotaal</t>
  </si>
  <si>
    <t>Debet</t>
  </si>
  <si>
    <t>Credit</t>
  </si>
  <si>
    <t>Investering 2023</t>
  </si>
  <si>
    <t>Opbrengst verkoop 2023</t>
  </si>
  <si>
    <t>Groei bedrijfsvestigingen per jaar</t>
  </si>
  <si>
    <t>Rentekosten leningen</t>
  </si>
  <si>
    <t>Eind</t>
  </si>
  <si>
    <t>Rentekosten</t>
  </si>
  <si>
    <t>Lopende uitgaven</t>
  </si>
  <si>
    <t>excl. bouwgrondexpl.</t>
  </si>
  <si>
    <t>incl. bouwgrondexpl.</t>
  </si>
  <si>
    <t>Scenario</t>
  </si>
  <si>
    <t>Nieuwe leningen verbonden partijen</t>
  </si>
  <si>
    <t>Nieuwe leningen aan derden</t>
  </si>
  <si>
    <t>Rente 10 jaar staatslening</t>
  </si>
  <si>
    <t>Rente uitgeleend</t>
  </si>
  <si>
    <t>Rente langlopende lening</t>
  </si>
  <si>
    <t>jaar</t>
  </si>
  <si>
    <t>looptijd</t>
  </si>
  <si>
    <t>Aa en Hunze</t>
  </si>
  <si>
    <t>Assen</t>
  </si>
  <si>
    <t>Borger-Odoorn</t>
  </si>
  <si>
    <t>Coevorden</t>
  </si>
  <si>
    <t>Emmen</t>
  </si>
  <si>
    <t>Hoogeveen</t>
  </si>
  <si>
    <t>Meppel</t>
  </si>
  <si>
    <t>Midden-Drenthe</t>
  </si>
  <si>
    <t>Noordenveld</t>
  </si>
  <si>
    <t>Tynaarlo</t>
  </si>
  <si>
    <t>Westerveld</t>
  </si>
  <si>
    <t>De Wolden</t>
  </si>
  <si>
    <t>Midden</t>
  </si>
  <si>
    <t>Appingedam</t>
  </si>
  <si>
    <t>Bedum</t>
  </si>
  <si>
    <t>Bellingwedde</t>
  </si>
  <si>
    <t>De Marne</t>
  </si>
  <si>
    <t>Delfzijl</t>
  </si>
  <si>
    <t>Eemsmond</t>
  </si>
  <si>
    <t>Groningen</t>
  </si>
  <si>
    <t>Grootegast</t>
  </si>
  <si>
    <t>Haren</t>
  </si>
  <si>
    <t>Hoogezand-Sappemeer</t>
  </si>
  <si>
    <t>Leek</t>
  </si>
  <si>
    <t>Loppersum</t>
  </si>
  <si>
    <t>Marum</t>
  </si>
  <si>
    <t>Menterwolde</t>
  </si>
  <si>
    <t>Oldambt</t>
  </si>
  <si>
    <t>Pekela</t>
  </si>
  <si>
    <t>Slochteren</t>
  </si>
  <si>
    <t>Stadskanaal</t>
  </si>
  <si>
    <t>Ten Boer</t>
  </si>
  <si>
    <t>Veendam</t>
  </si>
  <si>
    <t>Vlagtwedde</t>
  </si>
  <si>
    <t>Winsum</t>
  </si>
  <si>
    <t>Zuidhorn</t>
  </si>
  <si>
    <t>Achtkarspelen</t>
  </si>
  <si>
    <t>Ameland</t>
  </si>
  <si>
    <t>Dantumadiel</t>
  </si>
  <si>
    <t>Dongeradeel</t>
  </si>
  <si>
    <t>Ferwerderadiel</t>
  </si>
  <si>
    <t>Franekeradeel</t>
  </si>
  <si>
    <t>Harlingen</t>
  </si>
  <si>
    <t>Heerenveen</t>
  </si>
  <si>
    <t>Leeuwarden</t>
  </si>
  <si>
    <t>Leeuwarderadeel</t>
  </si>
  <si>
    <t>Littenseradiel</t>
  </si>
  <si>
    <t>Menameradiel</t>
  </si>
  <si>
    <t>Ooststellingwerf</t>
  </si>
  <si>
    <t>Opsterland</t>
  </si>
  <si>
    <t>Schiermonnikoog</t>
  </si>
  <si>
    <t>Smallingerland</t>
  </si>
  <si>
    <t>Terschelling</t>
  </si>
  <si>
    <t>Tytsjerksteradiel</t>
  </si>
  <si>
    <t>Vlieland</t>
  </si>
  <si>
    <t>Weststellingwerf</t>
  </si>
  <si>
    <t>Almelo</t>
  </si>
  <si>
    <t>Borne</t>
  </si>
  <si>
    <t>Dalfsen</t>
  </si>
  <si>
    <t>Deventer</t>
  </si>
  <si>
    <t>Dinkelland</t>
  </si>
  <si>
    <t>Enschede</t>
  </si>
  <si>
    <t>Haaksbergen</t>
  </si>
  <si>
    <t>Hardenberg</t>
  </si>
  <si>
    <t>Hellendoorn</t>
  </si>
  <si>
    <t>Hof van Twente</t>
  </si>
  <si>
    <t>Kampen</t>
  </si>
  <si>
    <t>Losser</t>
  </si>
  <si>
    <t>Oldenzaal</t>
  </si>
  <si>
    <t>Olst-Wijhe</t>
  </si>
  <si>
    <t>Ommen</t>
  </si>
  <si>
    <t>Raalte</t>
  </si>
  <si>
    <t>Rijssen-Holten</t>
  </si>
  <si>
    <t>Staphorst</t>
  </si>
  <si>
    <t>Steenwijkerland</t>
  </si>
  <si>
    <t>Tubbergen</t>
  </si>
  <si>
    <t>Twenterand</t>
  </si>
  <si>
    <t>Wierden</t>
  </si>
  <si>
    <t>Zwartewaterland</t>
  </si>
  <si>
    <t>Zwolle</t>
  </si>
  <si>
    <t>Aalten</t>
  </si>
  <si>
    <t>Apeldoorn</t>
  </si>
  <si>
    <t>Arnhem</t>
  </si>
  <si>
    <t>Barneveld</t>
  </si>
  <si>
    <t>Berkelland</t>
  </si>
  <si>
    <t>Beuningen</t>
  </si>
  <si>
    <t>Bronckhorst</t>
  </si>
  <si>
    <t>Brummen</t>
  </si>
  <si>
    <t>Buren</t>
  </si>
  <si>
    <t>Culemborg</t>
  </si>
  <si>
    <t>Doesburg</t>
  </si>
  <si>
    <t>Doetinchem</t>
  </si>
  <si>
    <t>Druten</t>
  </si>
  <si>
    <t>Duiven</t>
  </si>
  <si>
    <t>Ede</t>
  </si>
  <si>
    <t>Elburg</t>
  </si>
  <si>
    <t>Epe</t>
  </si>
  <si>
    <t>Ermelo</t>
  </si>
  <si>
    <t>Geldermalsen</t>
  </si>
  <si>
    <t>Harderwijk</t>
  </si>
  <si>
    <t>Hattem</t>
  </si>
  <si>
    <t>Heerde</t>
  </si>
  <si>
    <t>Heumen</t>
  </si>
  <si>
    <t>Lingewaal</t>
  </si>
  <si>
    <t>Lingewaard</t>
  </si>
  <si>
    <t>Lochem</t>
  </si>
  <si>
    <t>Maasdriel</t>
  </si>
  <si>
    <t>Montferland</t>
  </si>
  <si>
    <t>Neder-Betuwe</t>
  </si>
  <si>
    <t>Neerijnen</t>
  </si>
  <si>
    <t>Nijkerk</t>
  </si>
  <si>
    <t>Nijmegen</t>
  </si>
  <si>
    <t>Nunspeet</t>
  </si>
  <si>
    <t>Oldebroek</t>
  </si>
  <si>
    <t>Oost Gelre</t>
  </si>
  <si>
    <t>Oude IJsselstreek</t>
  </si>
  <si>
    <t>Overbetuwe</t>
  </si>
  <si>
    <t>Putten</t>
  </si>
  <si>
    <t>Renkum</t>
  </si>
  <si>
    <t>Rheden</t>
  </si>
  <si>
    <t>Rijnwaarden</t>
  </si>
  <si>
    <t>Rozendaal</t>
  </si>
  <si>
    <t>Scherpenzeel</t>
  </si>
  <si>
    <t>Tiel</t>
  </si>
  <si>
    <t>Voorst</t>
  </si>
  <si>
    <t>Wageningen</t>
  </si>
  <si>
    <t>West Maas en Waal</t>
  </si>
  <si>
    <t>Westervoort</t>
  </si>
  <si>
    <t>Wijchen</t>
  </si>
  <si>
    <t>Winterswijk</t>
  </si>
  <si>
    <t>Zaltbommel</t>
  </si>
  <si>
    <t>Zevenaar</t>
  </si>
  <si>
    <t>Zutphen</t>
  </si>
  <si>
    <t>Amersfoort</t>
  </si>
  <si>
    <t>Baarn</t>
  </si>
  <si>
    <t>Bunnik</t>
  </si>
  <si>
    <t>Bunschoten</t>
  </si>
  <si>
    <t>De Bilt</t>
  </si>
  <si>
    <t>De Ronde Venen</t>
  </si>
  <si>
    <t>Eemnes</t>
  </si>
  <si>
    <t>Houten</t>
  </si>
  <si>
    <t>IJsselstein</t>
  </si>
  <si>
    <t>Leusden</t>
  </si>
  <si>
    <t>Lopik</t>
  </si>
  <si>
    <t>Nieuwegein</t>
  </si>
  <si>
    <t>Oudewater</t>
  </si>
  <si>
    <t>Renswoude</t>
  </si>
  <si>
    <t>Rhenen</t>
  </si>
  <si>
    <t>Soest</t>
  </si>
  <si>
    <t>Stichtse Vecht</t>
  </si>
  <si>
    <t>Utrecht</t>
  </si>
  <si>
    <t>Utrechtse Heuvelrug</t>
  </si>
  <si>
    <t>Veenendaal</t>
  </si>
  <si>
    <t>Vianen</t>
  </si>
  <si>
    <t>Wijk bij Duurstede</t>
  </si>
  <si>
    <t>Woerden</t>
  </si>
  <si>
    <t>Woudenberg</t>
  </si>
  <si>
    <t>Zeist</t>
  </si>
  <si>
    <t>Aalsmeer</t>
  </si>
  <si>
    <t>Alkmaar</t>
  </si>
  <si>
    <t>Amstelveen</t>
  </si>
  <si>
    <t>Amsterdam</t>
  </si>
  <si>
    <t>Beemster</t>
  </si>
  <si>
    <t>Beverwijk</t>
  </si>
  <si>
    <t>Blaricum</t>
  </si>
  <si>
    <t>Bloemendaal</t>
  </si>
  <si>
    <t>Castricum</t>
  </si>
  <si>
    <t>Den Helder</t>
  </si>
  <si>
    <t>Diemen</t>
  </si>
  <si>
    <t>Drechterland</t>
  </si>
  <si>
    <t>Edam-Volendam</t>
  </si>
  <si>
    <t>Enkhuizen</t>
  </si>
  <si>
    <t>Haarlem</t>
  </si>
  <si>
    <t>Haarlemmermeer</t>
  </si>
  <si>
    <t>Heemskerk</t>
  </si>
  <si>
    <t>Heemstede</t>
  </si>
  <si>
    <t>Heerhugowaard</t>
  </si>
  <si>
    <t>Heiloo</t>
  </si>
  <si>
    <t>Hilversum</t>
  </si>
  <si>
    <t>Hollands Kroon</t>
  </si>
  <si>
    <t>Hoorn</t>
  </si>
  <si>
    <t>Huizen</t>
  </si>
  <si>
    <t>Koggenland</t>
  </si>
  <si>
    <t>Landsmeer</t>
  </si>
  <si>
    <t>Langedijk</t>
  </si>
  <si>
    <t>Laren</t>
  </si>
  <si>
    <t>Medemblik</t>
  </si>
  <si>
    <t>Oostzaan</t>
  </si>
  <si>
    <t>Opmeer</t>
  </si>
  <si>
    <t>Ouder-Amstel</t>
  </si>
  <si>
    <t>Purmerend</t>
  </si>
  <si>
    <t>Schagen</t>
  </si>
  <si>
    <t>Stede Broec</t>
  </si>
  <si>
    <t>Texel</t>
  </si>
  <si>
    <t>Uitgeest</t>
  </si>
  <si>
    <t>Uithoorn</t>
  </si>
  <si>
    <t>Velsen</t>
  </si>
  <si>
    <t>Waterland</t>
  </si>
  <si>
    <t>Weesp</t>
  </si>
  <si>
    <t>Wijdemeren</t>
  </si>
  <si>
    <t>Wormerland</t>
  </si>
  <si>
    <t>Zaanstad</t>
  </si>
  <si>
    <t>Zandvoort</t>
  </si>
  <si>
    <t>Alblasserdam</t>
  </si>
  <si>
    <t>Albrandswaard</t>
  </si>
  <si>
    <t>Alphen aan den Rijn</t>
  </si>
  <si>
    <t>Barendrecht</t>
  </si>
  <si>
    <t>Binnenmaas</t>
  </si>
  <si>
    <t>Bodegraven-Reeuwijk</t>
  </si>
  <si>
    <t>Brielle</t>
  </si>
  <si>
    <t>Capelle aan den IJssel</t>
  </si>
  <si>
    <t>Cromstrijen</t>
  </si>
  <si>
    <t>Delft</t>
  </si>
  <si>
    <t>Dordrecht</t>
  </si>
  <si>
    <t>Giessenlanden</t>
  </si>
  <si>
    <t>Goeree-Overflakkee</t>
  </si>
  <si>
    <t>Gorinchem</t>
  </si>
  <si>
    <t>Gouda</t>
  </si>
  <si>
    <t>Hardinxveld-Giessendam</t>
  </si>
  <si>
    <t>Hellevoetsluis</t>
  </si>
  <si>
    <t>Hendrik-Ido-Ambacht</t>
  </si>
  <si>
    <t>Hillegom</t>
  </si>
  <si>
    <t>Kaag en Braassem</t>
  </si>
  <si>
    <t>Katwijk</t>
  </si>
  <si>
    <t>Korendijk</t>
  </si>
  <si>
    <t>Krimpen aan den IJssel</t>
  </si>
  <si>
    <t>Lansingerland</t>
  </si>
  <si>
    <t>Leerdam</t>
  </si>
  <si>
    <t>Leiden</t>
  </si>
  <si>
    <t>Leiderdorp</t>
  </si>
  <si>
    <t>Leidschendam-Voorburg</t>
  </si>
  <si>
    <t>Lisse</t>
  </si>
  <si>
    <t>Maassluis</t>
  </si>
  <si>
    <t>Midden-Delfland</t>
  </si>
  <si>
    <t>Molenwaard</t>
  </si>
  <si>
    <t>Nieuwkoop</t>
  </si>
  <si>
    <t>Noordwijk</t>
  </si>
  <si>
    <t>Noordwijkerhout</t>
  </si>
  <si>
    <t>Oegstgeest</t>
  </si>
  <si>
    <t>Oud-Beijerland</t>
  </si>
  <si>
    <t>Papendrecht</t>
  </si>
  <si>
    <t>Pijnacker-Nootdorp</t>
  </si>
  <si>
    <t>Ridderkerk</t>
  </si>
  <si>
    <t>Rijswijk</t>
  </si>
  <si>
    <t>Rotterdam</t>
  </si>
  <si>
    <t>Schiedam</t>
  </si>
  <si>
    <t>Sliedrecht</t>
  </si>
  <si>
    <t>Strijen</t>
  </si>
  <si>
    <t>Teylingen</t>
  </si>
  <si>
    <t>Vlaardingen</t>
  </si>
  <si>
    <t>Voorschoten</t>
  </si>
  <si>
    <t>Waddinxveen</t>
  </si>
  <si>
    <t>Wassenaar</t>
  </si>
  <si>
    <t>Westland</t>
  </si>
  <si>
    <t>Westvoorne</t>
  </si>
  <si>
    <t>Zederik</t>
  </si>
  <si>
    <t>Zoetermeer</t>
  </si>
  <si>
    <t>Zoeterwoude</t>
  </si>
  <si>
    <t>Zuidplas</t>
  </si>
  <si>
    <t>Zwijndrecht</t>
  </si>
  <si>
    <t>Borsele</t>
  </si>
  <si>
    <t>Goes</t>
  </si>
  <si>
    <t>Hulst</t>
  </si>
  <si>
    <t>Kapelle</t>
  </si>
  <si>
    <t>Middelburg</t>
  </si>
  <si>
    <t>Noord-Beveland</t>
  </si>
  <si>
    <t>Reimerswaal</t>
  </si>
  <si>
    <t>Schouwen-Duiveland</t>
  </si>
  <si>
    <t>Sluis</t>
  </si>
  <si>
    <t>Terneuzen</t>
  </si>
  <si>
    <t>Tholen</t>
  </si>
  <si>
    <t>Veere</t>
  </si>
  <si>
    <t>Vlissingen</t>
  </si>
  <si>
    <t>Aalburg</t>
  </si>
  <si>
    <t>Alphen-Chaam</t>
  </si>
  <si>
    <t>Asten</t>
  </si>
  <si>
    <t>Baarle-Nassau</t>
  </si>
  <si>
    <t>Bergeijk</t>
  </si>
  <si>
    <t>Bergen op Zoom</t>
  </si>
  <si>
    <t>Bernheze</t>
  </si>
  <si>
    <t>Best</t>
  </si>
  <si>
    <t>Bladel</t>
  </si>
  <si>
    <t>Boekel</t>
  </si>
  <si>
    <t>Boxmeer</t>
  </si>
  <si>
    <t>Boxtel</t>
  </si>
  <si>
    <t>Breda</t>
  </si>
  <si>
    <t>Cranendonck</t>
  </si>
  <si>
    <t>Cuijk</t>
  </si>
  <si>
    <t>Deurne</t>
  </si>
  <si>
    <t>Dongen</t>
  </si>
  <si>
    <t>Drimmelen</t>
  </si>
  <si>
    <t>Eersel</t>
  </si>
  <si>
    <t>Eindhoven</t>
  </si>
  <si>
    <t>Etten-Leur</t>
  </si>
  <si>
    <t>Geertruidenberg</t>
  </si>
  <si>
    <t>Geldrop-Mierlo</t>
  </si>
  <si>
    <t>Gemert-Bakel</t>
  </si>
  <si>
    <t>Gilze en Rijen</t>
  </si>
  <si>
    <t>Goirle</t>
  </si>
  <si>
    <t>Grave</t>
  </si>
  <si>
    <t>Haaren</t>
  </si>
  <si>
    <t>Halderberge</t>
  </si>
  <si>
    <t>Heeze-Leende</t>
  </si>
  <si>
    <t>Helmond</t>
  </si>
  <si>
    <t>Heusden</t>
  </si>
  <si>
    <t>Hilvarenbeek</t>
  </si>
  <si>
    <t>Laarbeek</t>
  </si>
  <si>
    <t>Landerd</t>
  </si>
  <si>
    <t>Loon op Zand</t>
  </si>
  <si>
    <t>Mill en Sint Hubert</t>
  </si>
  <si>
    <t>Moerdijk</t>
  </si>
  <si>
    <t>Oirschot</t>
  </si>
  <si>
    <t>Oisterwijk</t>
  </si>
  <si>
    <t>Oosterhout</t>
  </si>
  <si>
    <t>Oss</t>
  </si>
  <si>
    <t>Reusel-De Mierden</t>
  </si>
  <si>
    <t>Roosendaal</t>
  </si>
  <si>
    <t>Rucphen</t>
  </si>
  <si>
    <t>Sint-Michielsgestel</t>
  </si>
  <si>
    <t>Someren</t>
  </si>
  <si>
    <t>Son en Breugel</t>
  </si>
  <si>
    <t>Steenbergen</t>
  </si>
  <si>
    <t>Tilburg</t>
  </si>
  <si>
    <t>Uden</t>
  </si>
  <si>
    <t>Valkenswaard</t>
  </si>
  <si>
    <t>Veldhoven</t>
  </si>
  <si>
    <t>Vught</t>
  </si>
  <si>
    <t>Waalre</t>
  </si>
  <si>
    <t>Waalwijk</t>
  </si>
  <si>
    <t>Werkendam</t>
  </si>
  <si>
    <t>Woensdrecht</t>
  </si>
  <si>
    <t>Woudrichem</t>
  </si>
  <si>
    <t>Zundert</t>
  </si>
  <si>
    <t>Beek</t>
  </si>
  <si>
    <t>Beesel</t>
  </si>
  <si>
    <t>Brunssum</t>
  </si>
  <si>
    <t>Echt-Susteren</t>
  </si>
  <si>
    <t>Eijsden-Margraten</t>
  </si>
  <si>
    <t>Gennep</t>
  </si>
  <si>
    <t>Gulpen-Wittem</t>
  </si>
  <si>
    <t>Heerlen</t>
  </si>
  <si>
    <t>Horst aan de Maas</t>
  </si>
  <si>
    <t>Kerkrade</t>
  </si>
  <si>
    <t>Landgraaf</t>
  </si>
  <si>
    <t>Leudal</t>
  </si>
  <si>
    <t>Maasgouw</t>
  </si>
  <si>
    <t>Maastricht</t>
  </si>
  <si>
    <t>Meerssen</t>
  </si>
  <si>
    <t>Mook en Middelaar</t>
  </si>
  <si>
    <t>Nederweert</t>
  </si>
  <si>
    <t>Nuth</t>
  </si>
  <si>
    <t>Onderbanken</t>
  </si>
  <si>
    <t>Peel en Maas</t>
  </si>
  <si>
    <t>Roerdalen</t>
  </si>
  <si>
    <t>Roermond</t>
  </si>
  <si>
    <t>Schinnen</t>
  </si>
  <si>
    <t>Simpelveld</t>
  </si>
  <si>
    <t>Sittard-Geleen</t>
  </si>
  <si>
    <t>Stein</t>
  </si>
  <si>
    <t>Vaals</t>
  </si>
  <si>
    <t>Valkenburg aan de Geul</t>
  </si>
  <si>
    <t>Venlo</t>
  </si>
  <si>
    <t>Venray</t>
  </si>
  <si>
    <t>Voerendaal</t>
  </si>
  <si>
    <t>Weert</t>
  </si>
  <si>
    <t>Almere</t>
  </si>
  <si>
    <t>Dronten</t>
  </si>
  <si>
    <t>Lelystad</t>
  </si>
  <si>
    <t>Noordoostpolder</t>
  </si>
  <si>
    <t>Urk</t>
  </si>
  <si>
    <t>Zeewolde</t>
  </si>
  <si>
    <t>Kollumerland en Nieuwkruisland</t>
  </si>
  <si>
    <t>Nuenen, Gerwen en Nederwetten</t>
  </si>
  <si>
    <t>Bergen (L.)</t>
  </si>
  <si>
    <t>Bergen (NH.)</t>
  </si>
  <si>
    <t>Haarlemmerliede en Spaarnwoude</t>
  </si>
  <si>
    <t>het Bildt</t>
  </si>
  <si>
    <t>Montfoort</t>
  </si>
  <si>
    <t>Sint Anthonis</t>
  </si>
  <si>
    <t>Súdwest-Fryslân</t>
  </si>
  <si>
    <t>Hoog</t>
  </si>
  <si>
    <t>Nederland</t>
  </si>
  <si>
    <t>s-Gravenhage</t>
  </si>
  <si>
    <t>Hengelo</t>
  </si>
  <si>
    <t>Investeringsruimte</t>
  </si>
  <si>
    <t>Onbenutte belastingcapaciteit</t>
  </si>
  <si>
    <t>Uitkomsten scenario's met ombuigingen</t>
  </si>
  <si>
    <t xml:space="preserve">Niet in expl.genomen bouwgrond </t>
  </si>
  <si>
    <t>Voorzieningen</t>
  </si>
  <si>
    <t>Overige langlopende schulden</t>
  </si>
  <si>
    <t>Langlopende leningen</t>
  </si>
  <si>
    <t>Reserves</t>
  </si>
  <si>
    <t>Totaal voorraden</t>
  </si>
  <si>
    <t>Totaal langlopende schuld</t>
  </si>
  <si>
    <t>Afschrijvingspercentage</t>
  </si>
  <si>
    <t>Mutatie voorziening</t>
  </si>
  <si>
    <t>Inw.gevoeligheid midden laag</t>
  </si>
  <si>
    <t>Overige niet ingedeelde uitgaven</t>
  </si>
  <si>
    <t>Overige niet ingedeelde inkomsten</t>
  </si>
  <si>
    <t>Materiële vaste activa</t>
  </si>
  <si>
    <t xml:space="preserve">Totaal (im-)materiële vaste activa </t>
  </si>
  <si>
    <t>Onderhanden werk incl. bouwgrond in expl.</t>
  </si>
  <si>
    <t>Rente-opbrengst</t>
  </si>
  <si>
    <t>Ombuiging grondexploitatie</t>
  </si>
  <si>
    <t>Gem kst.</t>
  </si>
  <si>
    <t>Gem opbrgst.</t>
  </si>
  <si>
    <t>Correctie 0%</t>
  </si>
  <si>
    <t>Inroepen verleende garanties</t>
  </si>
  <si>
    <t>Laag</t>
  </si>
  <si>
    <t>Boekwinst verkopen kapitaalverstrekkingen</t>
  </si>
  <si>
    <t>Handmatig</t>
  </si>
  <si>
    <t>Netto schuld incl.</t>
  </si>
  <si>
    <t>Investering 2024</t>
  </si>
  <si>
    <t>Opbrengst verkoop 2024</t>
  </si>
  <si>
    <t>Slechtweer scenario</t>
  </si>
  <si>
    <t>Taakwijziging fin.verhouding</t>
  </si>
  <si>
    <t>Onbenutte belst.cap.</t>
  </si>
  <si>
    <t>Ombuigingsrelevante uitgaven</t>
  </si>
  <si>
    <t>Balansprognose</t>
  </si>
  <si>
    <t>Nieuwe langlopende uitzettingen</t>
  </si>
  <si>
    <t>Krimpenerwaard</t>
  </si>
  <si>
    <t>Nissewaard</t>
  </si>
  <si>
    <t>s-Hertogenbosch</t>
  </si>
  <si>
    <t>Rente nieuwe 10 jaars lening</t>
  </si>
  <si>
    <t>Quick ratio</t>
  </si>
  <si>
    <t xml:space="preserve">Boekwinst verkopen materiele vaste activa </t>
  </si>
  <si>
    <t>Saldo bouwgrond</t>
  </si>
  <si>
    <t>(Im-)materiële vaste activa</t>
  </si>
  <si>
    <t>Opbrengst verkoop bezit</t>
  </si>
  <si>
    <t>in exploitatie result.</t>
  </si>
  <si>
    <t>Voorraadquote (grondexploitatie)</t>
  </si>
  <si>
    <t>Netto schuldquote (incl. uitgeleend geld)</t>
  </si>
  <si>
    <t>Investering 2025</t>
  </si>
  <si>
    <t>Opbrengst verkoop 2025</t>
  </si>
  <si>
    <t>Gooise Meren</t>
  </si>
  <si>
    <t>Netto schuldquote incl. uitgeleend</t>
  </si>
  <si>
    <t>Resultaat v. mutatie reserves in % van inkomsten</t>
  </si>
  <si>
    <t>Baten v. mutatie reserves incl. bouwgrondexpl.</t>
  </si>
  <si>
    <t>Lasten v. mutatie reserves incl. kostprijs verk. bouwgrond</t>
  </si>
  <si>
    <t>Onbenutte belastingcapaciteit in % van inkomsten</t>
  </si>
  <si>
    <t>Economische groei -/- groei inw. NL</t>
  </si>
  <si>
    <t>Niet in exploitatie genomen grond</t>
  </si>
  <si>
    <t>Onderh.werk bouwgrondexploitatie</t>
  </si>
  <si>
    <t>Netto schuld / inw.</t>
  </si>
  <si>
    <t>Ombuiging investeringen (im)materiële activa + invest.bijdragen derden</t>
  </si>
  <si>
    <t>Afname onderhanden werk (kst.pr.verkopen)</t>
  </si>
  <si>
    <t>OZB</t>
  </si>
  <si>
    <t>Overige belastingen</t>
  </si>
  <si>
    <t>Bijstand</t>
  </si>
  <si>
    <t>Riool rechten</t>
  </si>
  <si>
    <t>Overige rechten &amp; leges</t>
  </si>
  <si>
    <t xml:space="preserve">Bouwgrond </t>
  </si>
  <si>
    <t>Overige eigen inkomsten</t>
  </si>
  <si>
    <t>Rijksoverdrachten</t>
  </si>
  <si>
    <t>Overige specifieke &amp; decentr. uitkeringen</t>
  </si>
  <si>
    <t>Groeivoet lopende uitgaven</t>
  </si>
  <si>
    <t>Inkomsten voor bestemming reserves en excl. rente, boekwinst verk. activa, bouwgrondexploitatie (a)</t>
  </si>
  <si>
    <t>Rente-inkomsten (b)</t>
  </si>
  <si>
    <t>Boekwinst (verkoop) vaste materiele en financiele activa (d)</t>
  </si>
  <si>
    <t xml:space="preserve">Baten bouwgrond (c) </t>
  </si>
  <si>
    <t>Lopende uitgaven excl. rente, afschrijvingen, investeringen, bouwgrondexploitatie (f)</t>
  </si>
  <si>
    <t>Rente-uitgaven (g)</t>
  </si>
  <si>
    <t>Lasten bouwgrond (h)</t>
  </si>
  <si>
    <t>Afschrijvingen (i)</t>
  </si>
  <si>
    <t>Mutatie voorzieningen (j)</t>
  </si>
  <si>
    <t>Baten voor mutatie reserves (a + b + c + d + e)</t>
  </si>
  <si>
    <t>Boekwinst (verlies) overboeking / verkoop strategische gronden (e)</t>
  </si>
  <si>
    <t>Netto schuld excl.</t>
  </si>
  <si>
    <t>Inkomensmix</t>
  </si>
  <si>
    <t>DR</t>
  </si>
  <si>
    <t>NB</t>
  </si>
  <si>
    <t>NH</t>
  </si>
  <si>
    <t>GLD</t>
  </si>
  <si>
    <t>FR</t>
  </si>
  <si>
    <t>ZH</t>
  </si>
  <si>
    <t>OV</t>
  </si>
  <si>
    <t>FL</t>
  </si>
  <si>
    <t>UT</t>
  </si>
  <si>
    <t>GR</t>
  </si>
  <si>
    <t>LB</t>
  </si>
  <si>
    <t>Berg en Dal</t>
  </si>
  <si>
    <t>ZL</t>
  </si>
  <si>
    <t>De Fryske Marren</t>
  </si>
  <si>
    <t>1. Gemeente</t>
  </si>
  <si>
    <t>Onroerende zaak belasting niet-woningen</t>
  </si>
  <si>
    <t>Aflossing 2022</t>
  </si>
  <si>
    <t xml:space="preserve">Gemiddeld rentepercentage restant 2023 </t>
  </si>
  <si>
    <t>Aflossing 2026</t>
  </si>
  <si>
    <t>Gemiddeld rentepercentage restant 2026</t>
  </si>
  <si>
    <t>Rente liquide middelen &amp; uitzettingen</t>
  </si>
  <si>
    <t>Rente nieuw doorgeleend geld</t>
  </si>
  <si>
    <t>Immateriële vaste activa (incl.bijdr.activa derden)</t>
  </si>
  <si>
    <t>Vaste activa</t>
  </si>
  <si>
    <t>Vlottende activa</t>
  </si>
  <si>
    <t>Vlottende passiva</t>
  </si>
  <si>
    <t>Vaste Passiva</t>
  </si>
  <si>
    <t>Boekwinst overboeking NIEGG naar onderhandenwerk</t>
  </si>
  <si>
    <t>Rente en dividend</t>
  </si>
  <si>
    <t>Afhankelijkheidsratio</t>
  </si>
  <si>
    <t>2018</t>
  </si>
  <si>
    <t>2019</t>
  </si>
  <si>
    <t>2020</t>
  </si>
  <si>
    <t>2021</t>
  </si>
  <si>
    <t>2022</t>
  </si>
  <si>
    <t>2023</t>
  </si>
  <si>
    <t>2024</t>
  </si>
  <si>
    <t>2025</t>
  </si>
  <si>
    <t>2026</t>
  </si>
  <si>
    <t xml:space="preserve">Macrogegevens trend </t>
  </si>
  <si>
    <t>2. Groei inwoners</t>
  </si>
  <si>
    <t>4. Groei bedrijfsvestigingen</t>
  </si>
  <si>
    <t>Gemeente bevolkingsprognose</t>
  </si>
  <si>
    <t>Ratio's exploitatie</t>
  </si>
  <si>
    <t xml:space="preserve">Eigen bijdragen WMO &amp; Jeugd </t>
  </si>
  <si>
    <t>Vennootschapsbelasting</t>
  </si>
  <si>
    <t xml:space="preserve">Inflatie CPI </t>
  </si>
  <si>
    <t xml:space="preserve">Trendmatige economische groei </t>
  </si>
  <si>
    <t>Totaal ombuigingen</t>
  </si>
  <si>
    <t>Meijerijstad</t>
  </si>
  <si>
    <t>Investering 2019</t>
  </si>
  <si>
    <t>Investering 2026</t>
  </si>
  <si>
    <t>Opbrengst verkoop 2026</t>
  </si>
  <si>
    <t>0. Provincie</t>
  </si>
  <si>
    <t>Vorderingen &amp; debiteuren</t>
  </si>
  <si>
    <t xml:space="preserve">Kortlopende uitzettingen &amp; liquide middelen </t>
  </si>
  <si>
    <t>Kortlopende uitzettingen &amp; liquide middelen</t>
  </si>
  <si>
    <t>Kortlopende leningen en rek.courant</t>
  </si>
  <si>
    <t>Begeleid wonen</t>
  </si>
  <si>
    <t>Voogdij jeugd 18+</t>
  </si>
  <si>
    <t>Resultaat exploitatie in % van baten</t>
  </si>
  <si>
    <t>Bruto rentedruk in % van baten</t>
  </si>
  <si>
    <t>Onbenutte belastingcapaciteit in % baten</t>
  </si>
  <si>
    <t>Primair surplus in % baten</t>
  </si>
  <si>
    <t>Ombuigingsrelevante lopende uitg. in % van lasten</t>
  </si>
  <si>
    <t>8. Opbrengst OZB woningen</t>
  </si>
  <si>
    <t>9. Opbrengst OZB niet-woningen</t>
  </si>
  <si>
    <t>11. Onbenutte belastingcapaciteit</t>
  </si>
  <si>
    <t>12. Onbenutte belastingcapaciteit OZB</t>
  </si>
  <si>
    <t>Bedrijfsvestigingen 2017</t>
  </si>
  <si>
    <t>Bedrijfsvestigingen 2013</t>
  </si>
  <si>
    <t>Bedrijfsvestigingen 2014</t>
  </si>
  <si>
    <t>Bedrijfsvestigingen 2015</t>
  </si>
  <si>
    <t>Bedrijfsvestigingen 2016</t>
  </si>
  <si>
    <t>Kortgeldratio</t>
  </si>
  <si>
    <t>Effectieve netto schuldquote</t>
  </si>
  <si>
    <t>Netto investeringsquote</t>
  </si>
  <si>
    <t>2. Baten bouwgrond gem.</t>
  </si>
  <si>
    <t>3. Lasten bouwgrond gem.</t>
  </si>
  <si>
    <t>Prijspeil binnenlands bruto product</t>
  </si>
  <si>
    <t>Exploitatieresultaat</t>
  </si>
  <si>
    <t xml:space="preserve">Prijspeil beloning werknemers </t>
  </si>
  <si>
    <t>Inkomsten val 2% totale inkomsten</t>
  </si>
  <si>
    <t>Prijspeil bruto binnenlandsproduct</t>
  </si>
  <si>
    <t xml:space="preserve">Groei inkomsten is gelijk aan prijspeil BBP &amp; economische groei &amp; groei inwonertal  </t>
  </si>
  <si>
    <t>Groei inkomsten is gelijk aan inflatie &amp; economische groei &amp; groei inwoners</t>
  </si>
  <si>
    <t>5. Investeringen</t>
  </si>
  <si>
    <t>Netto lasten per inwoner</t>
  </si>
  <si>
    <r>
      <t>Financi</t>
    </r>
    <r>
      <rPr>
        <b/>
        <sz val="10"/>
        <color theme="1"/>
        <rFont val="Calibri"/>
        <family val="2"/>
      </rPr>
      <t>ë</t>
    </r>
    <r>
      <rPr>
        <b/>
        <i/>
        <sz val="10"/>
        <color theme="1"/>
        <rFont val="Arial"/>
        <family val="2"/>
      </rPr>
      <t>le conditie index</t>
    </r>
  </si>
  <si>
    <t xml:space="preserve">Ombuigingsrelevante netto lasten </t>
  </si>
  <si>
    <t>Groei inwoners Nederland per jaar 2018-2027</t>
  </si>
  <si>
    <t xml:space="preserve">Groei inwoners gemeente per jaar 2018-2027 </t>
  </si>
  <si>
    <t xml:space="preserve">Totaal ombuigingen 5 jaar in constante prijzen </t>
  </si>
  <si>
    <t>Vorderingen en debiteuren</t>
  </si>
  <si>
    <t>Kortlopende uitzettingen en liquide middelen</t>
  </si>
  <si>
    <t>Kortlopende schuld en RC krediet</t>
  </si>
  <si>
    <t>Kortlopende leningen &amp; rek.courant krediet</t>
  </si>
  <si>
    <t>3. Klasse structuur</t>
  </si>
  <si>
    <t xml:space="preserve">Klasse gemeente soc.structuur &amp; centr.functie </t>
  </si>
  <si>
    <t>Voorraadquote (inclusief NIEG)</t>
  </si>
  <si>
    <t>Meierijstad</t>
  </si>
  <si>
    <t>10. Opbrengst OZB redelijk tarief 0,1927% * 140/120</t>
  </si>
  <si>
    <t>Rentestijging 2018 t.o.v. begin 2017</t>
  </si>
  <si>
    <t>Rentestijging 2019 t.o.v. begin 2017</t>
  </si>
  <si>
    <t>Rentestijging 2020 t.o.v. begin 2017</t>
  </si>
  <si>
    <t>1. Gemeenten</t>
  </si>
  <si>
    <t>2. Immateriele vaste activa</t>
  </si>
  <si>
    <t>3. Materiele vaste activa</t>
  </si>
  <si>
    <t>4. Kapitaalverstrekkingen</t>
  </si>
  <si>
    <t>7. Langlopende uitzettingen</t>
  </si>
  <si>
    <t>Totaal netto vermogen</t>
  </si>
  <si>
    <t>4. Afschrijvingslasten</t>
  </si>
  <si>
    <t>8. Baten bouwgrond 2010</t>
  </si>
  <si>
    <t>9. Lasten bouwgrond 2010</t>
  </si>
  <si>
    <t>10. Baten bouwgrond 2011</t>
  </si>
  <si>
    <t>11. Lasten bouwgrond 2011</t>
  </si>
  <si>
    <t>12. Baten bouwgrond 2012</t>
  </si>
  <si>
    <t>13. Lasten bouwgrond 2012</t>
  </si>
  <si>
    <t>14. Baten bouwgrond 2013</t>
  </si>
  <si>
    <t>15. Lasten bouwgrond 2013</t>
  </si>
  <si>
    <t>16. Baten bouwgrond 2014</t>
  </si>
  <si>
    <t>17. Lasten bouwgrond 2014</t>
  </si>
  <si>
    <t>18. Baten bouwgrond 2015</t>
  </si>
  <si>
    <t>19. Lasten bouwgrond 2015</t>
  </si>
  <si>
    <t>20. Baten bouwgrond 2016</t>
  </si>
  <si>
    <t>21. Lasten bouwgrond 2016</t>
  </si>
  <si>
    <t>Investering 2021</t>
  </si>
  <si>
    <t>Gemiddeld rentepercentage 2019</t>
  </si>
  <si>
    <t>Aflossing 2020</t>
  </si>
  <si>
    <t>Gemiddeld rentepercentage restant 2022</t>
  </si>
  <si>
    <t>Aflossing 2024</t>
  </si>
  <si>
    <t>Gemiddeld rentepercentage restant 2024</t>
  </si>
  <si>
    <t>Val opbrengst grondexpl. 2018</t>
  </si>
  <si>
    <t>Val opbrengst grondexpl. vanaf 2019</t>
  </si>
  <si>
    <t>Overige leges</t>
  </si>
  <si>
    <t>Aandeel overdachten ex bijstand van baten</t>
  </si>
  <si>
    <t>Inkomsten val 20% rijksoverdrachten</t>
  </si>
  <si>
    <t>Aandeel overige inkomsten baten</t>
  </si>
  <si>
    <t xml:space="preserve">Aandeel lopende uitgaven ex bijstand </t>
  </si>
  <si>
    <t>Stijging lopende uitgaven ex bijstand 2019 in %</t>
  </si>
  <si>
    <t>Prijspeil netto materieel</t>
  </si>
  <si>
    <t xml:space="preserve">Groei uitgaven is gelijk aan loonstijging &amp; groei inwoners </t>
  </si>
  <si>
    <t xml:space="preserve">Groei inkomsten is gelijk aan 0,2 * netto materieel &amp; 0,8 * loonstijging &amp; groei inwoners </t>
  </si>
  <si>
    <t xml:space="preserve">Groei inkomsten is gelijk aan 0,5 * netto materieel &amp; 0,5 loonstijging &amp; groei inwoners  </t>
  </si>
  <si>
    <t>Baten voor mutatiereserves</t>
  </si>
  <si>
    <t>Onbenutte belastingcapaciteit OZB</t>
  </si>
  <si>
    <t>Hoge oplopende schuld</t>
  </si>
  <si>
    <t>Altena</t>
  </si>
  <si>
    <t>Beekdaelen</t>
  </si>
  <si>
    <t>Het Hogeland</t>
  </si>
  <si>
    <t>Hoeksche Waard</t>
  </si>
  <si>
    <t>Midden-Groningen</t>
  </si>
  <si>
    <t>Molenlanden</t>
  </si>
  <si>
    <t>Noardeast-Fryslân</t>
  </si>
  <si>
    <t>Vijfheerenlanden</t>
  </si>
  <si>
    <t>Waadhoeke</t>
  </si>
  <si>
    <t>West-Betuwe</t>
  </si>
  <si>
    <t>Westerkwartier</t>
  </si>
  <si>
    <t>Westerwolde</t>
  </si>
  <si>
    <t>2019 - 2023</t>
  </si>
  <si>
    <t>Val baten 2020 uit overdrachten ex bijstand in %</t>
  </si>
  <si>
    <t>Val baten 2020 uit overige inkomsten in %</t>
  </si>
  <si>
    <t>Stijging lopende uitgaven ex bijstand 2020 in %</t>
  </si>
  <si>
    <t xml:space="preserve">Stijging lopende uitgaven ex bijstand 2021 in % </t>
  </si>
  <si>
    <t>Val opbrengst bouwgrondexpl. 2020 in %</t>
  </si>
  <si>
    <t>Val opbrengst bouwgrondexpl. vanaf 2021 in %</t>
  </si>
  <si>
    <t xml:space="preserve">Afschrijving leningen verbonden partijen 2020 </t>
  </si>
  <si>
    <t>Afschrijving leningen derden 2020</t>
  </si>
  <si>
    <t>Rentestijging 2020 t.o.v. begin 2019</t>
  </si>
  <si>
    <t>Rentestijging 2021 t.o.v. begin 2019</t>
  </si>
  <si>
    <t>Rentestijging 2022 t.o.v. begin 2019</t>
  </si>
  <si>
    <t>Ombuigingspercentage per jaar vanaf 2020 t/m 2024</t>
  </si>
  <si>
    <t>Ombuiging investeringen excl. bouwgrondexpl. vanaf 2020</t>
  </si>
  <si>
    <t>Jaarrek. 2018</t>
  </si>
  <si>
    <t>Exploitatie 2019</t>
  </si>
  <si>
    <t>Begroting 2019</t>
  </si>
  <si>
    <t>EMU saldo 2019 (rood = EMU-tekort)</t>
  </si>
  <si>
    <t>Afschrijvingen immateriële activa 2019 (incl.bijdr.activa derden)</t>
  </si>
  <si>
    <t>Afschrijvingslasten (im-)materiële activa 2019</t>
  </si>
  <si>
    <t>Investeringen per inwoner 2019</t>
  </si>
  <si>
    <t>Investering 2020</t>
  </si>
  <si>
    <t xml:space="preserve">Investering 2022 </t>
  </si>
  <si>
    <t>Investering 2027</t>
  </si>
  <si>
    <t>Opbrengst verkoop 2027</t>
  </si>
  <si>
    <t>Investering 2028</t>
  </si>
  <si>
    <t>Opbrengst verkoop 2028</t>
  </si>
  <si>
    <t>Beginbalans 1 januari 2019</t>
  </si>
  <si>
    <t>Aflossing 2019</t>
  </si>
  <si>
    <t xml:space="preserve">Gemiddeld rentepercentage restant 2020 </t>
  </si>
  <si>
    <t xml:space="preserve">Aflossing 2021 </t>
  </si>
  <si>
    <t>Aflossing 2023</t>
  </si>
  <si>
    <t xml:space="preserve">Gemiddeld rentepercentage restant 2024 </t>
  </si>
  <si>
    <t xml:space="preserve">Gemiddeld rentepercentage restant 2025 </t>
  </si>
  <si>
    <t xml:space="preserve">Aflossing 2025 </t>
  </si>
  <si>
    <t>Gemiddeld rentepercentage restant 2027</t>
  </si>
  <si>
    <t>Aflossing 2027</t>
  </si>
  <si>
    <t>Gemiddeld rentepercentage restant 2021</t>
  </si>
  <si>
    <t>Aflossing 2028</t>
  </si>
  <si>
    <t>Gemiddeld rentepercentage restant 2028</t>
  </si>
  <si>
    <t xml:space="preserve">Aflossing 2020 </t>
  </si>
  <si>
    <t xml:space="preserve">Gemiddeld rentepercentage 2020 </t>
  </si>
  <si>
    <t>Gemiddeld rentepercentage 2021</t>
  </si>
  <si>
    <t>Totale correctie grondopbrengst</t>
  </si>
  <si>
    <t xml:space="preserve">Netto opbrengst 5% </t>
  </si>
  <si>
    <t>Correctie 5%</t>
  </si>
  <si>
    <t>Jan van der Lei, maart 2019</t>
  </si>
  <si>
    <t>Score financiële conditie</t>
  </si>
  <si>
    <t>5. Leningen verbonden partijen</t>
  </si>
  <si>
    <t>6. Leningen derden</t>
  </si>
  <si>
    <t>8. Onderhanden werk</t>
  </si>
  <si>
    <t>9. Overige voorraden</t>
  </si>
  <si>
    <t>10. Kortlopende leningen</t>
  </si>
  <si>
    <t>11. Kortlopende uitzettingen</t>
  </si>
  <si>
    <t>12. Liquide middelen</t>
  </si>
  <si>
    <t>13. Debiteuren &amp; vorderingen</t>
  </si>
  <si>
    <t>14. Overlopende activa</t>
  </si>
  <si>
    <t>15. Eigen vermogen</t>
  </si>
  <si>
    <t>16. Voorzieningen</t>
  </si>
  <si>
    <t>17. Langlopende leningen</t>
  </si>
  <si>
    <t>18. Overige langlopende leningen</t>
  </si>
  <si>
    <t>19. Kortlopende leningen en rekeningkredieten</t>
  </si>
  <si>
    <t>20. Crediteuren</t>
  </si>
  <si>
    <t>21. Overlopende passiva</t>
  </si>
  <si>
    <t>Aansluitverschil corr.op overl.passiva</t>
  </si>
  <si>
    <t>Baten voor mutatie reserves gecorr.</t>
  </si>
  <si>
    <t>Inwoners ultimo 2017</t>
  </si>
  <si>
    <t>Onbenutte bel cap 140%</t>
  </si>
  <si>
    <t>Onbenutte bel cap 120%</t>
  </si>
  <si>
    <t>(im-)materiele activa incl nieg 2013</t>
  </si>
  <si>
    <t>Netto investeringen 2014-2017</t>
  </si>
  <si>
    <t>2. Kortgeldratio</t>
  </si>
  <si>
    <t xml:space="preserve">3. Netto schuldquote </t>
  </si>
  <si>
    <t xml:space="preserve">4. Uitleenquote </t>
  </si>
  <si>
    <t>5. Voorraadquote</t>
  </si>
  <si>
    <t>6. Effectieve netto schuldquote</t>
  </si>
  <si>
    <t>7. Resultaat</t>
  </si>
  <si>
    <t>8. Onbenutte belastingcapaciteit</t>
  </si>
  <si>
    <t>9. Netto investeringsquote</t>
  </si>
  <si>
    <t>10. Solvabiliteitsratio</t>
  </si>
  <si>
    <t>11. Houdbaarheidstekort 2017</t>
  </si>
  <si>
    <t>12. Houdbaarheidsquote 2017</t>
  </si>
  <si>
    <t>Inwoners eind 2018</t>
  </si>
  <si>
    <t>West Betuwe</t>
  </si>
  <si>
    <t>Bedrijfsvestigingen 2018</t>
  </si>
  <si>
    <t>5. Inwoners 31 december 2018</t>
  </si>
  <si>
    <t/>
  </si>
  <si>
    <t>-</t>
  </si>
  <si>
    <t>6. Baten bouwgrond 2019</t>
  </si>
  <si>
    <t>7. Lasten bouwgrond 2019</t>
  </si>
  <si>
    <t>22. Baten bouwgrond 2017</t>
  </si>
  <si>
    <t>23. Lasten bouwgrond 2017</t>
  </si>
  <si>
    <t>24. Baten bouwgrond 2018</t>
  </si>
  <si>
    <t>25. Lasten bouwgrond 2018</t>
  </si>
  <si>
    <t>26. Inwoners 31 dec 2016</t>
  </si>
  <si>
    <t>27. Inwoners 31 december 2017</t>
  </si>
  <si>
    <t>28. Inwoners eind 2018</t>
  </si>
  <si>
    <t>29. Materiële activa 2015 incl NIEG</t>
  </si>
  <si>
    <t>30. Materiële activa 2014 incl. NIEG</t>
  </si>
  <si>
    <t>2. Onroerendezaakbelasting</t>
  </si>
  <si>
    <t>3. Onroerendezaakbelasting woningen</t>
  </si>
  <si>
    <t>4. Onroerendezaakbelasting niet-woningen</t>
  </si>
  <si>
    <t>5. Parkeerheffingen</t>
  </si>
  <si>
    <t>6. Precariobelasting</t>
  </si>
  <si>
    <t>7. Toeristenbelasting</t>
  </si>
  <si>
    <t>8. Overige belastingen</t>
  </si>
  <si>
    <t>9. Rioolheffing</t>
  </si>
  <si>
    <t>10. Reinigingsrechten en afvalstoffenheffing</t>
  </si>
  <si>
    <t>11. Secretarieleges burgerzaken</t>
  </si>
  <si>
    <t>12. Begraafplaatsrechten</t>
  </si>
  <si>
    <t>13. Leges wonen en bouwen</t>
  </si>
  <si>
    <t>14. Overige leges</t>
  </si>
  <si>
    <t>15. WOZ waarde totaal onroerende zaken x 1000</t>
  </si>
  <si>
    <t>16. WOZ waarde woningen x 1000</t>
  </si>
  <si>
    <t>17. WOZ waarde niet-woningen x 1000</t>
  </si>
  <si>
    <t>18. Gemiddelde woningwaarde x 1000</t>
  </si>
  <si>
    <t>19. Belastingcapaciteit OZB tarief 0,1905%</t>
  </si>
  <si>
    <t>20. Onbenutte belastingcapaciteit OZB</t>
  </si>
  <si>
    <t>21. Onbenutte belastingcapaciteit OZB</t>
  </si>
  <si>
    <t>Begraafplaatsrechten</t>
  </si>
  <si>
    <t>Súdwest Fryslân</t>
  </si>
  <si>
    <t>1. Gemeente 2018</t>
  </si>
  <si>
    <t>2. Opbrengst OZB woningen</t>
  </si>
  <si>
    <t>3. Opbrengst OZB niet-woningen</t>
  </si>
  <si>
    <t>7. Onbenutte belastingcapaciteit</t>
  </si>
  <si>
    <t>4. Waarde woningen</t>
  </si>
  <si>
    <t>5. Waarde niet-woningen</t>
  </si>
  <si>
    <t>6. Belastingcapaciteit</t>
  </si>
  <si>
    <t>Val baten uit overdrachten ex bijstand 2019 in %</t>
  </si>
  <si>
    <t>Val baten uit overige inkomsten 2019 in %</t>
  </si>
  <si>
    <t>Stijging lopende uitgaven 2020</t>
  </si>
  <si>
    <t>Totale val aan baten in 2020</t>
  </si>
  <si>
    <t>Stijging lopende uitgaven 2021</t>
  </si>
  <si>
    <t>Lasten voor mutatie reserves (f + g + h + i)</t>
  </si>
  <si>
    <t>Prijspeil intermediair verbruik</t>
  </si>
  <si>
    <t xml:space="preserve">Prijspeil intermediair verbruik </t>
  </si>
  <si>
    <t xml:space="preserve">Groei uitgaven is gelijk aan 0,2 * pp netto materieel &amp; 0,8 pp intermediair verbruik &amp; groei inwoners </t>
  </si>
  <si>
    <t>Groei uitgaven is gelijk aan 0,5 * pp netto materieel &amp; 0,5 pp intermediair verbruik &amp; groei inwoners</t>
  </si>
  <si>
    <t>Groei uitgaven is gelijk aan 0,5 * inflatie &amp; 0,5 * pp intermediair verbruik &amp; groei inwoners</t>
  </si>
  <si>
    <t>Groei uitgaven is gelijk aan 0,5 * pp netto materieel &amp; 0,5 * pp intermediair verbruik &amp; economische groei &amp; groei inwoners</t>
  </si>
  <si>
    <t>Decentralisatie-uitkeringen</t>
  </si>
  <si>
    <t>2. Uitkering gemeentefonds</t>
  </si>
  <si>
    <t>3. Algemene Uitkering</t>
  </si>
  <si>
    <t>4. Integratie-uitkering Voogdij 18+</t>
  </si>
  <si>
    <t>5. Integratie-uitkering beschermd wonen</t>
  </si>
  <si>
    <t>6. Integratie-uitkering participatie</t>
  </si>
  <si>
    <t>7. Decentralisatie-uitkeringen</t>
  </si>
  <si>
    <t>8. Gebundelde uitkering participatiewet</t>
  </si>
  <si>
    <t>9. BBZ</t>
  </si>
  <si>
    <t>10. Onderwijsachterstanden</t>
  </si>
  <si>
    <t>12. Baten v mut reserves 2019</t>
  </si>
  <si>
    <t>Mutatie reserves 2019 baten</t>
  </si>
  <si>
    <t>Baten na mut reserves 2019</t>
  </si>
  <si>
    <t>15. Baten v mut reserves 2018</t>
  </si>
  <si>
    <t>Mutatie reserves 2018 baten</t>
  </si>
  <si>
    <t>Baten na mutatie reserves 2018</t>
  </si>
  <si>
    <t>Integratie-uitkering WSW oud, beschut werk nieuw en Wajong</t>
  </si>
  <si>
    <t>Haarlemmerliede</t>
  </si>
  <si>
    <t>Ferwerderadeel</t>
  </si>
  <si>
    <t>Kollummerland</t>
  </si>
  <si>
    <t>Noardeast Fryslan</t>
  </si>
  <si>
    <t>Oud Beierland</t>
  </si>
  <si>
    <t>Comstrijen</t>
  </si>
  <si>
    <t>Hoekse Waard</t>
  </si>
  <si>
    <t>Haarlemmerliede c.a.</t>
  </si>
  <si>
    <t>Kollumerland c.a.</t>
  </si>
  <si>
    <t>2. Lasten 2019 v mutatie reserves</t>
  </si>
  <si>
    <t>3. Lasten 2019 na mutatie reserves</t>
  </si>
  <si>
    <t>4. Mutaties reserves</t>
  </si>
  <si>
    <t>5. Lasten 2018 v mutatie reserves</t>
  </si>
  <si>
    <t>6. Lasten 2018 na mutaties reserves</t>
  </si>
  <si>
    <t>7. Mutaties reserves 2018</t>
  </si>
  <si>
    <t>Bestuur en ondersteuning</t>
  </si>
  <si>
    <t>Veiligheid</t>
  </si>
  <si>
    <t>Verkeer, vervoer en waterstaat</t>
  </si>
  <si>
    <t>Economie</t>
  </si>
  <si>
    <t>Onderwijs</t>
  </si>
  <si>
    <t>Sport, cultuur en recreatie</t>
  </si>
  <si>
    <t>Sociaal domein</t>
  </si>
  <si>
    <t>Volksgezondheid en milieu</t>
  </si>
  <si>
    <t>6.3 Inkomensregelingen (b)</t>
  </si>
  <si>
    <t>6.4 Begeleide participatie (b)</t>
  </si>
  <si>
    <t>6.5 Arbeidsparticipatie (b)</t>
  </si>
  <si>
    <t>6.Overig Sociaal domein Zorg en Jeugd</t>
  </si>
  <si>
    <t>8.2 Grondexploitatie (b)</t>
  </si>
  <si>
    <t>8. Overig Volkshuisvesting</t>
  </si>
  <si>
    <t>Slechtweer</t>
  </si>
  <si>
    <t>Volkshuisvesting, RO en sted. Vernieuwing</t>
  </si>
  <si>
    <t>Code</t>
  </si>
  <si>
    <t>Afschrijving volkshuisvesting</t>
  </si>
  <si>
    <t>Afschrijving volksgezondheid en milieu</t>
  </si>
  <si>
    <t>Afschrijving sport cultuur en recreatie</t>
  </si>
  <si>
    <t>Afschrijving onderwijs</t>
  </si>
  <si>
    <t>Afschrijving economisch</t>
  </si>
  <si>
    <t>Afschrijving verkeer</t>
  </si>
  <si>
    <t>Afschrijving Veiligheid</t>
  </si>
  <si>
    <t>Afschrijving Bestuur en Ondersteuning</t>
  </si>
  <si>
    <t>Afschrijving Zorg en Jeugd</t>
  </si>
  <si>
    <t>Afschrijving Participatie</t>
  </si>
  <si>
    <t xml:space="preserve">GM0003   </t>
  </si>
  <si>
    <t xml:space="preserve">GM0010   </t>
  </si>
  <si>
    <t xml:space="preserve">GM0014   </t>
  </si>
  <si>
    <t xml:space="preserve">GM0024   </t>
  </si>
  <si>
    <t xml:space="preserve">GM0034   </t>
  </si>
  <si>
    <t xml:space="preserve">GM0037   </t>
  </si>
  <si>
    <t xml:space="preserve">GM0047   </t>
  </si>
  <si>
    <t xml:space="preserve">GM0050   </t>
  </si>
  <si>
    <t xml:space="preserve">GM0059   </t>
  </si>
  <si>
    <t xml:space="preserve">GM0060   </t>
  </si>
  <si>
    <t xml:space="preserve">GM0072   </t>
  </si>
  <si>
    <t xml:space="preserve">GM0074   </t>
  </si>
  <si>
    <t xml:space="preserve">GM0080   </t>
  </si>
  <si>
    <t xml:space="preserve">GM0085   </t>
  </si>
  <si>
    <t xml:space="preserve">GM0086   </t>
  </si>
  <si>
    <t xml:space="preserve">GM0088   </t>
  </si>
  <si>
    <t xml:space="preserve">GM0090   </t>
  </si>
  <si>
    <t xml:space="preserve">GM0093   </t>
  </si>
  <si>
    <t xml:space="preserve">GM0096   </t>
  </si>
  <si>
    <t xml:space="preserve">GM0098   </t>
  </si>
  <si>
    <t xml:space="preserve">GM0106   </t>
  </si>
  <si>
    <t xml:space="preserve">GM0109   </t>
  </si>
  <si>
    <t xml:space="preserve">GM0114   </t>
  </si>
  <si>
    <t xml:space="preserve">GM0118   </t>
  </si>
  <si>
    <t xml:space="preserve">GM0119   </t>
  </si>
  <si>
    <t xml:space="preserve">GM0141   </t>
  </si>
  <si>
    <t xml:space="preserve">GM0147   </t>
  </si>
  <si>
    <t xml:space="preserve">GM0148   </t>
  </si>
  <si>
    <t xml:space="preserve">GM0150   </t>
  </si>
  <si>
    <t xml:space="preserve">GM0153   </t>
  </si>
  <si>
    <t xml:space="preserve">GM0158   </t>
  </si>
  <si>
    <t xml:space="preserve">GM0160   </t>
  </si>
  <si>
    <t xml:space="preserve">GM0163   </t>
  </si>
  <si>
    <t xml:space="preserve">GM0164   </t>
  </si>
  <si>
    <t xml:space="preserve">GM0166   </t>
  </si>
  <si>
    <t xml:space="preserve">GM0168   </t>
  </si>
  <si>
    <t xml:space="preserve">GM0171   </t>
  </si>
  <si>
    <t xml:space="preserve">GM0173   </t>
  </si>
  <si>
    <t xml:space="preserve">GM0175   </t>
  </si>
  <si>
    <t xml:space="preserve">GM0177   </t>
  </si>
  <si>
    <t xml:space="preserve">GM0180   </t>
  </si>
  <si>
    <t xml:space="preserve">GM0183   </t>
  </si>
  <si>
    <t xml:space="preserve">GM0184   </t>
  </si>
  <si>
    <t xml:space="preserve">GM0189   </t>
  </si>
  <si>
    <t xml:space="preserve">GM0193   </t>
  </si>
  <si>
    <t xml:space="preserve">GM0197   </t>
  </si>
  <si>
    <t xml:space="preserve">GM0200   </t>
  </si>
  <si>
    <t xml:space="preserve">GM0202   </t>
  </si>
  <si>
    <t xml:space="preserve">GM0203   </t>
  </si>
  <si>
    <t xml:space="preserve">GM0209   </t>
  </si>
  <si>
    <t xml:space="preserve">GM0213   </t>
  </si>
  <si>
    <t xml:space="preserve">GM0214   </t>
  </si>
  <si>
    <t xml:space="preserve">GM0216   </t>
  </si>
  <si>
    <t xml:space="preserve">GM0221   </t>
  </si>
  <si>
    <t xml:space="preserve">GM0222   </t>
  </si>
  <si>
    <t xml:space="preserve">GM0225   </t>
  </si>
  <si>
    <t xml:space="preserve">GM0226   </t>
  </si>
  <si>
    <t xml:space="preserve">GM0228   </t>
  </si>
  <si>
    <t xml:space="preserve">GM0230   </t>
  </si>
  <si>
    <t xml:space="preserve">GM0232   </t>
  </si>
  <si>
    <t xml:space="preserve">GM0233   </t>
  </si>
  <si>
    <t xml:space="preserve">GM0243   </t>
  </si>
  <si>
    <t xml:space="preserve">GM0244   </t>
  </si>
  <si>
    <t xml:space="preserve">GM0246   </t>
  </si>
  <si>
    <t xml:space="preserve">GM0252   </t>
  </si>
  <si>
    <t xml:space="preserve">GM0262   </t>
  </si>
  <si>
    <t xml:space="preserve">GM0263   </t>
  </si>
  <si>
    <t xml:space="preserve">GM0267   </t>
  </si>
  <si>
    <t xml:space="preserve">GM0268   </t>
  </si>
  <si>
    <t xml:space="preserve">GM0269   </t>
  </si>
  <si>
    <t xml:space="preserve">GM0273   </t>
  </si>
  <si>
    <t xml:space="preserve">GM0274   </t>
  </si>
  <si>
    <t xml:space="preserve">GM0275   </t>
  </si>
  <si>
    <t xml:space="preserve">GM0277   </t>
  </si>
  <si>
    <t xml:space="preserve">GM0279   </t>
  </si>
  <si>
    <t xml:space="preserve">GM0281   </t>
  </si>
  <si>
    <t xml:space="preserve">GM0285   </t>
  </si>
  <si>
    <t xml:space="preserve">GM0289   </t>
  </si>
  <si>
    <t xml:space="preserve">GM0293   </t>
  </si>
  <si>
    <t xml:space="preserve">GM0294   </t>
  </si>
  <si>
    <t xml:space="preserve">GM0296   </t>
  </si>
  <si>
    <t xml:space="preserve">GM0297   </t>
  </si>
  <si>
    <t xml:space="preserve">GM0299   </t>
  </si>
  <si>
    <t xml:space="preserve">GM0301   </t>
  </si>
  <si>
    <t xml:space="preserve">GM0302   </t>
  </si>
  <si>
    <t xml:space="preserve">GM0303   </t>
  </si>
  <si>
    <t xml:space="preserve">GM0307   </t>
  </si>
  <si>
    <t xml:space="preserve">GM0308   </t>
  </si>
  <si>
    <t xml:space="preserve">GM0310   </t>
  </si>
  <si>
    <t xml:space="preserve">GM0312   </t>
  </si>
  <si>
    <t xml:space="preserve">GM0313   </t>
  </si>
  <si>
    <t xml:space="preserve">GM0317   </t>
  </si>
  <si>
    <t xml:space="preserve">GM0321   </t>
  </si>
  <si>
    <t xml:space="preserve">GM0327   </t>
  </si>
  <si>
    <t xml:space="preserve">GM0331   </t>
  </si>
  <si>
    <t xml:space="preserve">GM0335   </t>
  </si>
  <si>
    <t xml:space="preserve">GM0339   </t>
  </si>
  <si>
    <t xml:space="preserve">GM0340   </t>
  </si>
  <si>
    <t xml:space="preserve">GM0342   </t>
  </si>
  <si>
    <t xml:space="preserve">GM0344   </t>
  </si>
  <si>
    <t xml:space="preserve">GM0345   </t>
  </si>
  <si>
    <t xml:space="preserve">GM0351   </t>
  </si>
  <si>
    <t xml:space="preserve">GM0352   </t>
  </si>
  <si>
    <t xml:space="preserve">GM0353   </t>
  </si>
  <si>
    <t xml:space="preserve">GM0355   </t>
  </si>
  <si>
    <t xml:space="preserve">GM0356   </t>
  </si>
  <si>
    <t xml:space="preserve">GM0358   </t>
  </si>
  <si>
    <t xml:space="preserve">GM0361   </t>
  </si>
  <si>
    <t xml:space="preserve">GM0362   </t>
  </si>
  <si>
    <t xml:space="preserve">GM0363   </t>
  </si>
  <si>
    <t xml:space="preserve">GM0370   </t>
  </si>
  <si>
    <t xml:space="preserve">GM0373   </t>
  </si>
  <si>
    <t xml:space="preserve">GM0375   </t>
  </si>
  <si>
    <t xml:space="preserve">GM0376   </t>
  </si>
  <si>
    <t xml:space="preserve">GM0377   </t>
  </si>
  <si>
    <t xml:space="preserve">GM0383   </t>
  </si>
  <si>
    <t xml:space="preserve">GM0384   </t>
  </si>
  <si>
    <t xml:space="preserve">GM0385   </t>
  </si>
  <si>
    <t xml:space="preserve">GM0388   </t>
  </si>
  <si>
    <t xml:space="preserve">GM0392   </t>
  </si>
  <si>
    <t xml:space="preserve">GM0394   </t>
  </si>
  <si>
    <t xml:space="preserve">GM0396   </t>
  </si>
  <si>
    <t xml:space="preserve">GM0397   </t>
  </si>
  <si>
    <t xml:space="preserve">GM0398   </t>
  </si>
  <si>
    <t xml:space="preserve">GM0399   </t>
  </si>
  <si>
    <t xml:space="preserve">GM0400   </t>
  </si>
  <si>
    <t xml:space="preserve">GM0402   </t>
  </si>
  <si>
    <t xml:space="preserve">GM0405   </t>
  </si>
  <si>
    <t xml:space="preserve">GM0406   </t>
  </si>
  <si>
    <t xml:space="preserve">GM0415   </t>
  </si>
  <si>
    <t xml:space="preserve">GM0416   </t>
  </si>
  <si>
    <t xml:space="preserve">GM0417   </t>
  </si>
  <si>
    <t xml:space="preserve">GM0420   </t>
  </si>
  <si>
    <t xml:space="preserve">GM0431   </t>
  </si>
  <si>
    <t xml:space="preserve">GM0432   </t>
  </si>
  <si>
    <t xml:space="preserve">GM0437   </t>
  </si>
  <si>
    <t xml:space="preserve">GM0439   </t>
  </si>
  <si>
    <t xml:space="preserve">GM0441   </t>
  </si>
  <si>
    <t xml:space="preserve">GM0448   </t>
  </si>
  <si>
    <t xml:space="preserve">GM0450   </t>
  </si>
  <si>
    <t xml:space="preserve">GM0451   </t>
  </si>
  <si>
    <t xml:space="preserve">GM0453   </t>
  </si>
  <si>
    <t xml:space="preserve">GM0457   </t>
  </si>
  <si>
    <t xml:space="preserve">GM0473   </t>
  </si>
  <si>
    <t xml:space="preserve">GM0479   </t>
  </si>
  <si>
    <t xml:space="preserve">GM0482   </t>
  </si>
  <si>
    <t xml:space="preserve">GM0484   </t>
  </si>
  <si>
    <t xml:space="preserve">GM0489   </t>
  </si>
  <si>
    <t xml:space="preserve">GM0498   </t>
  </si>
  <si>
    <t xml:space="preserve">GM0501   </t>
  </si>
  <si>
    <t xml:space="preserve">GM0502   </t>
  </si>
  <si>
    <t xml:space="preserve">GM0503   </t>
  </si>
  <si>
    <t xml:space="preserve">GM0505   </t>
  </si>
  <si>
    <t xml:space="preserve">GM0512   </t>
  </si>
  <si>
    <t xml:space="preserve">GM0513   </t>
  </si>
  <si>
    <t xml:space="preserve">GM0518   </t>
  </si>
  <si>
    <t xml:space="preserve">GM0523   </t>
  </si>
  <si>
    <t xml:space="preserve">GM0530   </t>
  </si>
  <si>
    <t xml:space="preserve">GM0531   </t>
  </si>
  <si>
    <t xml:space="preserve">GM0532   </t>
  </si>
  <si>
    <t xml:space="preserve">GM0534   </t>
  </si>
  <si>
    <t xml:space="preserve">GM0537   </t>
  </si>
  <si>
    <t xml:space="preserve">GM0542   </t>
  </si>
  <si>
    <t xml:space="preserve">GM0546   </t>
  </si>
  <si>
    <t xml:space="preserve">GM0547   </t>
  </si>
  <si>
    <t xml:space="preserve">GM0553   </t>
  </si>
  <si>
    <t xml:space="preserve">GM0556   </t>
  </si>
  <si>
    <t xml:space="preserve">GM0569   </t>
  </si>
  <si>
    <t xml:space="preserve">GM0575   </t>
  </si>
  <si>
    <t xml:space="preserve">GM0579   </t>
  </si>
  <si>
    <t xml:space="preserve">GM0589   </t>
  </si>
  <si>
    <t xml:space="preserve">GM0590   </t>
  </si>
  <si>
    <t xml:space="preserve">GM0597   </t>
  </si>
  <si>
    <t xml:space="preserve">GM0599   </t>
  </si>
  <si>
    <t xml:space="preserve">GM0603   </t>
  </si>
  <si>
    <t xml:space="preserve">GM0606   </t>
  </si>
  <si>
    <t xml:space="preserve">GM0610   </t>
  </si>
  <si>
    <t xml:space="preserve">GM0613   </t>
  </si>
  <si>
    <t xml:space="preserve">GM0614   </t>
  </si>
  <si>
    <t xml:space="preserve">GM0622   </t>
  </si>
  <si>
    <t xml:space="preserve">GM0626   </t>
  </si>
  <si>
    <t xml:space="preserve">GM0627   </t>
  </si>
  <si>
    <t xml:space="preserve">GM0629   </t>
  </si>
  <si>
    <t xml:space="preserve">GM0632   </t>
  </si>
  <si>
    <t xml:space="preserve">GM0637   </t>
  </si>
  <si>
    <t xml:space="preserve">GM0638   </t>
  </si>
  <si>
    <t xml:space="preserve">GM0642   </t>
  </si>
  <si>
    <t xml:space="preserve">GM0654   </t>
  </si>
  <si>
    <t xml:space="preserve">GM0664   </t>
  </si>
  <si>
    <t xml:space="preserve">GM0668   </t>
  </si>
  <si>
    <t xml:space="preserve">GM0677   </t>
  </si>
  <si>
    <t xml:space="preserve">GM0678   </t>
  </si>
  <si>
    <t xml:space="preserve">GM0687   </t>
  </si>
  <si>
    <t xml:space="preserve">GM0703   </t>
  </si>
  <si>
    <t xml:space="preserve">GM0715   </t>
  </si>
  <si>
    <t xml:space="preserve">GM0716   </t>
  </si>
  <si>
    <t xml:space="preserve">GM0717   </t>
  </si>
  <si>
    <t xml:space="preserve">GM0718   </t>
  </si>
  <si>
    <t xml:space="preserve">GM0736   </t>
  </si>
  <si>
    <t xml:space="preserve">GM0737   </t>
  </si>
  <si>
    <t xml:space="preserve">GM0743   </t>
  </si>
  <si>
    <t xml:space="preserve">GM0744   </t>
  </si>
  <si>
    <t xml:space="preserve">GM0748   </t>
  </si>
  <si>
    <t xml:space="preserve">GM0753   </t>
  </si>
  <si>
    <t xml:space="preserve">GM0755   </t>
  </si>
  <si>
    <t xml:space="preserve">GM0756   </t>
  </si>
  <si>
    <t xml:space="preserve">GM0757   </t>
  </si>
  <si>
    <t xml:space="preserve">GM0758   </t>
  </si>
  <si>
    <t xml:space="preserve">GM0762   </t>
  </si>
  <si>
    <t xml:space="preserve">GM0765   </t>
  </si>
  <si>
    <t xml:space="preserve">GM0766   </t>
  </si>
  <si>
    <t xml:space="preserve">GM0770   </t>
  </si>
  <si>
    <t xml:space="preserve">GM0772   </t>
  </si>
  <si>
    <t xml:space="preserve">GM0777   </t>
  </si>
  <si>
    <t xml:space="preserve">GM0779   </t>
  </si>
  <si>
    <t xml:space="preserve">GM0784   </t>
  </si>
  <si>
    <t xml:space="preserve">GM0785   </t>
  </si>
  <si>
    <t xml:space="preserve">GM0786   </t>
  </si>
  <si>
    <t xml:space="preserve">GM0788   </t>
  </si>
  <si>
    <t xml:space="preserve">GM0794   </t>
  </si>
  <si>
    <t xml:space="preserve">GM0796   </t>
  </si>
  <si>
    <t xml:space="preserve">GM0797   </t>
  </si>
  <si>
    <t xml:space="preserve">GM0798   </t>
  </si>
  <si>
    <t xml:space="preserve">GM0809   </t>
  </si>
  <si>
    <t xml:space="preserve">GM0815   </t>
  </si>
  <si>
    <t xml:space="preserve">GM0820   </t>
  </si>
  <si>
    <t xml:space="preserve">GM0823   </t>
  </si>
  <si>
    <t xml:space="preserve">GM0824   </t>
  </si>
  <si>
    <t xml:space="preserve">GM0826   </t>
  </si>
  <si>
    <t xml:space="preserve">GM0828   </t>
  </si>
  <si>
    <t xml:space="preserve">GM0840   </t>
  </si>
  <si>
    <t xml:space="preserve">GM0845   </t>
  </si>
  <si>
    <t xml:space="preserve">GM0847   </t>
  </si>
  <si>
    <t xml:space="preserve">GM0848   </t>
  </si>
  <si>
    <t xml:space="preserve">GM0851   </t>
  </si>
  <si>
    <t xml:space="preserve">GM0852   </t>
  </si>
  <si>
    <t xml:space="preserve">GM0855   </t>
  </si>
  <si>
    <t xml:space="preserve">GM0856   </t>
  </si>
  <si>
    <t xml:space="preserve">GM0858   </t>
  </si>
  <si>
    <t xml:space="preserve">GM0861   </t>
  </si>
  <si>
    <t xml:space="preserve">GM0865   </t>
  </si>
  <si>
    <t xml:space="preserve">GM0866   </t>
  </si>
  <si>
    <t xml:space="preserve">GM0867   </t>
  </si>
  <si>
    <t xml:space="preserve">GM0873   </t>
  </si>
  <si>
    <t xml:space="preserve">GM0879   </t>
  </si>
  <si>
    <t xml:space="preserve">GM0880   </t>
  </si>
  <si>
    <t xml:space="preserve">GM0882   </t>
  </si>
  <si>
    <t xml:space="preserve">GM0888   </t>
  </si>
  <si>
    <t xml:space="preserve">GM0889   </t>
  </si>
  <si>
    <t xml:space="preserve">GM0893   </t>
  </si>
  <si>
    <t xml:space="preserve">GM0899   </t>
  </si>
  <si>
    <t xml:space="preserve">GM0907   </t>
  </si>
  <si>
    <t xml:space="preserve">GM0917   </t>
  </si>
  <si>
    <t xml:space="preserve">GM0928   </t>
  </si>
  <si>
    <t xml:space="preserve">GM0935   </t>
  </si>
  <si>
    <t xml:space="preserve">GM0938   </t>
  </si>
  <si>
    <t xml:space="preserve">GM0944   </t>
  </si>
  <si>
    <t xml:space="preserve">GM0946   </t>
  </si>
  <si>
    <t xml:space="preserve">GM0957   </t>
  </si>
  <si>
    <t xml:space="preserve">GM0965   </t>
  </si>
  <si>
    <t xml:space="preserve">GM0971   </t>
  </si>
  <si>
    <t xml:space="preserve">GM0981   </t>
  </si>
  <si>
    <t xml:space="preserve">GM0983   </t>
  </si>
  <si>
    <t xml:space="preserve">GM0984   </t>
  </si>
  <si>
    <t xml:space="preserve">GM0986   </t>
  </si>
  <si>
    <t xml:space="preserve">GM0988   </t>
  </si>
  <si>
    <t xml:space="preserve">GM0994   </t>
  </si>
  <si>
    <t xml:space="preserve">GM0995   </t>
  </si>
  <si>
    <t xml:space="preserve">GM1507   </t>
  </si>
  <si>
    <t xml:space="preserve">GM1509   </t>
  </si>
  <si>
    <t xml:space="preserve">GM1525   </t>
  </si>
  <si>
    <t xml:space="preserve">GM1581   </t>
  </si>
  <si>
    <t xml:space="preserve">GM1586   </t>
  </si>
  <si>
    <t xml:space="preserve">GM1598   </t>
  </si>
  <si>
    <t xml:space="preserve">GM1621   </t>
  </si>
  <si>
    <t xml:space="preserve">GM1640   </t>
  </si>
  <si>
    <t xml:space="preserve">GM1641   </t>
  </si>
  <si>
    <t xml:space="preserve">GM1652   </t>
  </si>
  <si>
    <t xml:space="preserve">GM1655   </t>
  </si>
  <si>
    <t xml:space="preserve">GM1658   </t>
  </si>
  <si>
    <t xml:space="preserve">GM1659   </t>
  </si>
  <si>
    <t xml:space="preserve">GM1667   </t>
  </si>
  <si>
    <t xml:space="preserve">GM1669   </t>
  </si>
  <si>
    <t xml:space="preserve">GM1674   </t>
  </si>
  <si>
    <t xml:space="preserve">GM1676   </t>
  </si>
  <si>
    <t xml:space="preserve">GM1680   </t>
  </si>
  <si>
    <t xml:space="preserve">GM1681   </t>
  </si>
  <si>
    <t xml:space="preserve">GM1684   </t>
  </si>
  <si>
    <t xml:space="preserve">GM1685   </t>
  </si>
  <si>
    <t xml:space="preserve">GM1690   </t>
  </si>
  <si>
    <t xml:space="preserve">GM1695   </t>
  </si>
  <si>
    <t xml:space="preserve">GM1696   </t>
  </si>
  <si>
    <t xml:space="preserve">GM1699   </t>
  </si>
  <si>
    <t xml:space="preserve">GM1700   </t>
  </si>
  <si>
    <t xml:space="preserve">GM1701   </t>
  </si>
  <si>
    <t xml:space="preserve">GM1702   </t>
  </si>
  <si>
    <t xml:space="preserve">GM1705   </t>
  </si>
  <si>
    <t xml:space="preserve">GM1706   </t>
  </si>
  <si>
    <t xml:space="preserve">GM1708   </t>
  </si>
  <si>
    <t xml:space="preserve">GM1709   </t>
  </si>
  <si>
    <t xml:space="preserve">GM1711   </t>
  </si>
  <si>
    <t xml:space="preserve">GM1714   </t>
  </si>
  <si>
    <t xml:space="preserve">GM1719   </t>
  </si>
  <si>
    <t xml:space="preserve">GM1721   </t>
  </si>
  <si>
    <t xml:space="preserve">GM1723   </t>
  </si>
  <si>
    <t xml:space="preserve">GM1724   </t>
  </si>
  <si>
    <t xml:space="preserve">GM1728   </t>
  </si>
  <si>
    <t xml:space="preserve">GM1729   </t>
  </si>
  <si>
    <t xml:space="preserve">GM1730   </t>
  </si>
  <si>
    <t xml:space="preserve">GM1731   </t>
  </si>
  <si>
    <t xml:space="preserve">GM1734   </t>
  </si>
  <si>
    <t xml:space="preserve">GM1735   </t>
  </si>
  <si>
    <t xml:space="preserve">GM1740   </t>
  </si>
  <si>
    <t xml:space="preserve">GM1742   </t>
  </si>
  <si>
    <t xml:space="preserve">GM1771   </t>
  </si>
  <si>
    <t xml:space="preserve">GM1773   </t>
  </si>
  <si>
    <t xml:space="preserve">GM1774   </t>
  </si>
  <si>
    <t xml:space="preserve">GM1783   </t>
  </si>
  <si>
    <t xml:space="preserve">GM1842   </t>
  </si>
  <si>
    <t xml:space="preserve">GM1859   </t>
  </si>
  <si>
    <t xml:space="preserve">GM1876   </t>
  </si>
  <si>
    <t xml:space="preserve">GM1883   </t>
  </si>
  <si>
    <t xml:space="preserve">GM1884   </t>
  </si>
  <si>
    <t xml:space="preserve">GM1891   </t>
  </si>
  <si>
    <t xml:space="preserve">GM1892   </t>
  </si>
  <si>
    <t xml:space="preserve">GM1894   </t>
  </si>
  <si>
    <t xml:space="preserve">GM1895   </t>
  </si>
  <si>
    <t xml:space="preserve">GM1896   </t>
  </si>
  <si>
    <t xml:space="preserve">GM1900   </t>
  </si>
  <si>
    <t xml:space="preserve">GM1901   </t>
  </si>
  <si>
    <t xml:space="preserve">GM1903   </t>
  </si>
  <si>
    <t xml:space="preserve">GM1904   </t>
  </si>
  <si>
    <t xml:space="preserve">GM1911   </t>
  </si>
  <si>
    <t xml:space="preserve">GM1916   </t>
  </si>
  <si>
    <t xml:space="preserve">GM1924   </t>
  </si>
  <si>
    <t xml:space="preserve">GM1926   </t>
  </si>
  <si>
    <t xml:space="preserve">GM1930   </t>
  </si>
  <si>
    <t xml:space="preserve">GM1931   </t>
  </si>
  <si>
    <t xml:space="preserve">GM1940   </t>
  </si>
  <si>
    <t xml:space="preserve">GM1942   </t>
  </si>
  <si>
    <t xml:space="preserve">GM1945   </t>
  </si>
  <si>
    <t xml:space="preserve">GM1948   </t>
  </si>
  <si>
    <t xml:space="preserve">GM1949   </t>
  </si>
  <si>
    <t xml:space="preserve">GM1950   </t>
  </si>
  <si>
    <t xml:space="preserve">GM1952   </t>
  </si>
  <si>
    <t xml:space="preserve">GM1954   </t>
  </si>
  <si>
    <t xml:space="preserve">GM1955   </t>
  </si>
  <si>
    <t xml:space="preserve">GM1959   </t>
  </si>
  <si>
    <t xml:space="preserve">GM1960   </t>
  </si>
  <si>
    <t xml:space="preserve">GM1961   </t>
  </si>
  <si>
    <t xml:space="preserve">GM1963   </t>
  </si>
  <si>
    <t xml:space="preserve">GM1966   </t>
  </si>
  <si>
    <t xml:space="preserve">GM1969   </t>
  </si>
  <si>
    <t xml:space="preserve">GM1970   </t>
  </si>
  <si>
    <t xml:space="preserve">GM1978   </t>
  </si>
  <si>
    <t>Wonen en bouwen lonen en salarissen 2019</t>
  </si>
  <si>
    <t>Volksgezondheid en milieu lonen en salarissen 2019</t>
  </si>
  <si>
    <t>Sport cultuur en recreatie lonen en salarissen 2019</t>
  </si>
  <si>
    <t>Onderwijs lonen en slarissen 2019</t>
  </si>
  <si>
    <t>Economie lonen en salarissen 2019</t>
  </si>
  <si>
    <t>Verkeer en vervoer lonen en salarissen 2019</t>
  </si>
  <si>
    <t>Openbare orde en veiligheid lonen en salarissen 2019</t>
  </si>
  <si>
    <t>Zorg en jeugd lonen en salarissen 2019</t>
  </si>
  <si>
    <t>Inkomensvoorzieningen lonen en salarissen 2019</t>
  </si>
  <si>
    <t>Bestuur en ondersteuning lonen en salarissen 2019</t>
  </si>
  <si>
    <t>8. Afschijvingen</t>
  </si>
  <si>
    <t>9. Lonen en salarissen</t>
  </si>
  <si>
    <t>10. Bestuur en ondersteuning excl. afschr &amp; sal</t>
  </si>
  <si>
    <t>11. Veiligheid excl. afschr &amp; sal</t>
  </si>
  <si>
    <t>12. Economie excl. afschr &amp; sal</t>
  </si>
  <si>
    <t>13. Onderwijs excl. afschr &amp; sal</t>
  </si>
  <si>
    <t>14. Sport, cultuur en recreatie excl. afschr &amp; sal</t>
  </si>
  <si>
    <t>15. Inkomensregelingen excl. afschr &amp; sal</t>
  </si>
  <si>
    <t>16. Zorg en jeugd excl afschr &amp; sal</t>
  </si>
  <si>
    <t>17. Volksgezondheid en milieu excl afschr &amp; sal</t>
  </si>
  <si>
    <t>18. Volkshuisvesting excl bouwgrond afschr &amp; sal</t>
  </si>
  <si>
    <t>Lonen en salarissen inclusief sociale lasten</t>
  </si>
  <si>
    <t>Inkomstenregelingen (bijstand, wsw-oud etc) excl. afschrijvingslasten, lonen gemeente en rentelasten</t>
  </si>
  <si>
    <t>Zorg en jeugd excl. afschrijvingslasten, lonen gemeente en rentelasten</t>
  </si>
  <si>
    <t>Bestuur en ondersteuning excl. afschrijvingslasten, lonen gemeente en rentelasten</t>
  </si>
  <si>
    <t>Openbare orde &amp; veiligheid excl. afschrijvingslasten, lonen gemeente en rentelasten</t>
  </si>
  <si>
    <t>Onderwijs excl. afschrijvingslasten, lonen gemeente en rentelasten</t>
  </si>
  <si>
    <t>Economie excl. afschrijvingslasten, lonen gemeente en rentelasten</t>
  </si>
  <si>
    <t>Sport, cultuur en recreatie excl. afschrijvingslasten, lonen gemeente en rentelasten</t>
  </si>
  <si>
    <t>Volksgezondheid en milieu excl. afschrijvingslasten, lonen gemeente en rentelasten</t>
  </si>
  <si>
    <t>Volkshuisvesting excl. bouwgrondexploitatie, afschrijvingslasten, lonen gemeente en rentelasten</t>
  </si>
  <si>
    <t>Liquiditeit</t>
  </si>
  <si>
    <t>Solvabiliteit</t>
  </si>
  <si>
    <t>Exploitatie</t>
  </si>
  <si>
    <t>Voorzieningenniveau</t>
  </si>
  <si>
    <t>Weerbaarheid</t>
  </si>
  <si>
    <t>Houdbaarheidsquote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</si>
</sst>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 #,##0;&quot;€&quot;\ \-#,##0"/>
    <numFmt numFmtId="6" formatCode="&quot;€&quot;\ #,##0;[Red]&quot;€&quot;\ \-#,##0"/>
    <numFmt numFmtId="42" formatCode="_ &quot;€&quot;\ * #,##0_ ;_ &quot;€&quot;\ * \-#,##0_ ;_ &quot;€&quot;\ * &quot;-&quot;_ ;_ @_ "/>
    <numFmt numFmtId="44" formatCode="_ &quot;€&quot;\ * #,##0.00_ ;_ &quot;€&quot;\ * \-#,##0.00_ ;_ &quot;€&quot;\ * &quot;-&quot;??_ ;_ @_ "/>
    <numFmt numFmtId="43" formatCode="_ * #,##0.00_ ;_ * \-#,##0.00_ ;_ * &quot;-&quot;??_ ;_ @_ "/>
    <numFmt numFmtId="164" formatCode="_-&quot;€&quot;\ * #,##0_-;_-&quot;€&quot;\ * #,##0\-;_-&quot;€&quot;\ * &quot;-&quot;_-;_-@_-"/>
    <numFmt numFmtId="165" formatCode="0.0%"/>
    <numFmt numFmtId="166" formatCode="_-&quot;€&quot;\ * #,##0.0_-;_-&quot;€&quot;\ * #,##0.0\-;_-&quot;€&quot;\ * &quot;-&quot;?_-;_-@_-"/>
    <numFmt numFmtId="167" formatCode="&quot;€&quot;\ #,##0"/>
    <numFmt numFmtId="168" formatCode="&quot;€&quot;\ #,##0;[Red]&quot;€&quot;\ #,##0"/>
    <numFmt numFmtId="169" formatCode="#,##0_ ;[Red]\-#,##0\ "/>
    <numFmt numFmtId="170" formatCode="0_ ;[Red]\-0\ "/>
    <numFmt numFmtId="171" formatCode="0.0"/>
    <numFmt numFmtId="172" formatCode="0.0000%"/>
    <numFmt numFmtId="173" formatCode="0.000000%"/>
    <numFmt numFmtId="174" formatCode="0.0000"/>
    <numFmt numFmtId="175" formatCode="0.000"/>
    <numFmt numFmtId="176" formatCode="#,##0_ ;\-#,##0\ "/>
  </numFmts>
  <fonts count="22" x14ac:knownFonts="1">
    <font>
      <sz val="10"/>
      <color theme="1"/>
      <name val="Arial"/>
      <family val="2"/>
    </font>
    <font>
      <sz val="10"/>
      <name val="Arial"/>
      <family val="2"/>
    </font>
    <font>
      <b/>
      <sz val="8"/>
      <name val="Arial"/>
      <family val="2"/>
    </font>
    <font>
      <u val="singleAccounting"/>
      <sz val="10"/>
      <color indexed="8"/>
      <name val="Arial"/>
      <family val="2"/>
    </font>
    <font>
      <b/>
      <sz val="9"/>
      <color indexed="81"/>
      <name val="Tahoma"/>
      <family val="2"/>
    </font>
    <font>
      <b/>
      <sz val="10"/>
      <color theme="1"/>
      <name val="Arial"/>
      <family val="2"/>
    </font>
    <font>
      <sz val="10"/>
      <color rgb="FFFF0000"/>
      <name val="Arial"/>
      <family val="2"/>
    </font>
    <font>
      <sz val="10"/>
      <color theme="1"/>
      <name val="Calibri"/>
      <family val="2"/>
    </font>
    <font>
      <u val="singleAccounting"/>
      <sz val="10"/>
      <color theme="1"/>
      <name val="Arial"/>
      <family val="2"/>
    </font>
    <font>
      <sz val="8"/>
      <name val="Arial"/>
      <family val="2"/>
    </font>
    <font>
      <b/>
      <sz val="10"/>
      <name val="Arial"/>
      <family val="2"/>
    </font>
    <font>
      <sz val="11"/>
      <color indexed="8"/>
      <name val="Calibri"/>
      <family val="2"/>
      <scheme val="minor"/>
    </font>
    <font>
      <sz val="9"/>
      <color indexed="81"/>
      <name val="Tahoma"/>
      <family val="2"/>
    </font>
    <font>
      <sz val="9"/>
      <color theme="1"/>
      <name val="Arial"/>
      <family val="2"/>
    </font>
    <font>
      <u/>
      <sz val="10"/>
      <color theme="1"/>
      <name val="Arial"/>
      <family val="2"/>
    </font>
    <font>
      <b/>
      <i/>
      <sz val="10"/>
      <color theme="1"/>
      <name val="Arial"/>
      <family val="2"/>
    </font>
    <font>
      <sz val="10"/>
      <color theme="1"/>
      <name val="Arial"/>
      <family val="2"/>
    </font>
    <font>
      <b/>
      <u/>
      <sz val="10"/>
      <color theme="1"/>
      <name val="Arial"/>
      <family val="2"/>
    </font>
    <font>
      <b/>
      <sz val="10"/>
      <color theme="1"/>
      <name val="Calibri"/>
      <family val="2"/>
    </font>
    <font>
      <sz val="10"/>
      <color theme="4" tint="0.79998168889431442"/>
      <name val="Arial"/>
      <family val="2"/>
    </font>
    <font>
      <b/>
      <sz val="8"/>
      <color rgb="FFFF0000"/>
      <name val="Arial"/>
      <family val="2"/>
    </font>
    <font>
      <sz val="10"/>
      <color rgb="FF000000"/>
      <name val="Arial"/>
      <family val="2"/>
    </font>
  </fonts>
  <fills count="8">
    <fill>
      <patternFill patternType="none"/>
    </fill>
    <fill>
      <patternFill patternType="gray125"/>
    </fill>
    <fill>
      <patternFill patternType="solid">
        <fgColor theme="5" tint="0.79998168889431442"/>
        <bgColor indexed="65"/>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6337778862885"/>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0" fontId="2" fillId="0" borderId="0" applyNumberFormat="0" applyFill="0" applyBorder="0" applyProtection="0"/>
    <xf numFmtId="0" fontId="11" fillId="0" borderId="0"/>
    <xf numFmtId="43" fontId="16" fillId="0" borderId="0" applyFont="0" applyFill="0" applyBorder="0" applyAlignment="0" applyProtection="0"/>
  </cellStyleXfs>
  <cellXfs count="324">
    <xf numFmtId="0" fontId="0" fillId="0" borderId="0" xfId="0"/>
    <xf numFmtId="0" fontId="5" fillId="3" borderId="0" xfId="0" applyFont="1" applyFill="1" applyProtection="1"/>
    <xf numFmtId="0" fontId="5" fillId="3" borderId="0" xfId="0" applyFont="1" applyFill="1" applyProtection="1">
      <protection hidden="1"/>
    </xf>
    <xf numFmtId="0" fontId="0" fillId="3" borderId="0" xfId="0" applyFill="1" applyProtection="1">
      <protection hidden="1"/>
    </xf>
    <xf numFmtId="165" fontId="0" fillId="3" borderId="0" xfId="0" applyNumberFormat="1" applyFill="1" applyProtection="1"/>
    <xf numFmtId="0" fontId="0" fillId="3" borderId="0" xfId="0" applyFill="1" applyProtection="1"/>
    <xf numFmtId="165" fontId="0" fillId="3" borderId="0" xfId="0" applyNumberFormat="1" applyFont="1" applyFill="1" applyProtection="1"/>
    <xf numFmtId="9" fontId="0" fillId="3" borderId="0" xfId="0" applyNumberFormat="1" applyFill="1" applyProtection="1">
      <protection hidden="1"/>
    </xf>
    <xf numFmtId="10" fontId="0" fillId="3" borderId="0" xfId="0" applyNumberFormat="1" applyFill="1" applyProtection="1">
      <protection hidden="1"/>
    </xf>
    <xf numFmtId="164" fontId="0" fillId="3" borderId="0" xfId="0" applyNumberFormat="1" applyFill="1" applyProtection="1"/>
    <xf numFmtId="9" fontId="0" fillId="3" borderId="0" xfId="0" applyNumberFormat="1" applyFill="1" applyProtection="1"/>
    <xf numFmtId="164" fontId="0" fillId="0" borderId="0" xfId="0" applyNumberFormat="1" applyFill="1" applyProtection="1">
      <protection locked="0"/>
    </xf>
    <xf numFmtId="164" fontId="0" fillId="3" borderId="0" xfId="0" applyNumberFormat="1" applyFill="1" applyProtection="1">
      <protection hidden="1"/>
    </xf>
    <xf numFmtId="0" fontId="0" fillId="3" borderId="0" xfId="0" applyFill="1" applyAlignment="1" applyProtection="1">
      <alignment horizontal="right"/>
      <protection hidden="1"/>
    </xf>
    <xf numFmtId="0" fontId="0" fillId="3" borderId="0" xfId="0" applyFill="1"/>
    <xf numFmtId="14" fontId="0" fillId="3" borderId="0" xfId="0" applyNumberFormat="1" applyFill="1"/>
    <xf numFmtId="164" fontId="0" fillId="3" borderId="0" xfId="0" applyNumberFormat="1" applyFill="1"/>
    <xf numFmtId="9" fontId="0" fillId="3" borderId="0" xfId="0" applyNumberFormat="1" applyFill="1"/>
    <xf numFmtId="165" fontId="0" fillId="3" borderId="0" xfId="0" applyNumberFormat="1" applyFill="1"/>
    <xf numFmtId="165" fontId="0" fillId="3" borderId="0" xfId="0" applyNumberFormat="1" applyFill="1" applyProtection="1">
      <protection hidden="1"/>
    </xf>
    <xf numFmtId="164" fontId="0" fillId="0" borderId="0" xfId="0" applyNumberFormat="1" applyFont="1" applyFill="1" applyProtection="1">
      <protection locked="0"/>
    </xf>
    <xf numFmtId="6" fontId="0" fillId="3" borderId="0" xfId="0" applyNumberFormat="1" applyFill="1" applyProtection="1">
      <protection hidden="1"/>
    </xf>
    <xf numFmtId="6" fontId="1" fillId="3" borderId="0" xfId="0" applyNumberFormat="1" applyFont="1" applyFill="1" applyProtection="1">
      <protection hidden="1"/>
    </xf>
    <xf numFmtId="0" fontId="7" fillId="3" borderId="0" xfId="0" applyFont="1" applyFill="1"/>
    <xf numFmtId="10" fontId="0" fillId="3" borderId="0" xfId="0" applyNumberFormat="1" applyFill="1"/>
    <xf numFmtId="164" fontId="8" fillId="3" borderId="0" xfId="0" applyNumberFormat="1" applyFont="1" applyFill="1" applyProtection="1"/>
    <xf numFmtId="166" fontId="0" fillId="3" borderId="0" xfId="0" applyNumberFormat="1" applyFill="1" applyProtection="1">
      <protection hidden="1"/>
    </xf>
    <xf numFmtId="3" fontId="0" fillId="3" borderId="0" xfId="0" applyNumberFormat="1" applyFill="1" applyProtection="1">
      <protection hidden="1"/>
    </xf>
    <xf numFmtId="5" fontId="0" fillId="3" borderId="0" xfId="0" applyNumberFormat="1" applyFill="1" applyProtection="1">
      <protection hidden="1"/>
    </xf>
    <xf numFmtId="3" fontId="0" fillId="3" borderId="0" xfId="0" applyNumberFormat="1" applyFill="1"/>
    <xf numFmtId="0" fontId="0" fillId="3" borderId="0" xfId="0" applyFill="1" applyAlignment="1" applyProtection="1">
      <alignment vertical="top"/>
      <protection hidden="1"/>
    </xf>
    <xf numFmtId="6" fontId="0" fillId="3" borderId="0" xfId="0" applyNumberFormat="1" applyFill="1" applyAlignment="1" applyProtection="1">
      <alignment vertical="top"/>
      <protection hidden="1"/>
    </xf>
    <xf numFmtId="0" fontId="0" fillId="3" borderId="0" xfId="0" applyFill="1" applyAlignment="1" applyProtection="1">
      <alignment vertical="top"/>
    </xf>
    <xf numFmtId="165" fontId="0" fillId="3" borderId="0" xfId="0" applyNumberFormat="1" applyFill="1" applyAlignment="1" applyProtection="1">
      <alignment vertical="top"/>
    </xf>
    <xf numFmtId="164" fontId="0" fillId="0" borderId="0" xfId="0" applyNumberFormat="1" applyFont="1" applyFill="1" applyAlignment="1" applyProtection="1">
      <alignment vertical="top"/>
      <protection locked="0"/>
    </xf>
    <xf numFmtId="164" fontId="0" fillId="0" borderId="0" xfId="0" applyNumberFormat="1" applyFill="1" applyAlignment="1" applyProtection="1">
      <alignment vertical="top"/>
      <protection locked="0"/>
    </xf>
    <xf numFmtId="9" fontId="0" fillId="3" borderId="0" xfId="0" applyNumberFormat="1" applyFill="1" applyAlignment="1" applyProtection="1">
      <alignment vertical="top"/>
      <protection hidden="1"/>
    </xf>
    <xf numFmtId="165" fontId="0" fillId="3" borderId="0" xfId="0" applyNumberFormat="1" applyFill="1" applyAlignment="1" applyProtection="1">
      <alignment vertical="top"/>
      <protection hidden="1"/>
    </xf>
    <xf numFmtId="0" fontId="5" fillId="3" borderId="0" xfId="0" applyFont="1" applyFill="1"/>
    <xf numFmtId="10" fontId="0" fillId="3" borderId="0" xfId="0" applyNumberFormat="1" applyFill="1" applyProtection="1"/>
    <xf numFmtId="0" fontId="5" fillId="3" borderId="0" xfId="0" applyFont="1" applyFill="1"/>
    <xf numFmtId="42" fontId="0" fillId="3" borderId="0" xfId="0" applyNumberFormat="1" applyFill="1" applyProtection="1"/>
    <xf numFmtId="42" fontId="6" fillId="3" borderId="0" xfId="0" applyNumberFormat="1" applyFont="1" applyFill="1" applyProtection="1"/>
    <xf numFmtId="42" fontId="0" fillId="3" borderId="0" xfId="0" applyNumberFormat="1" applyFill="1" applyProtection="1">
      <protection hidden="1"/>
    </xf>
    <xf numFmtId="0" fontId="5" fillId="3" borderId="0" xfId="0" applyFont="1" applyFill="1"/>
    <xf numFmtId="0" fontId="5" fillId="3" borderId="0" xfId="0" applyFont="1" applyFill="1"/>
    <xf numFmtId="0" fontId="0" fillId="3" borderId="0" xfId="0" applyFill="1" applyBorder="1"/>
    <xf numFmtId="6" fontId="0" fillId="3" borderId="1" xfId="0" applyNumberFormat="1" applyFill="1" applyBorder="1" applyProtection="1">
      <protection hidden="1"/>
    </xf>
    <xf numFmtId="0" fontId="0" fillId="3" borderId="1" xfId="0" applyFill="1" applyBorder="1" applyProtection="1">
      <protection hidden="1"/>
    </xf>
    <xf numFmtId="165" fontId="0" fillId="0" borderId="3" xfId="0" applyNumberFormat="1" applyFill="1" applyBorder="1" applyProtection="1">
      <protection locked="0"/>
    </xf>
    <xf numFmtId="165" fontId="0" fillId="3" borderId="3" xfId="0" applyNumberFormat="1" applyFill="1" applyBorder="1" applyProtection="1"/>
    <xf numFmtId="164" fontId="0" fillId="3" borderId="3" xfId="0" applyNumberFormat="1" applyFill="1" applyBorder="1" applyAlignment="1" applyProtection="1">
      <alignment horizontal="right"/>
    </xf>
    <xf numFmtId="0" fontId="5" fillId="3" borderId="0" xfId="0" applyFont="1" applyFill="1" applyBorder="1"/>
    <xf numFmtId="10" fontId="0" fillId="3" borderId="0" xfId="0" applyNumberFormat="1" applyFill="1" applyBorder="1" applyProtection="1"/>
    <xf numFmtId="164" fontId="0" fillId="4" borderId="0" xfId="0" applyNumberFormat="1" applyFill="1" applyProtection="1">
      <protection hidden="1"/>
    </xf>
    <xf numFmtId="164" fontId="6" fillId="4" borderId="0" xfId="0" applyNumberFormat="1" applyFont="1" applyFill="1" applyProtection="1">
      <protection hidden="1"/>
    </xf>
    <xf numFmtId="42" fontId="0" fillId="3" borderId="0" xfId="0" applyNumberFormat="1" applyFill="1"/>
    <xf numFmtId="0" fontId="5" fillId="3" borderId="0" xfId="0" applyFont="1" applyFill="1" applyAlignment="1">
      <alignment horizontal="left"/>
    </xf>
    <xf numFmtId="1" fontId="5" fillId="3" borderId="0" xfId="0" applyNumberFormat="1" applyFont="1" applyFill="1"/>
    <xf numFmtId="1" fontId="5" fillId="3" borderId="0" xfId="0" applyNumberFormat="1" applyFont="1" applyFill="1" applyAlignment="1">
      <alignment horizontal="center"/>
    </xf>
    <xf numFmtId="0" fontId="0" fillId="3" borderId="0" xfId="0" applyFill="1" applyAlignment="1">
      <alignment horizontal="center"/>
    </xf>
    <xf numFmtId="0" fontId="5" fillId="3" borderId="0" xfId="0" applyFont="1" applyFill="1" applyAlignment="1">
      <alignment horizontal="center"/>
    </xf>
    <xf numFmtId="0" fontId="5" fillId="3" borderId="0" xfId="0" applyFont="1" applyFill="1" applyAlignment="1"/>
    <xf numFmtId="0" fontId="5" fillId="3" borderId="0" xfId="0" applyFont="1" applyFill="1" applyAlignment="1">
      <alignment horizontal="right"/>
    </xf>
    <xf numFmtId="1" fontId="5" fillId="3" borderId="5" xfId="0" applyNumberFormat="1" applyFont="1" applyFill="1" applyBorder="1" applyAlignment="1">
      <alignment horizontal="right"/>
    </xf>
    <xf numFmtId="0" fontId="5" fillId="3" borderId="5" xfId="0" applyFont="1" applyFill="1" applyBorder="1"/>
    <xf numFmtId="0" fontId="0" fillId="3" borderId="5" xfId="0" applyFill="1" applyBorder="1"/>
    <xf numFmtId="0" fontId="5" fillId="3" borderId="1" xfId="0" applyFont="1" applyFill="1" applyBorder="1" applyAlignment="1">
      <alignment horizontal="right"/>
    </xf>
    <xf numFmtId="1" fontId="5" fillId="3" borderId="2" xfId="0" applyNumberFormat="1" applyFont="1" applyFill="1" applyBorder="1" applyAlignment="1">
      <alignment horizontal="right"/>
    </xf>
    <xf numFmtId="1" fontId="5" fillId="3" borderId="1" xfId="0" applyNumberFormat="1" applyFont="1" applyFill="1" applyBorder="1"/>
    <xf numFmtId="0" fontId="0" fillId="3" borderId="1" xfId="0" applyFill="1" applyBorder="1"/>
    <xf numFmtId="164" fontId="3" fillId="0" borderId="0" xfId="0" applyNumberFormat="1" applyFont="1" applyFill="1" applyProtection="1">
      <protection locked="0"/>
    </xf>
    <xf numFmtId="3" fontId="5" fillId="3" borderId="0" xfId="0" applyNumberFormat="1" applyFont="1" applyFill="1"/>
    <xf numFmtId="3" fontId="5" fillId="3" borderId="5" xfId="0" applyNumberFormat="1" applyFont="1" applyFill="1" applyBorder="1"/>
    <xf numFmtId="3" fontId="5" fillId="3" borderId="1" xfId="0" applyNumberFormat="1" applyFont="1" applyFill="1" applyBorder="1"/>
    <xf numFmtId="0" fontId="5" fillId="0" borderId="6" xfId="0" applyFont="1" applyFill="1" applyBorder="1" applyAlignment="1" applyProtection="1">
      <alignment horizontal="center"/>
      <protection locked="0" hidden="1"/>
    </xf>
    <xf numFmtId="0" fontId="5" fillId="3" borderId="7" xfId="0" applyFont="1" applyFill="1" applyBorder="1" applyAlignment="1" applyProtection="1">
      <alignment horizontal="center"/>
      <protection hidden="1"/>
    </xf>
    <xf numFmtId="0" fontId="5" fillId="0" borderId="0" xfId="0" applyFont="1" applyFill="1" applyBorder="1" applyAlignment="1" applyProtection="1">
      <alignment horizontal="center"/>
      <protection locked="0"/>
    </xf>
    <xf numFmtId="0" fontId="0" fillId="3" borderId="0" xfId="0" applyFill="1" applyAlignment="1">
      <alignment horizontal="right"/>
    </xf>
    <xf numFmtId="3" fontId="5" fillId="3" borderId="1" xfId="0" applyNumberFormat="1" applyFont="1" applyFill="1" applyBorder="1" applyProtection="1"/>
    <xf numFmtId="0" fontId="9" fillId="0" borderId="0" xfId="0" applyFont="1"/>
    <xf numFmtId="42" fontId="0" fillId="0" borderId="0" xfId="0" applyNumberFormat="1" applyFont="1" applyFill="1" applyProtection="1">
      <protection locked="0"/>
    </xf>
    <xf numFmtId="0" fontId="2" fillId="0" borderId="0" xfId="0" applyFont="1"/>
    <xf numFmtId="164" fontId="8" fillId="0" borderId="0" xfId="0" applyNumberFormat="1" applyFont="1" applyFill="1" applyProtection="1">
      <protection locked="0"/>
    </xf>
    <xf numFmtId="10" fontId="0" fillId="3" borderId="0" xfId="0" applyNumberFormat="1" applyFill="1" applyBorder="1" applyAlignment="1" applyProtection="1">
      <alignment horizontal="right"/>
    </xf>
    <xf numFmtId="3" fontId="0" fillId="3" borderId="0" xfId="0" applyNumberFormat="1" applyFill="1" applyBorder="1" applyProtection="1"/>
    <xf numFmtId="10" fontId="9" fillId="0" borderId="0" xfId="0" applyNumberFormat="1" applyFont="1"/>
    <xf numFmtId="42" fontId="6" fillId="2" borderId="0" xfId="0" applyNumberFormat="1" applyFont="1" applyFill="1" applyProtection="1"/>
    <xf numFmtId="0" fontId="5" fillId="0" borderId="0" xfId="0" applyFont="1"/>
    <xf numFmtId="0" fontId="2" fillId="0" borderId="0" xfId="2" applyFont="1"/>
    <xf numFmtId="1" fontId="9" fillId="0" borderId="0" xfId="0" applyNumberFormat="1" applyFont="1"/>
    <xf numFmtId="0" fontId="1" fillId="3" borderId="0" xfId="0" applyFont="1" applyFill="1" applyProtection="1"/>
    <xf numFmtId="0" fontId="1" fillId="3" borderId="0" xfId="0" applyFont="1" applyFill="1" applyProtection="1">
      <protection hidden="1"/>
    </xf>
    <xf numFmtId="0" fontId="1" fillId="3" borderId="0" xfId="0" applyFont="1" applyFill="1"/>
    <xf numFmtId="0" fontId="10" fillId="3" borderId="0" xfId="0" applyFont="1" applyFill="1" applyProtection="1">
      <protection hidden="1"/>
    </xf>
    <xf numFmtId="1" fontId="1" fillId="3" borderId="0" xfId="0" applyNumberFormat="1" applyFont="1" applyFill="1" applyProtection="1">
      <protection hidden="1"/>
    </xf>
    <xf numFmtId="9" fontId="1" fillId="3" borderId="0" xfId="0" applyNumberFormat="1" applyFont="1" applyFill="1" applyProtection="1">
      <protection hidden="1"/>
    </xf>
    <xf numFmtId="3" fontId="1" fillId="3" borderId="0" xfId="0" applyNumberFormat="1" applyFont="1" applyFill="1" applyProtection="1">
      <protection hidden="1"/>
    </xf>
    <xf numFmtId="1" fontId="0" fillId="3" borderId="3" xfId="0" applyNumberFormat="1" applyFill="1" applyBorder="1" applyProtection="1"/>
    <xf numFmtId="165" fontId="9" fillId="0" borderId="0" xfId="0" applyNumberFormat="1" applyFont="1"/>
    <xf numFmtId="0" fontId="9" fillId="0" borderId="0" xfId="0" applyFont="1" applyFill="1"/>
    <xf numFmtId="0" fontId="0" fillId="0" borderId="0" xfId="0" applyFill="1"/>
    <xf numFmtId="165" fontId="9" fillId="0" borderId="0" xfId="0" applyNumberFormat="1" applyFont="1" applyFill="1"/>
    <xf numFmtId="164" fontId="0" fillId="3" borderId="0" xfId="0" applyNumberFormat="1" applyFont="1" applyFill="1" applyProtection="1"/>
    <xf numFmtId="2" fontId="9" fillId="0" borderId="0" xfId="0" applyNumberFormat="1" applyFont="1" applyFill="1"/>
    <xf numFmtId="2" fontId="0" fillId="0" borderId="0" xfId="0" applyNumberFormat="1" applyFont="1" applyFill="1"/>
    <xf numFmtId="169" fontId="1" fillId="3" borderId="0" xfId="0" applyNumberFormat="1" applyFont="1" applyFill="1" applyProtection="1">
      <protection hidden="1"/>
    </xf>
    <xf numFmtId="6" fontId="1" fillId="3" borderId="0" xfId="0" applyNumberFormat="1" applyFont="1" applyFill="1" applyProtection="1"/>
    <xf numFmtId="164" fontId="0" fillId="4" borderId="8" xfId="0" applyNumberFormat="1" applyFill="1" applyBorder="1" applyProtection="1">
      <protection hidden="1"/>
    </xf>
    <xf numFmtId="164" fontId="0" fillId="4" borderId="0" xfId="0" applyNumberFormat="1" applyFill="1" applyBorder="1" applyProtection="1">
      <protection hidden="1"/>
    </xf>
    <xf numFmtId="170" fontId="0" fillId="4" borderId="0" xfId="0" applyNumberFormat="1" applyFill="1" applyBorder="1" applyProtection="1">
      <protection hidden="1"/>
    </xf>
    <xf numFmtId="3" fontId="0" fillId="4" borderId="0" xfId="0" applyNumberFormat="1" applyFill="1" applyBorder="1" applyProtection="1">
      <protection hidden="1"/>
    </xf>
    <xf numFmtId="165" fontId="0" fillId="4" borderId="3" xfId="0" applyNumberFormat="1" applyFill="1" applyBorder="1" applyProtection="1">
      <protection hidden="1"/>
    </xf>
    <xf numFmtId="165" fontId="0" fillId="4" borderId="1" xfId="0" applyNumberFormat="1" applyFill="1" applyBorder="1" applyProtection="1">
      <protection hidden="1"/>
    </xf>
    <xf numFmtId="0" fontId="0" fillId="4" borderId="0" xfId="0" applyFill="1" applyBorder="1" applyProtection="1"/>
    <xf numFmtId="164" fontId="0" fillId="5" borderId="11" xfId="0" applyNumberFormat="1" applyFill="1" applyBorder="1" applyProtection="1">
      <protection hidden="1"/>
    </xf>
    <xf numFmtId="0" fontId="0" fillId="0" borderId="0" xfId="0" applyFont="1" applyFill="1"/>
    <xf numFmtId="1" fontId="2" fillId="0" borderId="0" xfId="0" applyNumberFormat="1" applyFont="1" applyFill="1"/>
    <xf numFmtId="3" fontId="5" fillId="3" borderId="8" xfId="0" applyNumberFormat="1" applyFont="1" applyFill="1" applyBorder="1"/>
    <xf numFmtId="0" fontId="13" fillId="3" borderId="0" xfId="0" applyFont="1" applyFill="1"/>
    <xf numFmtId="1" fontId="0" fillId="3" borderId="1" xfId="0" applyNumberFormat="1" applyFont="1" applyFill="1" applyBorder="1"/>
    <xf numFmtId="0" fontId="0" fillId="3" borderId="0" xfId="0" applyFont="1" applyFill="1"/>
    <xf numFmtId="1" fontId="5" fillId="3" borderId="2" xfId="0" applyNumberFormat="1" applyFont="1" applyFill="1" applyBorder="1"/>
    <xf numFmtId="3" fontId="0" fillId="0" borderId="0" xfId="0" applyNumberFormat="1" applyFont="1" applyFill="1" applyProtection="1">
      <protection locked="0"/>
    </xf>
    <xf numFmtId="3" fontId="13" fillId="3" borderId="1" xfId="0" applyNumberFormat="1" applyFont="1" applyFill="1" applyBorder="1" applyProtection="1"/>
    <xf numFmtId="0" fontId="0" fillId="3" borderId="12" xfId="0" applyFill="1" applyBorder="1" applyProtection="1">
      <protection hidden="1"/>
    </xf>
    <xf numFmtId="165" fontId="0" fillId="3" borderId="4" xfId="0" applyNumberFormat="1" applyFill="1" applyBorder="1" applyAlignment="1" applyProtection="1">
      <alignment vertical="top"/>
      <protection hidden="1"/>
    </xf>
    <xf numFmtId="0" fontId="0" fillId="3" borderId="0" xfId="0" applyFill="1" applyBorder="1" applyProtection="1">
      <protection hidden="1"/>
    </xf>
    <xf numFmtId="42" fontId="0" fillId="3" borderId="0" xfId="0" applyNumberFormat="1" applyFill="1" applyBorder="1" applyProtection="1"/>
    <xf numFmtId="166" fontId="0" fillId="3" borderId="0" xfId="0" applyNumberFormat="1" applyFill="1" applyAlignment="1" applyProtection="1">
      <alignment horizontal="left"/>
      <protection hidden="1"/>
    </xf>
    <xf numFmtId="3" fontId="0" fillId="3" borderId="0" xfId="0" applyNumberFormat="1" applyFill="1" applyAlignment="1" applyProtection="1">
      <alignment vertical="top"/>
      <protection hidden="1"/>
    </xf>
    <xf numFmtId="0" fontId="0" fillId="3" borderId="0" xfId="0" applyFill="1" applyAlignment="1" applyProtection="1">
      <alignment vertical="center"/>
    </xf>
    <xf numFmtId="164" fontId="0" fillId="0" borderId="0" xfId="0" applyNumberFormat="1" applyFill="1" applyAlignment="1" applyProtection="1">
      <alignment vertical="center"/>
      <protection locked="0"/>
    </xf>
    <xf numFmtId="0" fontId="0" fillId="3" borderId="0" xfId="0" applyFill="1" applyAlignment="1" applyProtection="1">
      <alignment vertical="center"/>
      <protection hidden="1"/>
    </xf>
    <xf numFmtId="6" fontId="0" fillId="3" borderId="0" xfId="0" applyNumberFormat="1" applyFill="1" applyAlignment="1" applyProtection="1">
      <alignment vertical="center"/>
      <protection hidden="1"/>
    </xf>
    <xf numFmtId="3" fontId="0" fillId="3" borderId="0" xfId="0" applyNumberFormat="1" applyFont="1" applyFill="1" applyProtection="1"/>
    <xf numFmtId="0" fontId="0" fillId="3" borderId="3" xfId="0" applyFill="1" applyBorder="1" applyProtection="1">
      <protection hidden="1"/>
    </xf>
    <xf numFmtId="0" fontId="5" fillId="3" borderId="6" xfId="0" applyFont="1" applyFill="1" applyBorder="1" applyProtection="1">
      <protection hidden="1"/>
    </xf>
    <xf numFmtId="165" fontId="0" fillId="0" borderId="12" xfId="0" applyNumberFormat="1" applyFont="1" applyFill="1" applyBorder="1" applyAlignment="1" applyProtection="1">
      <alignment horizontal="right"/>
      <protection locked="0"/>
    </xf>
    <xf numFmtId="165" fontId="0" fillId="3" borderId="4" xfId="0" applyNumberFormat="1" applyFill="1" applyBorder="1" applyProtection="1">
      <protection hidden="1"/>
    </xf>
    <xf numFmtId="6" fontId="0" fillId="3" borderId="0" xfId="0" applyNumberFormat="1" applyFill="1"/>
    <xf numFmtId="9" fontId="6" fillId="3" borderId="0" xfId="0" applyNumberFormat="1" applyFont="1" applyFill="1" applyProtection="1">
      <protection hidden="1"/>
    </xf>
    <xf numFmtId="5" fontId="0" fillId="3" borderId="4" xfId="0" applyNumberFormat="1" applyFill="1" applyBorder="1" applyProtection="1">
      <protection hidden="1"/>
    </xf>
    <xf numFmtId="164" fontId="0" fillId="3" borderId="0" xfId="0" applyNumberFormat="1" applyFill="1" applyBorder="1" applyAlignment="1" applyProtection="1">
      <alignment horizontal="right"/>
    </xf>
    <xf numFmtId="165" fontId="0" fillId="3" borderId="0" xfId="0" applyNumberFormat="1" applyFill="1" applyBorder="1" applyProtection="1">
      <protection hidden="1"/>
    </xf>
    <xf numFmtId="165" fontId="0" fillId="3" borderId="0" xfId="0" applyNumberFormat="1" applyFill="1" applyBorder="1" applyProtection="1"/>
    <xf numFmtId="3" fontId="5" fillId="3" borderId="0" xfId="0" applyNumberFormat="1" applyFont="1" applyFill="1" applyProtection="1">
      <protection hidden="1"/>
    </xf>
    <xf numFmtId="1" fontId="5" fillId="3" borderId="5" xfId="0" applyNumberFormat="1" applyFont="1" applyFill="1" applyBorder="1"/>
    <xf numFmtId="6" fontId="14" fillId="3" borderId="0" xfId="0" applyNumberFormat="1" applyFont="1" applyFill="1" applyProtection="1">
      <protection hidden="1"/>
    </xf>
    <xf numFmtId="6" fontId="0" fillId="3" borderId="0" xfId="0" applyNumberFormat="1" applyFont="1" applyFill="1" applyProtection="1">
      <protection hidden="1"/>
    </xf>
    <xf numFmtId="167" fontId="0" fillId="3" borderId="0" xfId="0" applyNumberFormat="1" applyFill="1" applyAlignment="1" applyProtection="1">
      <alignment vertical="top"/>
      <protection hidden="1"/>
    </xf>
    <xf numFmtId="171" fontId="0" fillId="3" borderId="1" xfId="0" applyNumberFormat="1" applyFill="1" applyBorder="1"/>
    <xf numFmtId="171" fontId="0" fillId="3" borderId="0" xfId="0" applyNumberFormat="1" applyFill="1" applyBorder="1"/>
    <xf numFmtId="3" fontId="0" fillId="0" borderId="0" xfId="0" applyNumberFormat="1"/>
    <xf numFmtId="1" fontId="0" fillId="0" borderId="0" xfId="0" applyNumberFormat="1"/>
    <xf numFmtId="0" fontId="0" fillId="3" borderId="14" xfId="0" applyFill="1" applyBorder="1"/>
    <xf numFmtId="0" fontId="0" fillId="3" borderId="15" xfId="0" applyFill="1" applyBorder="1"/>
    <xf numFmtId="3" fontId="0" fillId="0" borderId="13" xfId="0" applyNumberFormat="1" applyFont="1" applyFill="1" applyBorder="1" applyProtection="1">
      <protection locked="0"/>
    </xf>
    <xf numFmtId="0" fontId="0" fillId="3" borderId="8" xfId="0" applyFill="1" applyBorder="1"/>
    <xf numFmtId="3" fontId="0" fillId="0" borderId="1" xfId="0" applyNumberFormat="1" applyFont="1" applyFill="1" applyBorder="1" applyProtection="1">
      <protection locked="0"/>
    </xf>
    <xf numFmtId="0" fontId="0" fillId="3" borderId="9" xfId="0" applyFill="1" applyBorder="1"/>
    <xf numFmtId="165" fontId="0" fillId="0" borderId="4" xfId="0" applyNumberFormat="1" applyFill="1" applyBorder="1" applyProtection="1">
      <protection locked="0"/>
    </xf>
    <xf numFmtId="3" fontId="0" fillId="3" borderId="0" xfId="0" applyNumberFormat="1" applyFont="1" applyFill="1"/>
    <xf numFmtId="3" fontId="0" fillId="0" borderId="0" xfId="0" applyNumberFormat="1" applyFont="1" applyFill="1" applyBorder="1" applyProtection="1">
      <protection locked="0"/>
    </xf>
    <xf numFmtId="3" fontId="0" fillId="4" borderId="3" xfId="0" applyNumberFormat="1" applyFill="1" applyBorder="1" applyProtection="1">
      <protection hidden="1"/>
    </xf>
    <xf numFmtId="3" fontId="0" fillId="4" borderId="5" xfId="0" applyNumberFormat="1" applyFill="1" applyBorder="1" applyProtection="1">
      <protection hidden="1"/>
    </xf>
    <xf numFmtId="164" fontId="0" fillId="4" borderId="9" xfId="0" applyNumberFormat="1" applyFill="1" applyBorder="1" applyProtection="1">
      <protection hidden="1"/>
    </xf>
    <xf numFmtId="3" fontId="0" fillId="3" borderId="0" xfId="0" applyNumberFormat="1" applyFill="1" applyProtection="1"/>
    <xf numFmtId="5" fontId="1" fillId="3" borderId="0" xfId="0" applyNumberFormat="1" applyFont="1" applyFill="1" applyProtection="1">
      <protection hidden="1"/>
    </xf>
    <xf numFmtId="164" fontId="15" fillId="4" borderId="8" xfId="0" applyNumberFormat="1" applyFont="1" applyFill="1" applyBorder="1" applyProtection="1">
      <protection hidden="1"/>
    </xf>
    <xf numFmtId="167" fontId="0" fillId="3" borderId="0" xfId="0" applyNumberFormat="1" applyFill="1" applyProtection="1">
      <protection hidden="1"/>
    </xf>
    <xf numFmtId="0" fontId="0" fillId="3" borderId="0" xfId="0" applyFont="1" applyFill="1" applyProtection="1">
      <protection hidden="1"/>
    </xf>
    <xf numFmtId="0" fontId="5" fillId="3" borderId="0" xfId="0" applyFont="1" applyFill="1" applyAlignment="1" applyProtection="1">
      <alignment horizontal="left"/>
    </xf>
    <xf numFmtId="9" fontId="0" fillId="3" borderId="0" xfId="0" applyNumberFormat="1" applyFill="1" applyAlignment="1" applyProtection="1">
      <alignment horizontal="right"/>
    </xf>
    <xf numFmtId="5" fontId="0" fillId="3" borderId="0" xfId="0" applyNumberFormat="1" applyFill="1" applyProtection="1"/>
    <xf numFmtId="6" fontId="0" fillId="3" borderId="0" xfId="0" applyNumberFormat="1" applyFill="1" applyProtection="1"/>
    <xf numFmtId="172" fontId="0" fillId="3" borderId="0" xfId="0" applyNumberFormat="1" applyFill="1" applyProtection="1">
      <protection hidden="1"/>
    </xf>
    <xf numFmtId="165" fontId="0" fillId="3" borderId="1" xfId="0" applyNumberFormat="1" applyFill="1" applyBorder="1"/>
    <xf numFmtId="165" fontId="0" fillId="3" borderId="0" xfId="0" applyNumberFormat="1" applyFill="1" applyAlignment="1">
      <alignment horizontal="right"/>
    </xf>
    <xf numFmtId="42" fontId="0" fillId="3" borderId="13" xfId="0" applyNumberFormat="1" applyFill="1" applyBorder="1" applyProtection="1">
      <protection hidden="1"/>
    </xf>
    <xf numFmtId="42" fontId="0" fillId="3" borderId="1" xfId="0" applyNumberFormat="1" applyFill="1" applyBorder="1" applyProtection="1">
      <protection hidden="1"/>
    </xf>
    <xf numFmtId="164" fontId="0" fillId="3" borderId="13" xfId="0" applyNumberFormat="1" applyFill="1" applyBorder="1" applyProtection="1">
      <protection hidden="1"/>
    </xf>
    <xf numFmtId="164" fontId="0" fillId="3" borderId="1" xfId="0" applyNumberFormat="1" applyFill="1" applyBorder="1" applyProtection="1">
      <protection hidden="1"/>
    </xf>
    <xf numFmtId="42" fontId="0" fillId="3" borderId="2" xfId="0" applyNumberFormat="1" applyFill="1" applyBorder="1" applyProtection="1">
      <protection hidden="1"/>
    </xf>
    <xf numFmtId="173" fontId="0" fillId="3" borderId="0" xfId="0" applyNumberFormat="1" applyFill="1" applyProtection="1">
      <protection hidden="1"/>
    </xf>
    <xf numFmtId="174" fontId="0" fillId="0" borderId="0" xfId="0" applyNumberFormat="1" applyFont="1" applyFill="1"/>
    <xf numFmtId="43" fontId="0" fillId="3" borderId="0" xfId="3" applyFont="1" applyFill="1"/>
    <xf numFmtId="3" fontId="0" fillId="3" borderId="1" xfId="0" applyNumberFormat="1" applyFont="1" applyFill="1" applyBorder="1" applyProtection="1"/>
    <xf numFmtId="0" fontId="17" fillId="3" borderId="0" xfId="0" applyFont="1" applyFill="1"/>
    <xf numFmtId="165" fontId="0" fillId="3" borderId="0" xfId="0" applyNumberFormat="1" applyFill="1" applyAlignment="1" applyProtection="1">
      <alignment horizontal="right"/>
    </xf>
    <xf numFmtId="167" fontId="0" fillId="3" borderId="0" xfId="0" applyNumberFormat="1" applyFill="1"/>
    <xf numFmtId="3" fontId="0" fillId="4" borderId="4" xfId="0" applyNumberFormat="1" applyFill="1" applyBorder="1" applyProtection="1">
      <protection hidden="1"/>
    </xf>
    <xf numFmtId="164" fontId="0" fillId="4" borderId="8" xfId="0" applyNumberFormat="1" applyFont="1" applyFill="1" applyBorder="1" applyProtection="1">
      <protection hidden="1"/>
    </xf>
    <xf numFmtId="42" fontId="0" fillId="3" borderId="3" xfId="0" applyNumberFormat="1" applyFill="1" applyBorder="1" applyProtection="1"/>
    <xf numFmtId="3" fontId="9" fillId="0" borderId="0" xfId="0" applyNumberFormat="1" applyFont="1"/>
    <xf numFmtId="171" fontId="9" fillId="0" borderId="0" xfId="0" applyNumberFormat="1" applyFont="1"/>
    <xf numFmtId="171" fontId="0" fillId="0" borderId="0" xfId="0" applyNumberFormat="1"/>
    <xf numFmtId="171" fontId="2" fillId="0" borderId="0" xfId="0" applyNumberFormat="1" applyFont="1" applyAlignment="1">
      <alignment horizontal="right"/>
    </xf>
    <xf numFmtId="165" fontId="0" fillId="4" borderId="12" xfId="0" applyNumberFormat="1" applyFill="1" applyBorder="1" applyProtection="1">
      <protection hidden="1"/>
    </xf>
    <xf numFmtId="165" fontId="0" fillId="4" borderId="3" xfId="0" applyNumberFormat="1" applyFill="1" applyBorder="1" applyAlignment="1" applyProtection="1">
      <alignment vertical="center"/>
      <protection hidden="1"/>
    </xf>
    <xf numFmtId="165" fontId="0" fillId="4" borderId="4" xfId="0" applyNumberFormat="1" applyFill="1" applyBorder="1" applyAlignment="1" applyProtection="1">
      <alignment vertical="center"/>
      <protection hidden="1"/>
    </xf>
    <xf numFmtId="0" fontId="5" fillId="4" borderId="10" xfId="0" applyFont="1" applyFill="1" applyBorder="1" applyProtection="1">
      <protection hidden="1"/>
    </xf>
    <xf numFmtId="0" fontId="0" fillId="4" borderId="6" xfId="0" applyFill="1" applyBorder="1" applyProtection="1">
      <protection hidden="1"/>
    </xf>
    <xf numFmtId="0" fontId="0" fillId="3" borderId="0" xfId="0" applyNumberFormat="1" applyFill="1" applyProtection="1"/>
    <xf numFmtId="5" fontId="0" fillId="3" borderId="0" xfId="0" applyNumberFormat="1" applyFill="1"/>
    <xf numFmtId="0" fontId="10" fillId="3" borderId="0" xfId="0" applyFont="1" applyFill="1" applyAlignment="1" applyProtection="1">
      <alignment horizontal="center"/>
    </xf>
    <xf numFmtId="0" fontId="10" fillId="3" borderId="0" xfId="0" applyFont="1" applyFill="1" applyAlignment="1" applyProtection="1">
      <alignment horizontal="center"/>
      <protection hidden="1"/>
    </xf>
    <xf numFmtId="172" fontId="2" fillId="0" borderId="0" xfId="0" applyNumberFormat="1" applyFont="1" applyFill="1"/>
    <xf numFmtId="175" fontId="2" fillId="0" borderId="0" xfId="0" applyNumberFormat="1" applyFont="1" applyFill="1"/>
    <xf numFmtId="2" fontId="0" fillId="4" borderId="3" xfId="0" applyNumberFormat="1" applyFill="1" applyBorder="1" applyProtection="1">
      <protection hidden="1"/>
    </xf>
    <xf numFmtId="1" fontId="5" fillId="3" borderId="8" xfId="0" applyNumberFormat="1" applyFont="1" applyFill="1" applyBorder="1"/>
    <xf numFmtId="3" fontId="0" fillId="0" borderId="8" xfId="0" applyNumberFormat="1" applyFont="1" applyFill="1" applyBorder="1" applyProtection="1">
      <protection locked="0"/>
    </xf>
    <xf numFmtId="168" fontId="0" fillId="3" borderId="8" xfId="0" applyNumberFormat="1" applyFill="1" applyBorder="1" applyAlignment="1">
      <alignment horizontal="right"/>
    </xf>
    <xf numFmtId="176" fontId="0" fillId="3" borderId="0" xfId="0" applyNumberFormat="1" applyFill="1"/>
    <xf numFmtId="0" fontId="0" fillId="6" borderId="0" xfId="0" applyFill="1"/>
    <xf numFmtId="0" fontId="5" fillId="6" borderId="0" xfId="0" applyFont="1" applyFill="1"/>
    <xf numFmtId="2" fontId="0" fillId="6" borderId="0" xfId="0" applyNumberFormat="1" applyFill="1"/>
    <xf numFmtId="0" fontId="0" fillId="4" borderId="3" xfId="0" applyFill="1" applyBorder="1" applyProtection="1">
      <protection hidden="1"/>
    </xf>
    <xf numFmtId="170" fontId="0" fillId="4" borderId="3" xfId="0" applyNumberFormat="1" applyFill="1" applyBorder="1" applyProtection="1">
      <protection hidden="1"/>
    </xf>
    <xf numFmtId="164" fontId="0" fillId="4" borderId="3" xfId="0" applyNumberFormat="1" applyFill="1" applyBorder="1" applyProtection="1">
      <protection hidden="1"/>
    </xf>
    <xf numFmtId="0" fontId="0" fillId="4" borderId="3" xfId="0" applyFill="1" applyBorder="1" applyProtection="1"/>
    <xf numFmtId="165" fontId="0" fillId="3" borderId="0" xfId="0" applyNumberFormat="1" applyFill="1" applyBorder="1"/>
    <xf numFmtId="174" fontId="2" fillId="0" borderId="0" xfId="0" applyNumberFormat="1" applyFont="1" applyFill="1"/>
    <xf numFmtId="174" fontId="0" fillId="0" borderId="0" xfId="0" applyNumberFormat="1"/>
    <xf numFmtId="2" fontId="2" fillId="0" borderId="0" xfId="0" applyNumberFormat="1" applyFont="1" applyFill="1"/>
    <xf numFmtId="3" fontId="2" fillId="0" borderId="0" xfId="0" applyNumberFormat="1" applyFont="1" applyFill="1"/>
    <xf numFmtId="3" fontId="2" fillId="0" borderId="0" xfId="0" applyNumberFormat="1" applyFont="1" applyAlignment="1">
      <alignment horizontal="right"/>
    </xf>
    <xf numFmtId="44" fontId="0" fillId="3" borderId="0" xfId="0" applyNumberFormat="1" applyFill="1"/>
    <xf numFmtId="3" fontId="0" fillId="3" borderId="1" xfId="0" applyNumberFormat="1" applyFont="1" applyFill="1" applyBorder="1"/>
    <xf numFmtId="167" fontId="0" fillId="4" borderId="1" xfId="0" applyNumberFormat="1" applyFill="1" applyBorder="1" applyProtection="1">
      <protection hidden="1"/>
    </xf>
    <xf numFmtId="165" fontId="0" fillId="4" borderId="8" xfId="0" applyNumberFormat="1" applyFill="1" applyBorder="1" applyProtection="1">
      <protection hidden="1"/>
    </xf>
    <xf numFmtId="3" fontId="0" fillId="6" borderId="15" xfId="0" applyNumberFormat="1" applyFont="1" applyFill="1" applyBorder="1" applyProtection="1">
      <protection locked="0"/>
    </xf>
    <xf numFmtId="165" fontId="0" fillId="0" borderId="0" xfId="0" applyNumberFormat="1"/>
    <xf numFmtId="42" fontId="6" fillId="0" borderId="0" xfId="0" applyNumberFormat="1" applyFont="1" applyFill="1" applyProtection="1">
      <protection locked="0"/>
    </xf>
    <xf numFmtId="164" fontId="15" fillId="4" borderId="10" xfId="0" applyNumberFormat="1" applyFont="1" applyFill="1" applyBorder="1" applyProtection="1">
      <protection hidden="1"/>
    </xf>
    <xf numFmtId="0" fontId="19" fillId="3" borderId="0" xfId="0" applyFont="1" applyFill="1" applyProtection="1">
      <protection hidden="1"/>
    </xf>
    <xf numFmtId="0" fontId="19" fillId="3" borderId="0" xfId="0" applyFont="1" applyFill="1"/>
    <xf numFmtId="3" fontId="5" fillId="0" borderId="1" xfId="0" applyNumberFormat="1" applyFont="1" applyFill="1" applyBorder="1" applyProtection="1">
      <protection locked="0"/>
    </xf>
    <xf numFmtId="3" fontId="5" fillId="0" borderId="2" xfId="0" applyNumberFormat="1" applyFont="1" applyFill="1" applyBorder="1" applyProtection="1">
      <protection locked="0"/>
    </xf>
    <xf numFmtId="42" fontId="0" fillId="0" borderId="0" xfId="0" applyNumberFormat="1" applyFill="1" applyProtection="1">
      <protection locked="0"/>
    </xf>
    <xf numFmtId="42" fontId="0" fillId="4" borderId="0" xfId="0" applyNumberFormat="1" applyFill="1" applyProtection="1">
      <protection hidden="1"/>
    </xf>
    <xf numFmtId="0" fontId="0" fillId="0" borderId="0" xfId="0" applyNumberFormat="1"/>
    <xf numFmtId="3" fontId="0" fillId="0" borderId="2" xfId="0" applyNumberFormat="1" applyFont="1" applyFill="1" applyBorder="1" applyProtection="1">
      <protection locked="0"/>
    </xf>
    <xf numFmtId="164" fontId="1" fillId="3" borderId="0" xfId="0" applyNumberFormat="1" applyFont="1" applyFill="1" applyAlignment="1" applyProtection="1">
      <alignment horizontal="center"/>
      <protection hidden="1"/>
    </xf>
    <xf numFmtId="9" fontId="19" fillId="3" borderId="0" xfId="0" applyNumberFormat="1" applyFont="1" applyFill="1"/>
    <xf numFmtId="1" fontId="19" fillId="3" borderId="0" xfId="0" applyNumberFormat="1" applyFont="1" applyFill="1" applyProtection="1">
      <protection hidden="1"/>
    </xf>
    <xf numFmtId="3" fontId="19" fillId="3" borderId="0" xfId="0" applyNumberFormat="1" applyFont="1" applyFill="1"/>
    <xf numFmtId="0" fontId="0" fillId="6" borderId="0" xfId="0" quotePrefix="1" applyFill="1"/>
    <xf numFmtId="42" fontId="1" fillId="4" borderId="0" xfId="0" applyNumberFormat="1" applyFont="1" applyFill="1" applyProtection="1"/>
    <xf numFmtId="165" fontId="0" fillId="3" borderId="0" xfId="0" applyNumberFormat="1" applyFill="1" applyProtection="1">
      <protection locked="0"/>
    </xf>
    <xf numFmtId="0" fontId="0" fillId="0" borderId="0" xfId="0" applyFont="1"/>
    <xf numFmtId="1" fontId="0" fillId="3" borderId="0" xfId="0" applyNumberFormat="1" applyFont="1" applyFill="1" applyProtection="1">
      <protection hidden="1"/>
    </xf>
    <xf numFmtId="0" fontId="0" fillId="6" borderId="0" xfId="0" applyFont="1" applyFill="1"/>
    <xf numFmtId="164" fontId="0" fillId="3" borderId="0" xfId="0" applyNumberFormat="1" applyFont="1" applyFill="1"/>
    <xf numFmtId="3" fontId="5" fillId="4" borderId="4" xfId="0" applyNumberFormat="1" applyFont="1" applyFill="1" applyBorder="1" applyProtection="1">
      <protection hidden="1"/>
    </xf>
    <xf numFmtId="0" fontId="10" fillId="3" borderId="0" xfId="0" applyFont="1" applyFill="1"/>
    <xf numFmtId="3" fontId="1" fillId="3" borderId="0" xfId="0" applyNumberFormat="1" applyFont="1" applyFill="1"/>
    <xf numFmtId="9" fontId="19" fillId="3" borderId="0" xfId="0" applyNumberFormat="1" applyFont="1" applyFill="1" applyProtection="1">
      <protection hidden="1"/>
    </xf>
    <xf numFmtId="0" fontId="19" fillId="3" borderId="0" xfId="0" applyFont="1" applyFill="1" applyProtection="1"/>
    <xf numFmtId="1" fontId="19" fillId="3" borderId="0" xfId="0" applyNumberFormat="1" applyFont="1" applyFill="1" applyProtection="1"/>
    <xf numFmtId="0" fontId="7" fillId="3" borderId="0" xfId="0" applyFont="1" applyFill="1" applyAlignment="1">
      <alignment horizontal="right"/>
    </xf>
    <xf numFmtId="165" fontId="0" fillId="4" borderId="3" xfId="0" applyNumberFormat="1" applyFont="1" applyFill="1" applyBorder="1" applyProtection="1">
      <protection hidden="1"/>
    </xf>
    <xf numFmtId="165" fontId="1" fillId="4" borderId="3" xfId="0" applyNumberFormat="1" applyFont="1" applyFill="1" applyBorder="1" applyProtection="1"/>
    <xf numFmtId="165" fontId="1" fillId="4" borderId="1" xfId="0" applyNumberFormat="1" applyFont="1" applyFill="1" applyBorder="1" applyProtection="1">
      <protection hidden="1"/>
    </xf>
    <xf numFmtId="164" fontId="5" fillId="5" borderId="10" xfId="0" applyNumberFormat="1" applyFont="1" applyFill="1" applyBorder="1" applyProtection="1">
      <protection hidden="1"/>
    </xf>
    <xf numFmtId="164" fontId="5" fillId="5" borderId="6" xfId="0" applyNumberFormat="1" applyFont="1" applyFill="1" applyBorder="1" applyProtection="1">
      <protection hidden="1"/>
    </xf>
    <xf numFmtId="170" fontId="5" fillId="5" borderId="6" xfId="0" applyNumberFormat="1" applyFont="1" applyFill="1" applyBorder="1" applyProtection="1">
      <protection hidden="1"/>
    </xf>
    <xf numFmtId="170" fontId="5" fillId="5" borderId="7" xfId="0" applyNumberFormat="1" applyFont="1" applyFill="1" applyBorder="1" applyProtection="1">
      <protection hidden="1"/>
    </xf>
    <xf numFmtId="165" fontId="0" fillId="4" borderId="4" xfId="0" applyNumberFormat="1" applyFill="1" applyBorder="1" applyProtection="1">
      <protection hidden="1"/>
    </xf>
    <xf numFmtId="0" fontId="0" fillId="7" borderId="0" xfId="0" applyFill="1"/>
    <xf numFmtId="1" fontId="2" fillId="0" borderId="0" xfId="0" applyNumberFormat="1" applyFont="1" applyAlignment="1">
      <alignment horizontal="right"/>
    </xf>
    <xf numFmtId="1" fontId="20" fillId="0" borderId="0" xfId="0" applyNumberFormat="1" applyFont="1" applyFill="1"/>
    <xf numFmtId="1" fontId="0" fillId="0" borderId="0" xfId="0" applyNumberFormat="1" applyFont="1" applyFill="1"/>
    <xf numFmtId="165" fontId="1" fillId="4" borderId="3" xfId="0" applyNumberFormat="1" applyFont="1" applyFill="1" applyBorder="1" applyProtection="1">
      <protection hidden="1"/>
    </xf>
    <xf numFmtId="165" fontId="1" fillId="4" borderId="3" xfId="0" applyNumberFormat="1" applyFont="1" applyFill="1" applyBorder="1" applyAlignment="1" applyProtection="1">
      <alignment horizontal="right"/>
      <protection hidden="1"/>
    </xf>
    <xf numFmtId="165" fontId="1" fillId="4" borderId="8" xfId="0" applyNumberFormat="1" applyFont="1" applyFill="1" applyBorder="1" applyProtection="1">
      <protection hidden="1"/>
    </xf>
    <xf numFmtId="167" fontId="1" fillId="4" borderId="3" xfId="0" applyNumberFormat="1" applyFont="1" applyFill="1" applyBorder="1" applyProtection="1">
      <protection hidden="1"/>
    </xf>
    <xf numFmtId="165" fontId="1" fillId="4" borderId="4" xfId="0" applyNumberFormat="1" applyFont="1" applyFill="1" applyBorder="1" applyProtection="1"/>
    <xf numFmtId="0" fontId="5" fillId="3" borderId="0" xfId="0" applyFont="1" applyFill="1" applyAlignment="1" applyProtection="1">
      <alignment horizontal="right"/>
    </xf>
    <xf numFmtId="0" fontId="0" fillId="3" borderId="0" xfId="0" applyFill="1" applyAlignment="1" applyProtection="1">
      <alignment horizontal="right"/>
    </xf>
    <xf numFmtId="0" fontId="0" fillId="3" borderId="0" xfId="0" applyFill="1" applyAlignment="1" applyProtection="1">
      <alignment horizontal="right" vertical="top"/>
      <protection hidden="1"/>
    </xf>
    <xf numFmtId="0" fontId="0" fillId="3" borderId="0" xfId="0" applyFill="1" applyAlignment="1" applyProtection="1">
      <alignment horizontal="right" vertical="top"/>
    </xf>
    <xf numFmtId="0" fontId="0" fillId="3" borderId="0" xfId="0" applyFill="1" applyAlignment="1" applyProtection="1">
      <alignment horizontal="right" vertical="center"/>
    </xf>
    <xf numFmtId="0" fontId="0" fillId="3" borderId="0" xfId="0" applyFont="1" applyFill="1" applyAlignment="1" applyProtection="1">
      <alignment horizontal="right"/>
    </xf>
    <xf numFmtId="0" fontId="5" fillId="3" borderId="0" xfId="0" applyFont="1" applyFill="1" applyAlignment="1" applyProtection="1">
      <alignment horizontal="right"/>
      <protection hidden="1"/>
    </xf>
    <xf numFmtId="0" fontId="0" fillId="3" borderId="0" xfId="0" applyFill="1" applyAlignment="1" applyProtection="1">
      <alignment horizontal="left"/>
    </xf>
    <xf numFmtId="0" fontId="0" fillId="0" borderId="0" xfId="0" applyFill="1" applyAlignment="1" applyProtection="1">
      <alignment horizontal="left"/>
      <protection locked="0"/>
    </xf>
    <xf numFmtId="0" fontId="0" fillId="3" borderId="0" xfId="0" applyFill="1" applyAlignment="1" applyProtection="1">
      <alignment horizontal="left" vertical="top"/>
    </xf>
    <xf numFmtId="0" fontId="0" fillId="3" borderId="0" xfId="0" applyFill="1" applyBorder="1" applyAlignment="1" applyProtection="1">
      <alignment horizontal="left"/>
    </xf>
    <xf numFmtId="0" fontId="0" fillId="3" borderId="0" xfId="0" applyFill="1" applyAlignment="1" applyProtection="1">
      <alignment horizontal="left" vertical="center"/>
    </xf>
    <xf numFmtId="0" fontId="0" fillId="3" borderId="0" xfId="0" applyFill="1" applyAlignment="1" applyProtection="1">
      <alignment horizontal="left"/>
      <protection hidden="1"/>
    </xf>
    <xf numFmtId="0" fontId="0" fillId="3" borderId="0" xfId="0" applyFont="1" applyFill="1" applyAlignment="1" applyProtection="1">
      <alignment horizontal="left"/>
    </xf>
    <xf numFmtId="0" fontId="0" fillId="3" borderId="0" xfId="0" applyFill="1" applyBorder="1" applyAlignment="1" applyProtection="1">
      <alignment horizontal="left"/>
      <protection hidden="1"/>
    </xf>
    <xf numFmtId="0" fontId="5" fillId="3" borderId="0" xfId="0" applyFont="1" applyFill="1" applyAlignment="1" applyProtection="1">
      <alignment horizontal="right" vertical="top"/>
    </xf>
    <xf numFmtId="0" fontId="5" fillId="3" borderId="0" xfId="0" applyFont="1" applyFill="1" applyAlignment="1" applyProtection="1">
      <alignment horizontal="left" vertical="top"/>
    </xf>
    <xf numFmtId="0" fontId="0" fillId="3" borderId="15" xfId="0" applyFill="1" applyBorder="1" applyAlignment="1" applyProtection="1">
      <alignment horizontal="left"/>
      <protection hidden="1"/>
    </xf>
    <xf numFmtId="0" fontId="0" fillId="3" borderId="0" xfId="0" applyFill="1" applyAlignment="1" applyProtection="1">
      <protection hidden="1"/>
    </xf>
    <xf numFmtId="0" fontId="5" fillId="3" borderId="14" xfId="0" applyFont="1" applyFill="1" applyBorder="1" applyAlignment="1" applyProtection="1">
      <alignment horizontal="left"/>
      <protection hidden="1"/>
    </xf>
    <xf numFmtId="0" fontId="5" fillId="3" borderId="8" xfId="0" applyFont="1" applyFill="1" applyBorder="1" applyAlignment="1" applyProtection="1">
      <alignment horizontal="left"/>
      <protection hidden="1"/>
    </xf>
    <xf numFmtId="0" fontId="5" fillId="3" borderId="9" xfId="0" applyFont="1" applyFill="1" applyBorder="1" applyAlignment="1" applyProtection="1">
      <alignment horizontal="left"/>
      <protection hidden="1"/>
    </xf>
    <xf numFmtId="0" fontId="5" fillId="3" borderId="0" xfId="0" applyFont="1" applyFill="1" applyAlignment="1" applyProtection="1">
      <alignment horizontal="left"/>
      <protection hidden="1"/>
    </xf>
    <xf numFmtId="165" fontId="19" fillId="3" borderId="0" xfId="0" applyNumberFormat="1" applyFont="1" applyFill="1" applyProtection="1"/>
    <xf numFmtId="165" fontId="19" fillId="3" borderId="0" xfId="0" applyNumberFormat="1" applyFont="1" applyFill="1"/>
    <xf numFmtId="0" fontId="0" fillId="3" borderId="5" xfId="0" applyFill="1" applyBorder="1" applyAlignment="1" applyProtection="1">
      <alignment horizontal="left"/>
    </xf>
    <xf numFmtId="0" fontId="0" fillId="3" borderId="15" xfId="0" applyFill="1" applyBorder="1" applyAlignment="1" applyProtection="1">
      <alignment horizontal="left"/>
    </xf>
    <xf numFmtId="164" fontId="0" fillId="3" borderId="0" xfId="0" applyNumberFormat="1" applyFont="1" applyFill="1" applyBorder="1" applyProtection="1"/>
    <xf numFmtId="0" fontId="5" fillId="3" borderId="0" xfId="0" applyFont="1" applyFill="1" applyBorder="1" applyAlignment="1" applyProtection="1">
      <alignment horizontal="left"/>
      <protection hidden="1"/>
    </xf>
    <xf numFmtId="164" fontId="0" fillId="3" borderId="0" xfId="0" applyNumberFormat="1" applyFill="1" applyBorder="1" applyProtection="1">
      <protection hidden="1"/>
    </xf>
    <xf numFmtId="42" fontId="0" fillId="3" borderId="0" xfId="0" applyNumberFormat="1" applyFill="1" applyBorder="1" applyProtection="1">
      <protection hidden="1"/>
    </xf>
    <xf numFmtId="3" fontId="6" fillId="0" borderId="0" xfId="0" applyNumberFormat="1" applyFont="1"/>
    <xf numFmtId="3" fontId="21" fillId="0" borderId="0" xfId="0" applyNumberFormat="1" applyFont="1" applyBorder="1" applyProtection="1">
      <protection locked="0"/>
    </xf>
    <xf numFmtId="10" fontId="0" fillId="0" borderId="3" xfId="0" applyNumberFormat="1" applyFill="1" applyBorder="1" applyProtection="1">
      <protection locked="0"/>
    </xf>
    <xf numFmtId="0" fontId="6" fillId="0" borderId="0" xfId="0" applyFont="1"/>
    <xf numFmtId="1" fontId="0" fillId="7" borderId="0" xfId="0" applyNumberFormat="1" applyFill="1"/>
    <xf numFmtId="0" fontId="0" fillId="4" borderId="14" xfId="0" applyFill="1" applyBorder="1" applyAlignment="1" applyProtection="1">
      <protection hidden="1"/>
    </xf>
    <xf numFmtId="0" fontId="0" fillId="4" borderId="8" xfId="0" applyFill="1" applyBorder="1" applyAlignment="1" applyProtection="1">
      <protection hidden="1"/>
    </xf>
    <xf numFmtId="0" fontId="0" fillId="4" borderId="9" xfId="0" applyFill="1" applyBorder="1" applyAlignment="1" applyProtection="1">
      <protection hidden="1"/>
    </xf>
    <xf numFmtId="164" fontId="15" fillId="4" borderId="8" xfId="0" applyNumberFormat="1" applyFont="1" applyFill="1" applyBorder="1" applyAlignment="1" applyProtection="1">
      <protection hidden="1"/>
    </xf>
    <xf numFmtId="0" fontId="5" fillId="3" borderId="0" xfId="0" applyFont="1" applyFill="1" applyBorder="1"/>
    <xf numFmtId="0" fontId="5" fillId="3" borderId="0" xfId="0" applyFont="1" applyFill="1" applyAlignment="1">
      <alignment horizontal="left"/>
    </xf>
    <xf numFmtId="3" fontId="0" fillId="3" borderId="8" xfId="0" applyNumberFormat="1" applyFont="1" applyFill="1" applyBorder="1" applyAlignment="1">
      <alignment horizontal="right" vertical="center"/>
    </xf>
    <xf numFmtId="3" fontId="5" fillId="3" borderId="0" xfId="0" applyNumberFormat="1" applyFont="1" applyFill="1" applyProtection="1"/>
    <xf numFmtId="0" fontId="6" fillId="3" borderId="0" xfId="0" applyFont="1" applyFill="1" applyProtection="1"/>
    <xf numFmtId="0" fontId="6" fillId="3" borderId="0" xfId="0" applyFont="1" applyFill="1" applyProtection="1">
      <protection hidden="1"/>
    </xf>
  </cellXfs>
  <cellStyles count="4">
    <cellStyle name="Header" xfId="1" xr:uid="{00000000-0005-0000-0000-000000000000}"/>
    <cellStyle name="Komma" xfId="3" builtinId="3"/>
    <cellStyle name="Standaard" xfId="0" builtinId="0"/>
    <cellStyle name="Standaard 2" xfId="2" xr:uid="{00000000-0005-0000-0000-000003000000}"/>
  </cellStyles>
  <dxfs count="707">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strike/>
        <color theme="7" tint="-0.24994659260841701"/>
      </font>
    </dxf>
    <dxf>
      <font>
        <strike/>
      </font>
    </dxf>
    <dxf>
      <font>
        <strike/>
      </font>
    </dxf>
    <dxf>
      <font>
        <strike/>
        <color theme="9" tint="-0.24994659260841701"/>
      </font>
    </dxf>
    <dxf>
      <font>
        <strike/>
        <color rgb="FFFFFF00"/>
      </font>
    </dxf>
    <dxf>
      <font>
        <strike/>
        <color theme="7" tint="-0.24994659260841701"/>
      </font>
    </dxf>
    <dxf>
      <font>
        <strike/>
        <color theme="7" tint="-0.24994659260841701"/>
      </font>
    </dxf>
    <dxf>
      <font>
        <strike/>
        <color theme="7" tint="-0.24994659260841701"/>
      </font>
    </dxf>
    <dxf>
      <font>
        <strike/>
      </font>
    </dxf>
    <dxf>
      <font>
        <strike/>
      </font>
    </dxf>
    <dxf>
      <font>
        <strike/>
        <color theme="7" tint="-0.24994659260841701"/>
      </font>
    </dxf>
    <dxf>
      <font>
        <condense val="0"/>
        <extend val="0"/>
        <color rgb="FF9C0006"/>
      </font>
      <fill>
        <patternFill>
          <bgColor rgb="FFFFC7CE"/>
        </patternFill>
      </fill>
    </dxf>
    <dxf>
      <font>
        <strike/>
        <color theme="7" tint="-0.24994659260841701"/>
      </font>
    </dxf>
    <dxf>
      <font>
        <strike/>
        <color theme="7" tint="-0.24994659260841701"/>
      </font>
    </dxf>
    <dxf>
      <font>
        <strike/>
      </font>
    </dxf>
    <dxf>
      <font>
        <strike/>
      </font>
    </dxf>
    <dxf>
      <font>
        <strike/>
        <color theme="7" tint="-0.2499465926084170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Macrogegevens!$C$2</c:f>
          <c:strCache>
            <c:ptCount val="1"/>
            <c:pt idx="0">
              <c:v>Amstelveen</c:v>
            </c:pt>
          </c:strCache>
        </c:strRef>
      </c:tx>
      <c:layout>
        <c:manualLayout>
          <c:xMode val="edge"/>
          <c:yMode val="edge"/>
          <c:x val="5.6577088110519307E-2"/>
          <c:y val="3.7037234752435616E-2"/>
        </c:manualLayout>
      </c:layout>
      <c:overlay val="0"/>
      <c:txPr>
        <a:bodyPr/>
        <a:lstStyle/>
        <a:p>
          <a:pPr>
            <a:defRPr sz="1200" b="1" i="0" u="none" strike="noStrike" baseline="0">
              <a:solidFill>
                <a:srgbClr val="000000"/>
              </a:solidFill>
              <a:latin typeface="Calibri"/>
              <a:ea typeface="Calibri"/>
              <a:cs typeface="Calibri"/>
            </a:defRPr>
          </a:pPr>
          <a:endParaRPr lang="nl-NL"/>
        </a:p>
      </c:txPr>
    </c:title>
    <c:autoTitleDeleted val="0"/>
    <c:plotArea>
      <c:layout>
        <c:manualLayout>
          <c:layoutTarget val="inner"/>
          <c:xMode val="edge"/>
          <c:yMode val="edge"/>
          <c:x val="0.15252223680373544"/>
          <c:y val="0.16759262235077757"/>
          <c:w val="0.56221102362204722"/>
          <c:h val="0.63937736949547974"/>
        </c:manualLayout>
      </c:layout>
      <c:lineChart>
        <c:grouping val="standard"/>
        <c:varyColors val="0"/>
        <c:ser>
          <c:idx val="1"/>
          <c:order val="0"/>
          <c:tx>
            <c:strRef>
              <c:f>Macrogegevens!$K$3</c:f>
              <c:strCache>
                <c:ptCount val="1"/>
                <c:pt idx="0">
                  <c:v>Netto schuldquote</c:v>
                </c:pt>
              </c:strCache>
            </c:strRef>
          </c:tx>
          <c:spPr>
            <a:ln w="38100">
              <a:solidFill>
                <a:srgbClr val="FF0000"/>
              </a:solidFill>
            </a:ln>
          </c:spPr>
          <c:marker>
            <c:symbol val="none"/>
          </c:marker>
          <c:cat>
            <c:numRef>
              <c:f>Macrogegevens!$J$4:$J$14</c:f>
              <c:numCache>
                <c:formatCode>General</c:formatCode>
                <c:ptCount val="11"/>
                <c:pt idx="0" formatCode="0">
                  <c:v>2018</c:v>
                </c:pt>
                <c:pt idx="1">
                  <c:v>2019</c:v>
                </c:pt>
                <c:pt idx="2">
                  <c:v>2020</c:v>
                </c:pt>
                <c:pt idx="3">
                  <c:v>2021</c:v>
                </c:pt>
                <c:pt idx="4">
                  <c:v>2022</c:v>
                </c:pt>
                <c:pt idx="5">
                  <c:v>2023</c:v>
                </c:pt>
                <c:pt idx="6">
                  <c:v>2024</c:v>
                </c:pt>
                <c:pt idx="7">
                  <c:v>2025</c:v>
                </c:pt>
                <c:pt idx="8">
                  <c:v>2026</c:v>
                </c:pt>
                <c:pt idx="9">
                  <c:v>2027</c:v>
                </c:pt>
                <c:pt idx="10">
                  <c:v>2028</c:v>
                </c:pt>
              </c:numCache>
            </c:numRef>
          </c:cat>
          <c:val>
            <c:numRef>
              <c:f>Macrogegevens!$K$4:$K$14</c:f>
              <c:numCache>
                <c:formatCode>0%</c:formatCode>
                <c:ptCount val="11"/>
                <c:pt idx="0">
                  <c:v>-9.8338728914636228E-2</c:v>
                </c:pt>
                <c:pt idx="1">
                  <c:v>-6.6602520601959612E-3</c:v>
                </c:pt>
                <c:pt idx="2">
                  <c:v>0.15900879136414323</c:v>
                </c:pt>
                <c:pt idx="3">
                  <c:v>0.26592187046397581</c:v>
                </c:pt>
                <c:pt idx="4">
                  <c:v>0.33499065221397389</c:v>
                </c:pt>
                <c:pt idx="5">
                  <c:v>0.36869301674604071</c:v>
                </c:pt>
                <c:pt idx="6">
                  <c:v>0.36870783673734264</c:v>
                </c:pt>
                <c:pt idx="7">
                  <c:v>0.37179839147440447</c:v>
                </c:pt>
                <c:pt idx="8">
                  <c:v>0.36996155052692009</c:v>
                </c:pt>
                <c:pt idx="9">
                  <c:v>0.36356807871673208</c:v>
                </c:pt>
                <c:pt idx="10">
                  <c:v>0.35273540996262692</c:v>
                </c:pt>
              </c:numCache>
            </c:numRef>
          </c:val>
          <c:smooth val="0"/>
          <c:extLst>
            <c:ext xmlns:c16="http://schemas.microsoft.com/office/drawing/2014/chart" uri="{C3380CC4-5D6E-409C-BE32-E72D297353CC}">
              <c16:uniqueId val="{00000000-FDC6-4504-999C-457E6CC8F028}"/>
            </c:ext>
          </c:extLst>
        </c:ser>
        <c:dLbls>
          <c:showLegendKey val="0"/>
          <c:showVal val="0"/>
          <c:showCatName val="0"/>
          <c:showSerName val="0"/>
          <c:showPercent val="0"/>
          <c:showBubbleSize val="0"/>
        </c:dLbls>
        <c:smooth val="0"/>
        <c:axId val="424163152"/>
        <c:axId val="424166288"/>
      </c:lineChart>
      <c:catAx>
        <c:axId val="424163152"/>
        <c:scaling>
          <c:orientation val="minMax"/>
        </c:scaling>
        <c:delete val="0"/>
        <c:axPos val="b"/>
        <c:numFmt formatCode="0" sourceLinked="1"/>
        <c:majorTickMark val="out"/>
        <c:minorTickMark val="none"/>
        <c:tickLblPos val="nextTo"/>
        <c:txPr>
          <a:bodyPr rot="-2700000" vert="horz"/>
          <a:lstStyle/>
          <a:p>
            <a:pPr>
              <a:defRPr sz="1000" b="1" i="0" u="none" strike="noStrike" baseline="0">
                <a:solidFill>
                  <a:srgbClr val="000000"/>
                </a:solidFill>
                <a:latin typeface="Calibri"/>
                <a:ea typeface="Calibri"/>
                <a:cs typeface="Calibri"/>
              </a:defRPr>
            </a:pPr>
            <a:endParaRPr lang="nl-NL"/>
          </a:p>
        </c:txPr>
        <c:crossAx val="424166288"/>
        <c:crossesAt val="0"/>
        <c:auto val="1"/>
        <c:lblAlgn val="ctr"/>
        <c:lblOffset val="100"/>
        <c:tickLblSkip val="1"/>
        <c:noMultiLvlLbl val="0"/>
      </c:catAx>
      <c:valAx>
        <c:axId val="424166288"/>
        <c:scaling>
          <c:orientation val="minMax"/>
        </c:scaling>
        <c:delete val="0"/>
        <c:axPos val="l"/>
        <c:majorGridlines/>
        <c:numFmt formatCode="0%"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163152"/>
        <c:crosses val="autoZero"/>
        <c:crossBetween val="midCat"/>
      </c:valAx>
    </c:plotArea>
    <c:legend>
      <c:legendPos val="r"/>
      <c:overlay val="0"/>
      <c:txPr>
        <a:bodyPr/>
        <a:lstStyle/>
        <a:p>
          <a:pPr>
            <a:defRPr sz="845" b="1" i="0" u="none" strike="noStrike" baseline="0">
              <a:solidFill>
                <a:srgbClr val="000000"/>
              </a:solidFill>
              <a:latin typeface="Calibri"/>
              <a:ea typeface="Calibri"/>
              <a:cs typeface="Calibri"/>
            </a:defRPr>
          </a:pPr>
          <a:endParaRPr lang="nl-NL"/>
        </a:p>
      </c:txPr>
    </c:legend>
    <c:plotVisOnly val="0"/>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nl-NL"/>
              <a:t>Ontwikkeling schuldbelasting bezit eind 2018 - 2019</a:t>
            </a:r>
          </a:p>
        </c:rich>
      </c:tx>
      <c:layout>
        <c:manualLayout>
          <c:xMode val="edge"/>
          <c:yMode val="edge"/>
          <c:x val="0.38015802712161922"/>
          <c:y val="3.2407407407408786E-2"/>
        </c:manualLayout>
      </c:layout>
      <c:overlay val="0"/>
    </c:title>
    <c:autoTitleDeleted val="0"/>
    <c:plotArea>
      <c:layout>
        <c:manualLayout>
          <c:layoutTarget val="inner"/>
          <c:xMode val="edge"/>
          <c:yMode val="edge"/>
          <c:x val="0.13043318828092118"/>
          <c:y val="0.1463079615048119"/>
          <c:w val="0.48012167783913451"/>
          <c:h val="0.73771216097987768"/>
        </c:manualLayout>
      </c:layout>
      <c:barChart>
        <c:barDir val="col"/>
        <c:grouping val="clustered"/>
        <c:varyColors val="0"/>
        <c:ser>
          <c:idx val="0"/>
          <c:order val="0"/>
          <c:tx>
            <c:strRef>
              <c:f>Balansprognose!$E$39</c:f>
              <c:strCache>
                <c:ptCount val="1"/>
                <c:pt idx="0">
                  <c:v>Schuldratio</c:v>
                </c:pt>
              </c:strCache>
            </c:strRef>
          </c:tx>
          <c:spPr>
            <a:solidFill>
              <a:srgbClr val="C00000"/>
            </a:solidFill>
          </c:spPr>
          <c:invertIfNegative val="0"/>
          <c:cat>
            <c:numRef>
              <c:f>Balansprognose!$F$4:$G$4</c:f>
              <c:numCache>
                <c:formatCode>0</c:formatCode>
                <c:ptCount val="2"/>
                <c:pt idx="0">
                  <c:v>2018</c:v>
                </c:pt>
                <c:pt idx="1">
                  <c:v>2019</c:v>
                </c:pt>
              </c:numCache>
            </c:numRef>
          </c:cat>
          <c:val>
            <c:numRef>
              <c:f>Balansprognose!$F$39:$G$39</c:f>
              <c:numCache>
                <c:formatCode>0.0%</c:formatCode>
                <c:ptCount val="2"/>
                <c:pt idx="0">
                  <c:v>0.3234363599482899</c:v>
                </c:pt>
                <c:pt idx="1">
                  <c:v>0.36445846487688788</c:v>
                </c:pt>
              </c:numCache>
            </c:numRef>
          </c:val>
          <c:extLst>
            <c:ext xmlns:c16="http://schemas.microsoft.com/office/drawing/2014/chart" uri="{C3380CC4-5D6E-409C-BE32-E72D297353CC}">
              <c16:uniqueId val="{00000000-752A-47B0-A5EB-20A0966B6D4C}"/>
            </c:ext>
          </c:extLst>
        </c:ser>
        <c:ser>
          <c:idx val="1"/>
          <c:order val="1"/>
          <c:tx>
            <c:strRef>
              <c:f>Balansprognose!$E$38</c:f>
              <c:strCache>
                <c:ptCount val="1"/>
                <c:pt idx="0">
                  <c:v>Solvabiliteitsratio</c:v>
                </c:pt>
              </c:strCache>
            </c:strRef>
          </c:tx>
          <c:spPr>
            <a:solidFill>
              <a:schemeClr val="accent3">
                <a:lumMod val="75000"/>
              </a:schemeClr>
            </a:solidFill>
          </c:spPr>
          <c:invertIfNegative val="0"/>
          <c:cat>
            <c:numRef>
              <c:f>Balansprognose!$F$4:$G$4</c:f>
              <c:numCache>
                <c:formatCode>0</c:formatCode>
                <c:ptCount val="2"/>
                <c:pt idx="0">
                  <c:v>2018</c:v>
                </c:pt>
                <c:pt idx="1">
                  <c:v>2019</c:v>
                </c:pt>
              </c:numCache>
            </c:numRef>
          </c:cat>
          <c:val>
            <c:numRef>
              <c:f>Balansprognose!$F$38:$G$38</c:f>
              <c:numCache>
                <c:formatCode>0.0%</c:formatCode>
                <c:ptCount val="2"/>
                <c:pt idx="0">
                  <c:v>0.60418161506253354</c:v>
                </c:pt>
                <c:pt idx="1">
                  <c:v>0.56768549975464633</c:v>
                </c:pt>
              </c:numCache>
            </c:numRef>
          </c:val>
          <c:extLst>
            <c:ext xmlns:c16="http://schemas.microsoft.com/office/drawing/2014/chart" uri="{C3380CC4-5D6E-409C-BE32-E72D297353CC}">
              <c16:uniqueId val="{00000001-752A-47B0-A5EB-20A0966B6D4C}"/>
            </c:ext>
          </c:extLst>
        </c:ser>
        <c:ser>
          <c:idx val="2"/>
          <c:order val="2"/>
          <c:tx>
            <c:strRef>
              <c:f>Balansprognose!$E$46</c:f>
              <c:strCache>
                <c:ptCount val="1"/>
                <c:pt idx="0">
                  <c:v>Exploitatieresultaat</c:v>
                </c:pt>
              </c:strCache>
            </c:strRef>
          </c:tx>
          <c:spPr>
            <a:solidFill>
              <a:schemeClr val="accent1">
                <a:lumMod val="50000"/>
              </a:schemeClr>
            </a:solidFill>
          </c:spPr>
          <c:invertIfNegative val="0"/>
          <c:cat>
            <c:numRef>
              <c:f>Balansprognose!$F$4:$G$4</c:f>
              <c:numCache>
                <c:formatCode>0</c:formatCode>
                <c:ptCount val="2"/>
                <c:pt idx="0">
                  <c:v>2018</c:v>
                </c:pt>
                <c:pt idx="1">
                  <c:v>2019</c:v>
                </c:pt>
              </c:numCache>
            </c:numRef>
          </c:cat>
          <c:val>
            <c:numRef>
              <c:f>Balansprognose!$F$46:$G$46</c:f>
              <c:numCache>
                <c:formatCode>0.0%</c:formatCode>
                <c:ptCount val="2"/>
                <c:pt idx="0">
                  <c:v>-1.59524620889419E-2</c:v>
                </c:pt>
                <c:pt idx="1">
                  <c:v>1.9978606978368297E-3</c:v>
                </c:pt>
              </c:numCache>
            </c:numRef>
          </c:val>
          <c:extLst>
            <c:ext xmlns:c16="http://schemas.microsoft.com/office/drawing/2014/chart" uri="{C3380CC4-5D6E-409C-BE32-E72D297353CC}">
              <c16:uniqueId val="{00000000-1C66-41EF-AB16-595EB1B717B2}"/>
            </c:ext>
          </c:extLst>
        </c:ser>
        <c:dLbls>
          <c:showLegendKey val="0"/>
          <c:showVal val="0"/>
          <c:showCatName val="0"/>
          <c:showSerName val="0"/>
          <c:showPercent val="0"/>
          <c:showBubbleSize val="0"/>
        </c:dLbls>
        <c:gapWidth val="55"/>
        <c:axId val="424475424"/>
        <c:axId val="424468760"/>
      </c:barChart>
      <c:catAx>
        <c:axId val="424475424"/>
        <c:scaling>
          <c:orientation val="minMax"/>
        </c:scaling>
        <c:delete val="0"/>
        <c:axPos val="b"/>
        <c:numFmt formatCode="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68760"/>
        <c:crosses val="autoZero"/>
        <c:auto val="1"/>
        <c:lblAlgn val="ctr"/>
        <c:lblOffset val="100"/>
        <c:noMultiLvlLbl val="0"/>
      </c:catAx>
      <c:valAx>
        <c:axId val="424468760"/>
        <c:scaling>
          <c:orientation val="minMax"/>
          <c:min val="-0.2"/>
        </c:scaling>
        <c:delete val="0"/>
        <c:axPos val="l"/>
        <c:majorGridlines/>
        <c:numFmt formatCode="0.0%"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nl-NL"/>
          </a:p>
        </c:txPr>
        <c:crossAx val="424475424"/>
        <c:crosses val="autoZero"/>
        <c:crossBetween val="between"/>
      </c:valAx>
    </c:plotArea>
    <c:legend>
      <c:legendPos val="r"/>
      <c:layout>
        <c:manualLayout>
          <c:xMode val="edge"/>
          <c:yMode val="edge"/>
          <c:x val="0.6283112787985039"/>
          <c:y val="0.33796879556724174"/>
          <c:w val="0.20597317771087081"/>
          <c:h val="0.229611791483811"/>
        </c:manualLayout>
      </c:layout>
      <c:overlay val="0"/>
      <c:txPr>
        <a:bodyPr/>
        <a:lstStyle/>
        <a:p>
          <a:pPr>
            <a:defRPr sz="920" b="0" i="0" u="none" strike="noStrike" baseline="0">
              <a:solidFill>
                <a:srgbClr val="000000"/>
              </a:solidFill>
              <a:latin typeface="Calibri"/>
              <a:ea typeface="Calibri"/>
              <a:cs typeface="Calibri"/>
            </a:defRPr>
          </a:pPr>
          <a:endParaRPr lang="nl-NL"/>
        </a:p>
      </c:txPr>
    </c:legend>
    <c:plotVisOnly val="1"/>
    <c:dispBlanksAs val="gap"/>
    <c:showDLblsOverMax val="0"/>
  </c:chart>
  <c:spPr>
    <a:ln>
      <a:solidFill>
        <a:schemeClr val="tx1"/>
      </a:solidFill>
    </a:ln>
  </c:spPr>
  <c:txPr>
    <a:bodyPr/>
    <a:lstStyle/>
    <a:p>
      <a:pPr>
        <a:defRPr sz="1000" b="0" i="0" u="none" strike="noStrike" baseline="0">
          <a:solidFill>
            <a:srgbClr val="000000"/>
          </a:solidFill>
          <a:latin typeface="Calibri"/>
          <a:ea typeface="Calibri"/>
          <a:cs typeface="Calibri"/>
        </a:defRPr>
      </a:pPr>
      <a:endParaRPr lang="nl-NL"/>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60963010905666"/>
          <c:y val="0.19190614985281731"/>
          <c:w val="0.52400373422709912"/>
          <c:h val="0.71582256637810493"/>
        </c:manualLayout>
      </c:layout>
      <c:barChart>
        <c:barDir val="col"/>
        <c:grouping val="clustered"/>
        <c:varyColors val="0"/>
        <c:ser>
          <c:idx val="0"/>
          <c:order val="0"/>
          <c:tx>
            <c:strRef>
              <c:f>Balansprognose!$E$42</c:f>
              <c:strCache>
                <c:ptCount val="1"/>
                <c:pt idx="0">
                  <c:v>Netto schuldquote (incl. uitgeleend geld)</c:v>
                </c:pt>
              </c:strCache>
            </c:strRef>
          </c:tx>
          <c:spPr>
            <a:solidFill>
              <a:srgbClr val="FF0000"/>
            </a:solidFill>
          </c:spPr>
          <c:invertIfNegative val="0"/>
          <c:cat>
            <c:strRef>
              <c:f>Balansprognose!$F$34:$G$34</c:f>
              <c:strCache>
                <c:ptCount val="2"/>
                <c:pt idx="0">
                  <c:v>Jaarrek. 2018</c:v>
                </c:pt>
                <c:pt idx="1">
                  <c:v>Begroting 2019</c:v>
                </c:pt>
              </c:strCache>
            </c:strRef>
          </c:cat>
          <c:val>
            <c:numRef>
              <c:f>Balansprognose!$F$42:$G$42</c:f>
              <c:numCache>
                <c:formatCode>0.0%</c:formatCode>
                <c:ptCount val="2"/>
                <c:pt idx="0">
                  <c:v>-9.8338728914636228E-2</c:v>
                </c:pt>
                <c:pt idx="1">
                  <c:v>-6.6602520601959326E-3</c:v>
                </c:pt>
              </c:numCache>
            </c:numRef>
          </c:val>
          <c:extLst>
            <c:ext xmlns:c16="http://schemas.microsoft.com/office/drawing/2014/chart" uri="{C3380CC4-5D6E-409C-BE32-E72D297353CC}">
              <c16:uniqueId val="{00000000-0896-46D8-8EBA-B72659604A68}"/>
            </c:ext>
          </c:extLst>
        </c:ser>
        <c:ser>
          <c:idx val="1"/>
          <c:order val="1"/>
          <c:tx>
            <c:strRef>
              <c:f>Balansprognose!$E$43</c:f>
              <c:strCache>
                <c:ptCount val="1"/>
                <c:pt idx="0">
                  <c:v>Uitleenquote</c:v>
                </c:pt>
              </c:strCache>
            </c:strRef>
          </c:tx>
          <c:spPr>
            <a:solidFill>
              <a:srgbClr val="92D050"/>
            </a:solidFill>
          </c:spPr>
          <c:invertIfNegative val="0"/>
          <c:cat>
            <c:strRef>
              <c:f>Balansprognose!$F$34:$G$34</c:f>
              <c:strCache>
                <c:ptCount val="2"/>
                <c:pt idx="0">
                  <c:v>Jaarrek. 2018</c:v>
                </c:pt>
                <c:pt idx="1">
                  <c:v>Begroting 2019</c:v>
                </c:pt>
              </c:strCache>
            </c:strRef>
          </c:cat>
          <c:val>
            <c:numRef>
              <c:f>Balansprognose!$F$43:$G$43</c:f>
              <c:numCache>
                <c:formatCode>0.0%</c:formatCode>
                <c:ptCount val="2"/>
                <c:pt idx="0">
                  <c:v>9.4057761117737268E-2</c:v>
                </c:pt>
                <c:pt idx="1">
                  <c:v>9.7599031125962465E-2</c:v>
                </c:pt>
              </c:numCache>
            </c:numRef>
          </c:val>
          <c:extLst>
            <c:ext xmlns:c16="http://schemas.microsoft.com/office/drawing/2014/chart" uri="{C3380CC4-5D6E-409C-BE32-E72D297353CC}">
              <c16:uniqueId val="{00000001-0896-46D8-8EBA-B72659604A68}"/>
            </c:ext>
          </c:extLst>
        </c:ser>
        <c:ser>
          <c:idx val="2"/>
          <c:order val="2"/>
          <c:tx>
            <c:strRef>
              <c:f>Balansprognose!$E$44</c:f>
              <c:strCache>
                <c:ptCount val="1"/>
                <c:pt idx="0">
                  <c:v>Voorraadquote (inclusief NIEG)</c:v>
                </c:pt>
              </c:strCache>
            </c:strRef>
          </c:tx>
          <c:spPr>
            <a:solidFill>
              <a:schemeClr val="tx2"/>
            </a:solidFill>
          </c:spPr>
          <c:invertIfNegative val="0"/>
          <c:cat>
            <c:strRef>
              <c:f>Balansprognose!$F$34:$G$34</c:f>
              <c:strCache>
                <c:ptCount val="2"/>
                <c:pt idx="0">
                  <c:v>Jaarrek. 2018</c:v>
                </c:pt>
                <c:pt idx="1">
                  <c:v>Begroting 2019</c:v>
                </c:pt>
              </c:strCache>
            </c:strRef>
          </c:cat>
          <c:val>
            <c:numRef>
              <c:f>Balansprognose!$F$44:$G$44</c:f>
              <c:numCache>
                <c:formatCode>0.0%</c:formatCode>
                <c:ptCount val="2"/>
                <c:pt idx="0">
                  <c:v>8.7749190662804563E-4</c:v>
                </c:pt>
                <c:pt idx="1">
                  <c:v>3.4398939962794181E-2</c:v>
                </c:pt>
              </c:numCache>
            </c:numRef>
          </c:val>
          <c:extLst>
            <c:ext xmlns:c16="http://schemas.microsoft.com/office/drawing/2014/chart" uri="{C3380CC4-5D6E-409C-BE32-E72D297353CC}">
              <c16:uniqueId val="{00000002-0896-46D8-8EBA-B72659604A68}"/>
            </c:ext>
          </c:extLst>
        </c:ser>
        <c:ser>
          <c:idx val="3"/>
          <c:order val="3"/>
          <c:tx>
            <c:strRef>
              <c:f>Balansprognose!$E$45</c:f>
              <c:strCache>
                <c:ptCount val="1"/>
                <c:pt idx="0">
                  <c:v>Effectieve netto schuldquote</c:v>
                </c:pt>
              </c:strCache>
            </c:strRef>
          </c:tx>
          <c:invertIfNegative val="0"/>
          <c:cat>
            <c:strRef>
              <c:f>Balansprognose!$F$34:$G$34</c:f>
              <c:strCache>
                <c:ptCount val="2"/>
                <c:pt idx="0">
                  <c:v>Jaarrek. 2018</c:v>
                </c:pt>
                <c:pt idx="1">
                  <c:v>Begroting 2019</c:v>
                </c:pt>
              </c:strCache>
            </c:strRef>
          </c:cat>
          <c:val>
            <c:numRef>
              <c:f>Balansprognose!$F$45:$G$45</c:f>
              <c:numCache>
                <c:formatCode>0.0%</c:formatCode>
                <c:ptCount val="2"/>
                <c:pt idx="0">
                  <c:v>-8.7666041915147389E-2</c:v>
                </c:pt>
                <c:pt idx="1">
                  <c:v>-1.9027626299036364E-2</c:v>
                </c:pt>
              </c:numCache>
            </c:numRef>
          </c:val>
          <c:extLst>
            <c:ext xmlns:c16="http://schemas.microsoft.com/office/drawing/2014/chart" uri="{C3380CC4-5D6E-409C-BE32-E72D297353CC}">
              <c16:uniqueId val="{00000000-271D-4241-B284-CDB302FE6DCE}"/>
            </c:ext>
          </c:extLst>
        </c:ser>
        <c:ser>
          <c:idx val="4"/>
          <c:order val="4"/>
          <c:tx>
            <c:strRef>
              <c:f>Balansprognose!$E$41</c:f>
              <c:strCache>
                <c:ptCount val="1"/>
                <c:pt idx="0">
                  <c:v>Kortgeldratio</c:v>
                </c:pt>
              </c:strCache>
            </c:strRef>
          </c:tx>
          <c:invertIfNegative val="0"/>
          <c:cat>
            <c:strRef>
              <c:f>Balansprognose!$F$34:$G$34</c:f>
              <c:strCache>
                <c:ptCount val="2"/>
                <c:pt idx="0">
                  <c:v>Jaarrek. 2018</c:v>
                </c:pt>
                <c:pt idx="1">
                  <c:v>Begroting 2019</c:v>
                </c:pt>
              </c:strCache>
            </c:strRef>
          </c:cat>
          <c:val>
            <c:numRef>
              <c:f>Balansprognose!$F$41:$G$41</c:f>
              <c:numCache>
                <c:formatCode>0.0%</c:formatCode>
                <c:ptCount val="2"/>
                <c:pt idx="0">
                  <c:v>0</c:v>
                </c:pt>
                <c:pt idx="1">
                  <c:v>0</c:v>
                </c:pt>
              </c:numCache>
            </c:numRef>
          </c:val>
          <c:extLst>
            <c:ext xmlns:c16="http://schemas.microsoft.com/office/drawing/2014/chart" uri="{C3380CC4-5D6E-409C-BE32-E72D297353CC}">
              <c16:uniqueId val="{00000000-BE00-4BB7-BBAD-7C883B68A8D3}"/>
            </c:ext>
          </c:extLst>
        </c:ser>
        <c:dLbls>
          <c:showLegendKey val="0"/>
          <c:showVal val="0"/>
          <c:showCatName val="0"/>
          <c:showSerName val="0"/>
          <c:showPercent val="0"/>
          <c:showBubbleSize val="0"/>
        </c:dLbls>
        <c:gapWidth val="150"/>
        <c:axId val="424471504"/>
        <c:axId val="424471896"/>
      </c:barChart>
      <c:catAx>
        <c:axId val="424471504"/>
        <c:scaling>
          <c:orientation val="minMax"/>
        </c:scaling>
        <c:delete val="0"/>
        <c:axPos val="b"/>
        <c:numFmt formatCode="General" sourceLinked="0"/>
        <c:majorTickMark val="out"/>
        <c:minorTickMark val="none"/>
        <c:tickLblPos val="nextTo"/>
        <c:txPr>
          <a:bodyPr/>
          <a:lstStyle/>
          <a:p>
            <a:pPr>
              <a:defRPr b="1"/>
            </a:pPr>
            <a:endParaRPr lang="nl-NL"/>
          </a:p>
        </c:txPr>
        <c:crossAx val="424471896"/>
        <c:crosses val="autoZero"/>
        <c:auto val="1"/>
        <c:lblAlgn val="ctr"/>
        <c:lblOffset val="100"/>
        <c:noMultiLvlLbl val="0"/>
      </c:catAx>
      <c:valAx>
        <c:axId val="424471896"/>
        <c:scaling>
          <c:orientation val="minMax"/>
        </c:scaling>
        <c:delete val="0"/>
        <c:axPos val="l"/>
        <c:majorGridlines/>
        <c:numFmt formatCode="0.0%" sourceLinked="1"/>
        <c:majorTickMark val="out"/>
        <c:minorTickMark val="none"/>
        <c:tickLblPos val="nextTo"/>
        <c:txPr>
          <a:bodyPr/>
          <a:lstStyle/>
          <a:p>
            <a:pPr>
              <a:defRPr b="1"/>
            </a:pPr>
            <a:endParaRPr lang="nl-NL"/>
          </a:p>
        </c:txPr>
        <c:crossAx val="424471504"/>
        <c:crosses val="autoZero"/>
        <c:crossBetween val="between"/>
      </c:valAx>
    </c:plotArea>
    <c:legend>
      <c:legendPos val="r"/>
      <c:overlay val="0"/>
    </c:legend>
    <c:plotVisOnly val="1"/>
    <c:dispBlanksAs val="gap"/>
    <c:showDLblsOverMax val="0"/>
  </c:chart>
  <c:spPr>
    <a:ln>
      <a:solidFill>
        <a:schemeClr val="tx1"/>
      </a:solidFill>
    </a:ln>
  </c:spPr>
  <c:printSettings>
    <c:headerFooter/>
    <c:pageMargins b="0.75000000000000577" l="0.70000000000000062" r="0.70000000000000062" t="0.75000000000000577"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nl-NL">
                <a:solidFill>
                  <a:sysClr val="windowText" lastClr="000000"/>
                </a:solidFill>
              </a:rPr>
              <a:t>Inkomensmix 2019</a:t>
            </a:r>
          </a:p>
        </c:rich>
      </c:tx>
      <c:layout>
        <c:manualLayout>
          <c:xMode val="edge"/>
          <c:yMode val="edge"/>
          <c:x val="3.8973198772688622E-2"/>
          <c:y val="2.7777883632644319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nl-NL"/>
        </a:p>
      </c:txPr>
    </c:title>
    <c:autoTitleDeleted val="0"/>
    <c:plotArea>
      <c:layout/>
      <c:ofPieChart>
        <c:ofPieType val="pie"/>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E0-49DF-91C2-E01F4DB707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E0-49DF-91C2-E01F4DB707D2}"/>
              </c:ext>
            </c:extLst>
          </c:dPt>
          <c:dPt>
            <c:idx val="2"/>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2-17CE-4C2C-850B-612822A56A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0E0-49DF-91C2-E01F4DB707D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0E0-49DF-91C2-E01F4DB707D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0E0-49DF-91C2-E01F4DB707D2}"/>
              </c:ext>
            </c:extLst>
          </c:dPt>
          <c:dPt>
            <c:idx val="6"/>
            <c:bubble3D val="0"/>
            <c:spPr>
              <a:solidFill>
                <a:srgbClr val="92D050"/>
              </a:solidFill>
              <a:ln w="19050">
                <a:solidFill>
                  <a:schemeClr val="lt1"/>
                </a:solidFill>
              </a:ln>
              <a:effectLst/>
            </c:spPr>
            <c:extLst>
              <c:ext xmlns:c16="http://schemas.microsoft.com/office/drawing/2014/chart" uri="{C3380CC4-5D6E-409C-BE32-E72D297353CC}">
                <c16:uniqueId val="{00000007-17CE-4C2C-850B-612822A56A57}"/>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A-17CE-4C2C-850B-612822A56A5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0E0-49DF-91C2-E01F4DB707D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6D2-416A-882E-2CCDFF32509A}"/>
              </c:ext>
            </c:extLst>
          </c:dPt>
          <c:cat>
            <c:strRef>
              <c:f>'Inkomsten &amp; uitgaven'!$P$2:$P$10</c:f>
              <c:strCache>
                <c:ptCount val="9"/>
                <c:pt idx="0">
                  <c:v>Rijksoverdrachten</c:v>
                </c:pt>
                <c:pt idx="1">
                  <c:v>OZB</c:v>
                </c:pt>
                <c:pt idx="2">
                  <c:v>Riool rechten</c:v>
                </c:pt>
                <c:pt idx="3">
                  <c:v>Afvalstoffenheffing</c:v>
                </c:pt>
                <c:pt idx="4">
                  <c:v>Bouwgrond </c:v>
                </c:pt>
                <c:pt idx="5">
                  <c:v>Overige belastingen</c:v>
                </c:pt>
                <c:pt idx="6">
                  <c:v>Overige rechten &amp; leges</c:v>
                </c:pt>
                <c:pt idx="7">
                  <c:v>Rente en dividend</c:v>
                </c:pt>
                <c:pt idx="8">
                  <c:v>Overige eigen inkomsten</c:v>
                </c:pt>
              </c:strCache>
            </c:strRef>
          </c:cat>
          <c:val>
            <c:numRef>
              <c:f>'Inkomsten &amp; uitgaven'!$Q$2:$Q$10</c:f>
              <c:numCache>
                <c:formatCode>0.0%</c:formatCode>
                <c:ptCount val="9"/>
                <c:pt idx="0">
                  <c:v>0.56123532952605837</c:v>
                </c:pt>
                <c:pt idx="1">
                  <c:v>9.42265361869149E-2</c:v>
                </c:pt>
                <c:pt idx="2">
                  <c:v>3.7879792434649624E-2</c:v>
                </c:pt>
                <c:pt idx="3">
                  <c:v>3.8423458067025573E-2</c:v>
                </c:pt>
                <c:pt idx="4">
                  <c:v>0</c:v>
                </c:pt>
                <c:pt idx="5">
                  <c:v>1.3741922366315716E-2</c:v>
                </c:pt>
                <c:pt idx="6">
                  <c:v>3.4264194977059965E-2</c:v>
                </c:pt>
                <c:pt idx="7">
                  <c:v>0</c:v>
                </c:pt>
                <c:pt idx="8">
                  <c:v>0.22022876644197587</c:v>
                </c:pt>
              </c:numCache>
            </c:numRef>
          </c:val>
          <c:extLst>
            <c:ext xmlns:c16="http://schemas.microsoft.com/office/drawing/2014/chart" uri="{C3380CC4-5D6E-409C-BE32-E72D297353CC}">
              <c16:uniqueId val="{00000000-17CE-4C2C-850B-612822A56A57}"/>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10</xdr:col>
      <xdr:colOff>708819</xdr:colOff>
      <xdr:row>18</xdr:row>
      <xdr:rowOff>59531</xdr:rowOff>
    </xdr:from>
    <xdr:to>
      <xdr:col>14</xdr:col>
      <xdr:colOff>1407160</xdr:colOff>
      <xdr:row>41</xdr:row>
      <xdr:rowOff>31750</xdr:rowOff>
    </xdr:to>
    <xdr:graphicFrame macro="">
      <xdr:nvGraphicFramePr>
        <xdr:cNvPr id="4135" name="Grafiek 2">
          <a:extLst>
            <a:ext uri="{FF2B5EF4-FFF2-40B4-BE49-F238E27FC236}">
              <a16:creationId xmlns:a16="http://schemas.microsoft.com/office/drawing/2014/main" id="{00000000-0008-0000-0000-000027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0.45681</cdr:x>
      <cdr:y>0.03831</cdr:y>
    </cdr:from>
    <cdr:to>
      <cdr:x>0.98935</cdr:x>
      <cdr:y>0.11824</cdr:y>
    </cdr:to>
    <cdr:sp macro="" textlink="">
      <cdr:nvSpPr>
        <cdr:cNvPr id="2" name="Tekstvak 1">
          <a:extLst xmlns:a="http://schemas.openxmlformats.org/drawingml/2006/main">
            <a:ext uri="{FF2B5EF4-FFF2-40B4-BE49-F238E27FC236}">
              <a16:creationId xmlns:a16="http://schemas.microsoft.com/office/drawing/2014/main" id="{A1D3C591-34F5-4C9B-ADD4-2BFA2A519C1A}"/>
            </a:ext>
          </a:extLst>
        </cdr:cNvPr>
        <cdr:cNvSpPr txBox="1"/>
      </cdr:nvSpPr>
      <cdr:spPr>
        <a:xfrm xmlns:a="http://schemas.openxmlformats.org/drawingml/2006/main">
          <a:off x="2858676" y="135009"/>
          <a:ext cx="3332574" cy="281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nl-NL" sz="1100" b="1"/>
            <a:t>Ontwikkeling netto schuldquote eind 2018-2028</a:t>
          </a:r>
        </a:p>
        <a:p xmlns:a="http://schemas.openxmlformats.org/drawingml/2006/main">
          <a:endParaRPr lang="nl-NL" sz="1100" b="1"/>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328930</xdr:colOff>
      <xdr:row>0</xdr:row>
      <xdr:rowOff>163195</xdr:rowOff>
    </xdr:from>
    <xdr:to>
      <xdr:col>16</xdr:col>
      <xdr:colOff>195580</xdr:colOff>
      <xdr:row>17</xdr:row>
      <xdr:rowOff>153670</xdr:rowOff>
    </xdr:to>
    <xdr:graphicFrame macro="">
      <xdr:nvGraphicFramePr>
        <xdr:cNvPr id="2061" name="Grafiek 1">
          <a:extLst>
            <a:ext uri="{FF2B5EF4-FFF2-40B4-BE49-F238E27FC236}">
              <a16:creationId xmlns:a16="http://schemas.microsoft.com/office/drawing/2014/main" id="{00000000-0008-0000-01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339090</xdr:colOff>
      <xdr:row>18</xdr:row>
      <xdr:rowOff>132080</xdr:rowOff>
    </xdr:from>
    <xdr:to>
      <xdr:col>18</xdr:col>
      <xdr:colOff>0</xdr:colOff>
      <xdr:row>40</xdr:row>
      <xdr:rowOff>6985</xdr:rowOff>
    </xdr:to>
    <xdr:graphicFrame macro="">
      <xdr:nvGraphicFramePr>
        <xdr:cNvPr id="2" name="Grafiek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0.02431</cdr:x>
      <cdr:y>0.01736</cdr:y>
    </cdr:from>
    <cdr:to>
      <cdr:x>0.38194</cdr:x>
      <cdr:y>0.09028</cdr:y>
    </cdr:to>
    <cdr:sp macro="" textlink="Macrogegevens!$C$2">
      <cdr:nvSpPr>
        <cdr:cNvPr id="4" name="Tekstvak 3">
          <a:extLst xmlns:a="http://schemas.openxmlformats.org/drawingml/2006/main">
            <a:ext uri="{FF2B5EF4-FFF2-40B4-BE49-F238E27FC236}">
              <a16:creationId xmlns:a16="http://schemas.microsoft.com/office/drawing/2014/main" id="{0A1A0206-4226-4F50-B439-E2CD4E31D205}"/>
            </a:ext>
          </a:extLst>
        </cdr:cNvPr>
        <cdr:cNvSpPr txBox="1"/>
      </cdr:nvSpPr>
      <cdr:spPr>
        <a:xfrm xmlns:a="http://schemas.openxmlformats.org/drawingml/2006/main">
          <a:off x="133352" y="47625"/>
          <a:ext cx="1962150" cy="200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C463A941-0D9B-472A-8F06-3112169CB947}" type="TxLink">
            <a:rPr lang="en-US" sz="1100" b="1" i="0" u="none" strike="noStrike">
              <a:solidFill>
                <a:srgbClr val="000000"/>
              </a:solidFill>
              <a:latin typeface="+mn-lt"/>
            </a:rPr>
            <a:pPr/>
            <a:t>Amstelveen</a:t>
          </a:fld>
          <a:endParaRPr lang="nl-NL" sz="1100">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0.0097</cdr:x>
      <cdr:y>0.0221</cdr:y>
    </cdr:from>
    <cdr:to>
      <cdr:x>0.37513</cdr:x>
      <cdr:y>0.08564</cdr:y>
    </cdr:to>
    <cdr:sp macro="" textlink="">
      <cdr:nvSpPr>
        <cdr:cNvPr id="2" name="Tekstvak 1">
          <a:extLst xmlns:a="http://schemas.openxmlformats.org/drawingml/2006/main">
            <a:ext uri="{FF2B5EF4-FFF2-40B4-BE49-F238E27FC236}">
              <a16:creationId xmlns:a16="http://schemas.microsoft.com/office/drawing/2014/main" id="{1F2B7C3E-37EF-401A-B059-BDFE70A796CB}"/>
            </a:ext>
          </a:extLst>
        </cdr:cNvPr>
        <cdr:cNvSpPr txBox="1"/>
      </cdr:nvSpPr>
      <cdr:spPr>
        <a:xfrm xmlns:a="http://schemas.openxmlformats.org/drawingml/2006/main">
          <a:off x="50800" y="76200"/>
          <a:ext cx="1914411" cy="2190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000" b="1" i="0" u="none" strike="noStrike">
            <a:solidFill>
              <a:srgbClr val="000000"/>
            </a:solidFill>
            <a:latin typeface="Arialri"/>
          </a:endParaRPr>
        </a:p>
        <a:p xmlns:a="http://schemas.openxmlformats.org/drawingml/2006/main">
          <a:endParaRPr lang="en-US" sz="1000" b="1" i="0" u="none" strike="noStrike">
            <a:solidFill>
              <a:srgbClr val="000000"/>
            </a:solidFill>
            <a:latin typeface="Arialri"/>
          </a:endParaRPr>
        </a:p>
      </cdr:txBody>
    </cdr:sp>
  </cdr:relSizeAnchor>
  <cdr:relSizeAnchor xmlns:cdr="http://schemas.openxmlformats.org/drawingml/2006/chartDrawing">
    <cdr:from>
      <cdr:x>0.03487</cdr:x>
      <cdr:y>0.04147</cdr:y>
    </cdr:from>
    <cdr:to>
      <cdr:x>0.3925</cdr:x>
      <cdr:y>0.09955</cdr:y>
    </cdr:to>
    <cdr:sp macro="" textlink="">
      <cdr:nvSpPr>
        <cdr:cNvPr id="3" name="Tekstvak 1">
          <a:extLst xmlns:a="http://schemas.openxmlformats.org/drawingml/2006/main">
            <a:ext uri="{FF2B5EF4-FFF2-40B4-BE49-F238E27FC236}">
              <a16:creationId xmlns:a16="http://schemas.microsoft.com/office/drawing/2014/main" id="{A3FF8521-9632-4569-8A9E-19D58ADB06C4}"/>
            </a:ext>
          </a:extLst>
        </cdr:cNvPr>
        <cdr:cNvSpPr txBox="1"/>
      </cdr:nvSpPr>
      <cdr:spPr>
        <a:xfrm xmlns:a="http://schemas.openxmlformats.org/drawingml/2006/main">
          <a:off x="193040" y="152400"/>
          <a:ext cx="1979815" cy="2134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nl-NL" sz="1100">
            <a:latin typeface="Calibri"/>
          </a:endParaRPr>
        </a:p>
      </cdr:txBody>
    </cdr:sp>
  </cdr:relSizeAnchor>
  <cdr:relSizeAnchor xmlns:cdr="http://schemas.openxmlformats.org/drawingml/2006/chartDrawing">
    <cdr:from>
      <cdr:x>0.4306</cdr:x>
      <cdr:y>0.03318</cdr:y>
    </cdr:from>
    <cdr:to>
      <cdr:x>0.62881</cdr:x>
      <cdr:y>0.10783</cdr:y>
    </cdr:to>
    <cdr:sp macro="" textlink="">
      <cdr:nvSpPr>
        <cdr:cNvPr id="4" name="Tekstvak 3">
          <a:extLst xmlns:a="http://schemas.openxmlformats.org/drawingml/2006/main">
            <a:ext uri="{FF2B5EF4-FFF2-40B4-BE49-F238E27FC236}">
              <a16:creationId xmlns:a16="http://schemas.microsoft.com/office/drawing/2014/main" id="{64218DF5-9DC8-4FF6-9DC1-D948BB4021D4}"/>
            </a:ext>
          </a:extLst>
        </cdr:cNvPr>
        <cdr:cNvSpPr txBox="1"/>
      </cdr:nvSpPr>
      <cdr:spPr>
        <a:xfrm xmlns:a="http://schemas.openxmlformats.org/drawingml/2006/main">
          <a:off x="2383790" y="121920"/>
          <a:ext cx="1097280" cy="27432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nl-NL" sz="1100"/>
        </a:p>
      </cdr:txBody>
    </cdr:sp>
  </cdr:relSizeAnchor>
  <cdr:relSizeAnchor xmlns:cdr="http://schemas.openxmlformats.org/drawingml/2006/chartDrawing">
    <cdr:from>
      <cdr:x>0.42094</cdr:x>
      <cdr:y>0.03871</cdr:y>
    </cdr:from>
    <cdr:to>
      <cdr:x>0.94032</cdr:x>
      <cdr:y>0.10783</cdr:y>
    </cdr:to>
    <cdr:sp macro="" textlink="">
      <cdr:nvSpPr>
        <cdr:cNvPr id="5" name="Tekstvak 4">
          <a:extLst xmlns:a="http://schemas.openxmlformats.org/drawingml/2006/main">
            <a:ext uri="{FF2B5EF4-FFF2-40B4-BE49-F238E27FC236}">
              <a16:creationId xmlns:a16="http://schemas.microsoft.com/office/drawing/2014/main" id="{9BDD626D-ABB1-4EDE-BC9C-916A868C568C}"/>
            </a:ext>
          </a:extLst>
        </cdr:cNvPr>
        <cdr:cNvSpPr txBox="1"/>
      </cdr:nvSpPr>
      <cdr:spPr>
        <a:xfrm xmlns:a="http://schemas.openxmlformats.org/drawingml/2006/main">
          <a:off x="2253288" y="135760"/>
          <a:ext cx="2780266" cy="24241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nl-NL" sz="1100" b="1">
              <a:latin typeface="+mn-lt"/>
              <a:ea typeface="+mn-ea"/>
              <a:cs typeface="+mn-cs"/>
            </a:rPr>
            <a:t>Ontwikkeling</a:t>
          </a:r>
          <a:r>
            <a:rPr lang="nl-NL" sz="1100" b="1"/>
            <a:t> schuldendruk  eind 2018 - 2019</a:t>
          </a:r>
        </a:p>
      </cdr:txBody>
    </cdr:sp>
  </cdr:relSizeAnchor>
  <cdr:relSizeAnchor xmlns:cdr="http://schemas.openxmlformats.org/drawingml/2006/chartDrawing">
    <cdr:from>
      <cdr:x>0.04588</cdr:x>
      <cdr:y>0.04976</cdr:y>
    </cdr:from>
    <cdr:to>
      <cdr:x>0.40351</cdr:x>
      <cdr:y>0.10784</cdr:y>
    </cdr:to>
    <cdr:sp macro="" textlink="Macrogegevens!$C$2">
      <cdr:nvSpPr>
        <cdr:cNvPr id="9" name="Tekstvak 1">
          <a:extLst xmlns:a="http://schemas.openxmlformats.org/drawingml/2006/main">
            <a:ext uri="{FF2B5EF4-FFF2-40B4-BE49-F238E27FC236}">
              <a16:creationId xmlns:a16="http://schemas.microsoft.com/office/drawing/2014/main" id="{3FC3FCF2-5996-4575-A911-8DB70F490BC9}"/>
            </a:ext>
          </a:extLst>
        </cdr:cNvPr>
        <cdr:cNvSpPr txBox="1"/>
      </cdr:nvSpPr>
      <cdr:spPr>
        <a:xfrm xmlns:a="http://schemas.openxmlformats.org/drawingml/2006/main">
          <a:off x="253988" y="182869"/>
          <a:ext cx="1979815" cy="213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3DEA5E-274B-45FA-884D-FF4B5D54D5D1}" type="TxLink">
            <a:rPr lang="en-US" sz="1000" b="1" i="0" u="none" strike="noStrike">
              <a:solidFill>
                <a:srgbClr val="000000"/>
              </a:solidFill>
              <a:latin typeface="Arial"/>
              <a:cs typeface="Arial"/>
            </a:rPr>
            <a:pPr/>
            <a:t>Amstelveen</a:t>
          </a:fld>
          <a:endParaRPr lang="nl-NL" sz="1100">
            <a:latin typeface="+mn-l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14</xdr:col>
      <xdr:colOff>1266825</xdr:colOff>
      <xdr:row>11</xdr:row>
      <xdr:rowOff>28575</xdr:rowOff>
    </xdr:from>
    <xdr:to>
      <xdr:col>18</xdr:col>
      <xdr:colOff>114300</xdr:colOff>
      <xdr:row>26</xdr:row>
      <xdr:rowOff>42863</xdr:rowOff>
    </xdr:to>
    <xdr:graphicFrame macro="">
      <xdr:nvGraphicFramePr>
        <xdr:cNvPr id="2" name="Grafie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Houdbare%20GF\Algemene%20uitkering%20septembercirculai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uitk_jr_18"/>
      <sheetName val="uitk_jr_19"/>
      <sheetName val="uitk_jr_20"/>
      <sheetName val="uitk_jr_21"/>
      <sheetName val="uitk_jr_22"/>
      <sheetName val="uitk_jr_23"/>
      <sheetName val="Blad1"/>
      <sheetName val="overig"/>
      <sheetName val="bpe_18"/>
      <sheetName val="bpe_19"/>
      <sheetName val="bpe_20"/>
      <sheetName val="bpe_21"/>
      <sheetName val="bpe_22"/>
      <sheetName val="bpe_23"/>
    </sheetNames>
    <sheetDataSet>
      <sheetData sheetId="0"/>
      <sheetData sheetId="1">
        <row r="17">
          <cell r="A17" t="str">
            <v>CBS</v>
          </cell>
        </row>
        <row r="18">
          <cell r="A18">
            <v>617</v>
          </cell>
        </row>
      </sheetData>
      <sheetData sheetId="2"/>
      <sheetData sheetId="3"/>
      <sheetData sheetId="4"/>
      <sheetData sheetId="5"/>
      <sheetData sheetId="6"/>
      <sheetData sheetId="7"/>
      <sheetData sheetId="8">
        <row r="3">
          <cell r="A3" t="str">
            <v>CBS</v>
          </cell>
          <cell r="B3" t="str">
            <v xml:space="preserve">Naam </v>
          </cell>
          <cell r="C3" t="str">
            <v>Prov</v>
          </cell>
          <cell r="D3" t="str">
            <v>SUPPLETIE</v>
          </cell>
          <cell r="E3" t="str">
            <v>SUPPLETIE</v>
          </cell>
          <cell r="F3" t="str">
            <v>ART.12</v>
          </cell>
          <cell r="G3" t="str">
            <v>Suppletie</v>
          </cell>
          <cell r="H3" t="str">
            <v>Cumulatie18</v>
          </cell>
          <cell r="I3" t="str">
            <v>Cumulatie19</v>
          </cell>
          <cell r="J3" t="str">
            <v>Actieplan</v>
          </cell>
          <cell r="K3" t="str">
            <v xml:space="preserve">arbeidsparticipatie mensen met een </v>
          </cell>
          <cell r="L3" t="str">
            <v>Armoedebestrijding</v>
          </cell>
          <cell r="M3" t="str">
            <v>Armoedebestrijding</v>
          </cell>
          <cell r="N3" t="str">
            <v>Basisregistratie</v>
          </cell>
          <cell r="O3" t="str">
            <v>Basisregistratie</v>
          </cell>
          <cell r="P3" t="str">
            <v>beeldende kunst18 ev</v>
          </cell>
          <cell r="Q3" t="str">
            <v>beter benutten18</v>
          </cell>
          <cell r="R3" t="str">
            <v>bevolkingsdaling</v>
          </cell>
          <cell r="S3" t="str">
            <v>bodemsanering18</v>
          </cell>
          <cell r="T3" t="str">
            <v>bodemsanering19</v>
          </cell>
          <cell r="U3" t="str">
            <v>bodemsanering20</v>
          </cell>
          <cell r="V3" t="str">
            <v>bonus beschut werken18</v>
          </cell>
          <cell r="W3" t="str">
            <v>Brede impuls combinatiefunctie/</v>
          </cell>
          <cell r="X3" t="str">
            <v>BRP:</v>
          </cell>
          <cell r="Y3" t="str">
            <v>City Deal18</v>
          </cell>
          <cell r="Z3" t="str">
            <v>dialoog sinterklaasintocht18</v>
          </cell>
          <cell r="AA3" t="str">
            <v>economische zelfstandigheid18</v>
          </cell>
          <cell r="AB3" t="str">
            <v>Erfgoed en ruimte18</v>
          </cell>
          <cell r="AC3" t="str">
            <v>Faciliteitenbesluit</v>
          </cell>
          <cell r="AD3" t="str">
            <v>gez in de stad18-21</v>
          </cell>
          <cell r="AE3" t="str">
            <v>Groeiopgave Almere</v>
          </cell>
          <cell r="AF3" t="str">
            <v>Groeiopgave Almere</v>
          </cell>
          <cell r="AG3" t="str">
            <v>Herstructurering Wsw</v>
          </cell>
          <cell r="AH3" t="str">
            <v>Innovatiepartnerschap</v>
          </cell>
          <cell r="AI3" t="str">
            <v>Innovatieve aanpak</v>
          </cell>
          <cell r="AJ3" t="str">
            <v>Interreg V</v>
          </cell>
          <cell r="AK3" t="str">
            <v>jeugd18 ev</v>
          </cell>
          <cell r="AL3" t="str">
            <v>Jeugdwerkloosheid</v>
          </cell>
          <cell r="AM3" t="str">
            <v>knelpunten18</v>
          </cell>
          <cell r="AN3" t="str">
            <v>knelpunten19</v>
          </cell>
          <cell r="AO3" t="str">
            <v>knelpunten20</v>
          </cell>
          <cell r="AP3" t="str">
            <v>knelpunten21</v>
          </cell>
          <cell r="AQ3" t="str">
            <v>knelpunten22</v>
          </cell>
          <cell r="AR3" t="str">
            <v>knelpunten23</v>
          </cell>
          <cell r="AS3" t="str">
            <v>Leeuwarden Europese</v>
          </cell>
          <cell r="AT3" t="str">
            <v>LHBT18</v>
          </cell>
          <cell r="AU3" t="str">
            <v>Maatschappelijke begeleiding18</v>
          </cell>
          <cell r="AV3" t="str">
            <v>maat. Opvang18-23</v>
          </cell>
          <cell r="AW3" t="str">
            <v>Matchen op werk18</v>
          </cell>
          <cell r="AX3" t="str">
            <v>Milieuzones</v>
          </cell>
          <cell r="AY3" t="str">
            <v>nationale</v>
          </cell>
          <cell r="AZ3" t="str">
            <v>ondersteuning raadsman</v>
          </cell>
          <cell r="BA3" t="str">
            <v>Opvang</v>
          </cell>
          <cell r="BB3" t="str">
            <v>Pilot Nederlandse Kernwaarden18</v>
          </cell>
          <cell r="BC3" t="str">
            <v>Pilot weerbaaropvoeden18</v>
          </cell>
          <cell r="BD3" t="str">
            <v>Referendum18</v>
          </cell>
          <cell r="BE3" t="str">
            <v>RSP Zuiderzeelijn18</v>
          </cell>
          <cell r="BF3" t="str">
            <v>scholenprogramma</v>
          </cell>
          <cell r="BG3" t="str">
            <v>scholenprogramma</v>
          </cell>
          <cell r="BH3" t="str">
            <v>scholenprogramma</v>
          </cell>
          <cell r="BI3" t="str">
            <v>Schulden en</v>
          </cell>
          <cell r="BJ3" t="str">
            <v>Schulden en</v>
          </cell>
          <cell r="BK3" t="str">
            <v>Schulden en</v>
          </cell>
          <cell r="BL3" t="str">
            <v>Spoorstaafconditioneringssystemen18</v>
          </cell>
          <cell r="BM3" t="str">
            <v>Tijdelijke oplossing</v>
          </cell>
          <cell r="BN3" t="str">
            <v>veiligheidshuizen18 ev</v>
          </cell>
          <cell r="BO3" t="str">
            <v>vth-taken18 ev</v>
          </cell>
          <cell r="BP3" t="str">
            <v xml:space="preserve">Verhoogde asielinstroom - </v>
          </cell>
          <cell r="BQ3" t="str">
            <v xml:space="preserve">Verhoogde asielinstroom - </v>
          </cell>
          <cell r="BR3" t="str">
            <v>versterking gemeentelijke</v>
          </cell>
          <cell r="BS3" t="str">
            <v>Versterking lokale werkgelegenheid</v>
          </cell>
          <cell r="BT3" t="str">
            <v>Voorschoolse voorziening</v>
          </cell>
          <cell r="BU3" t="str">
            <v>Voorschoolse voorziening</v>
          </cell>
          <cell r="BV3" t="str">
            <v>Voorschoolse voorziening</v>
          </cell>
          <cell r="BW3" t="str">
            <v>Voorschoolse voorziening</v>
          </cell>
          <cell r="BX3" t="str">
            <v>Voorziening knelpunten</v>
          </cell>
          <cell r="BY3" t="str">
            <v>vrouwenopvang18</v>
          </cell>
          <cell r="BZ3" t="str">
            <v>vrouwenopvang19</v>
          </cell>
          <cell r="CA3" t="str">
            <v>vrouwenopvang20</v>
          </cell>
          <cell r="CB3" t="str">
            <v>vrouwenopvang21-23</v>
          </cell>
          <cell r="CC3" t="str">
            <v>WMO18</v>
          </cell>
          <cell r="CD3" t="str">
            <v>Iu sociaal domeien</v>
          </cell>
          <cell r="CE3" t="str">
            <v>Voogdij/18+</v>
          </cell>
          <cell r="CF3" t="str">
            <v>Suppletie Jeugdzorg</v>
          </cell>
          <cell r="CG3" t="str">
            <v>Voogdij/18+</v>
          </cell>
          <cell r="CH3" t="str">
            <v>Voogdij/18+</v>
          </cell>
          <cell r="CI3" t="str">
            <v>Voogdij/18+</v>
          </cell>
          <cell r="CJ3" t="str">
            <v>Voogdij/18+</v>
          </cell>
          <cell r="CK3" t="str">
            <v>Beschermd wonen</v>
          </cell>
          <cell r="CL3" t="str">
            <v>Beschermd wonen</v>
          </cell>
          <cell r="CM3" t="str">
            <v>Beschermd wonen</v>
          </cell>
          <cell r="CN3" t="str">
            <v>Beschermd wonen</v>
          </cell>
          <cell r="CO3" t="str">
            <v>Beschermd wonen</v>
          </cell>
          <cell r="CP3" t="str">
            <v>Suppletie wmo19</v>
          </cell>
          <cell r="CQ3" t="str">
            <v>Participatie</v>
          </cell>
          <cell r="CR3" t="str">
            <v>Participatie</v>
          </cell>
          <cell r="CS3" t="str">
            <v>Participatie</v>
          </cell>
          <cell r="CT3" t="str">
            <v>Participatie</v>
          </cell>
          <cell r="CU3" t="str">
            <v>Participatie</v>
          </cell>
          <cell r="CV3" t="str">
            <v>Suppletie overheveling iusd</v>
          </cell>
          <cell r="CW3" t="str">
            <v>Digitale content</v>
          </cell>
          <cell r="CX3" t="str">
            <v>EMA Amsterdam</v>
          </cell>
          <cell r="CY3" t="str">
            <v>Erfgoedregistraties18</v>
          </cell>
          <cell r="CZ3" t="str">
            <v>Experimenten sociale</v>
          </cell>
          <cell r="DA3" t="str">
            <v>Impulsgelden</v>
          </cell>
          <cell r="DB3" t="str">
            <v>Jeugdhulp aan kinderen</v>
          </cell>
          <cell r="DC3" t="str">
            <v>Koplopergemeenten</v>
          </cell>
          <cell r="DD3" t="str">
            <v>Meer Maas</v>
          </cell>
          <cell r="DE3" t="str">
            <v>Meer Maas</v>
          </cell>
          <cell r="DF3" t="str">
            <v>Omgevingsspoor</v>
          </cell>
          <cell r="DG3" t="str">
            <v>Pilot opvang en begeleiding</v>
          </cell>
          <cell r="DH3" t="str">
            <v>Regiodeal</v>
          </cell>
          <cell r="DI3" t="str">
            <v>Roode Vaart</v>
          </cell>
          <cell r="DJ3" t="str">
            <v>Terugdringen</v>
          </cell>
          <cell r="DK3" t="str">
            <v>Terugdringen</v>
          </cell>
          <cell r="DL3" t="str">
            <v>Terugdringen</v>
          </cell>
          <cell r="DM3" t="str">
            <v>Transformatiefonds</v>
          </cell>
          <cell r="DN3" t="str">
            <v>Transformatiefonds</v>
          </cell>
          <cell r="DO3" t="str">
            <v>Transformatiefonds</v>
          </cell>
          <cell r="DP3" t="str">
            <v>Versnelling lokale aanpak</v>
          </cell>
        </row>
        <row r="4">
          <cell r="D4" t="str">
            <v>OZB18</v>
          </cell>
          <cell r="E4" t="str">
            <v>OZB19</v>
          </cell>
          <cell r="F4" t="str">
            <v>(aanv uitk)</v>
          </cell>
          <cell r="G4" t="str">
            <v>bommenregeling18</v>
          </cell>
          <cell r="J4" t="str">
            <v>luchtkwaliteit18</v>
          </cell>
          <cell r="K4" t="str">
            <v>psychische beperking18</v>
          </cell>
          <cell r="L4" t="str">
            <v>kinderen 2018</v>
          </cell>
          <cell r="M4" t="str">
            <v>kinderen 2019 ev</v>
          </cell>
          <cell r="N4" t="str">
            <v>Grootschalige Topografie18</v>
          </cell>
          <cell r="O4" t="str">
            <v>Grootschalige Topografie19</v>
          </cell>
          <cell r="R4" t="str">
            <v>2018-2020</v>
          </cell>
          <cell r="W4" t="str">
            <v>sportcoaches18</v>
          </cell>
          <cell r="X4" t="str">
            <v>centralisering inschrijving vergunninghouders18 ev</v>
          </cell>
          <cell r="AC4" t="str">
            <v>opvangcentra18</v>
          </cell>
          <cell r="AE4">
            <v>2018</v>
          </cell>
          <cell r="AF4" t="str">
            <v>2019-2023</v>
          </cell>
          <cell r="AG4" t="str">
            <v>Oost-Groningen18</v>
          </cell>
          <cell r="AH4" t="str">
            <v>Amsterdam</v>
          </cell>
          <cell r="AI4" t="str">
            <v>energiebesparing18</v>
          </cell>
          <cell r="AS4" t="str">
            <v>Culturele Hoofdstad 2018</v>
          </cell>
          <cell r="AX4" t="str">
            <v>grote steden18</v>
          </cell>
          <cell r="AY4" t="str">
            <v>gebiedsontwikkeling18</v>
          </cell>
          <cell r="AZ4" t="str">
            <v>Loppersum18</v>
          </cell>
          <cell r="BA4" t="str">
            <v>Sint Maarten18</v>
          </cell>
          <cell r="BF4" t="str">
            <v>Groningen18</v>
          </cell>
          <cell r="BG4" t="str">
            <v>Groningen19</v>
          </cell>
          <cell r="BH4" t="str">
            <v>Groningen20-34</v>
          </cell>
          <cell r="BI4" t="str">
            <v>armoede18</v>
          </cell>
          <cell r="BJ4" t="str">
            <v>armoede19</v>
          </cell>
          <cell r="BK4" t="str">
            <v>armoede20</v>
          </cell>
          <cell r="BM4" t="str">
            <v>anonieme hulplijn</v>
          </cell>
          <cell r="BP4" t="str">
            <v>participatie en integratie18</v>
          </cell>
          <cell r="BQ4" t="str">
            <v>partieel effect</v>
          </cell>
          <cell r="BR4" t="str">
            <v>aanpak jihadisme18</v>
          </cell>
          <cell r="BS4" t="str">
            <v>Groningen18-19</v>
          </cell>
          <cell r="BT4" t="str">
            <v>peuters1823</v>
          </cell>
          <cell r="BU4" t="str">
            <v>peuters19</v>
          </cell>
          <cell r="BV4" t="str">
            <v>peuters20</v>
          </cell>
          <cell r="BW4" t="str">
            <v>peuters21-23</v>
          </cell>
          <cell r="BX4" t="str">
            <v>sociaal domein18</v>
          </cell>
          <cell r="CD4">
            <v>2018</v>
          </cell>
          <cell r="CE4">
            <v>2019</v>
          </cell>
          <cell r="CF4">
            <v>2019</v>
          </cell>
          <cell r="CG4">
            <v>2020</v>
          </cell>
          <cell r="CH4">
            <v>2021</v>
          </cell>
          <cell r="CI4">
            <v>2022</v>
          </cell>
          <cell r="CJ4">
            <v>2023</v>
          </cell>
          <cell r="CK4">
            <v>2019</v>
          </cell>
          <cell r="CL4">
            <v>2020</v>
          </cell>
          <cell r="CM4">
            <v>2021</v>
          </cell>
          <cell r="CN4">
            <v>2022</v>
          </cell>
          <cell r="CO4">
            <v>2023</v>
          </cell>
          <cell r="CQ4">
            <v>2019</v>
          </cell>
          <cell r="CR4">
            <v>2020</v>
          </cell>
          <cell r="CS4">
            <v>2021</v>
          </cell>
          <cell r="CT4">
            <v>2022</v>
          </cell>
          <cell r="CU4">
            <v>2023</v>
          </cell>
          <cell r="CV4">
            <v>2019</v>
          </cell>
          <cell r="CW4" t="str">
            <v>ontwikkeling raadsleden18</v>
          </cell>
          <cell r="CX4">
            <v>2018</v>
          </cell>
          <cell r="CZ4" t="str">
            <v>benadering dementie18</v>
          </cell>
          <cell r="DA4" t="str">
            <v>Weerbaar bestuur18</v>
          </cell>
          <cell r="DB4" t="str">
            <v>in een AZC1923</v>
          </cell>
          <cell r="DC4" t="str">
            <v>Clientondersteuning18</v>
          </cell>
          <cell r="DD4" t="str">
            <v>Meer Venlo18</v>
          </cell>
          <cell r="DE4" t="str">
            <v>Meer Venlo19</v>
          </cell>
          <cell r="DF4" t="str">
            <v>Ternaard18</v>
          </cell>
          <cell r="DG4" t="str">
            <v>asielzoekers18</v>
          </cell>
          <cell r="DH4" t="str">
            <v>Eindhoven18</v>
          </cell>
          <cell r="DI4" t="str">
            <v>Zevenbergen18</v>
          </cell>
          <cell r="DJ4" t="str">
            <v>gezondheidsachterstanden18</v>
          </cell>
          <cell r="DK4" t="str">
            <v>gezondheidsachterstanden19</v>
          </cell>
          <cell r="DL4" t="str">
            <v>gezondheidsachterstanden20</v>
          </cell>
          <cell r="DM4" t="str">
            <v>Sociaal Domein Jeugd18</v>
          </cell>
          <cell r="DN4" t="str">
            <v>Sociaal Domein Jeugd19</v>
          </cell>
          <cell r="DO4" t="str">
            <v>Sociaal Domein Jeugd20</v>
          </cell>
          <cell r="DP4" t="str">
            <v>tegen eenzaamheid18</v>
          </cell>
        </row>
        <row r="5">
          <cell r="A5">
            <v>3</v>
          </cell>
          <cell r="B5" t="str">
            <v>Appingedam</v>
          </cell>
          <cell r="C5">
            <v>1</v>
          </cell>
          <cell r="D5">
            <v>45412</v>
          </cell>
          <cell r="E5">
            <v>22706</v>
          </cell>
          <cell r="F5">
            <v>0</v>
          </cell>
          <cell r="G5">
            <v>0</v>
          </cell>
          <cell r="H5">
            <v>0</v>
          </cell>
          <cell r="I5">
            <v>0</v>
          </cell>
          <cell r="K5">
            <v>0</v>
          </cell>
          <cell r="L5">
            <v>80540</v>
          </cell>
          <cell r="M5">
            <v>92706</v>
          </cell>
          <cell r="N5">
            <v>0</v>
          </cell>
          <cell r="O5">
            <v>0</v>
          </cell>
          <cell r="P5">
            <v>0</v>
          </cell>
          <cell r="Q5">
            <v>0</v>
          </cell>
          <cell r="R5">
            <v>0</v>
          </cell>
          <cell r="S5">
            <v>0</v>
          </cell>
          <cell r="T5">
            <v>0</v>
          </cell>
          <cell r="U5">
            <v>0</v>
          </cell>
          <cell r="V5">
            <v>6000</v>
          </cell>
          <cell r="W5">
            <v>43346</v>
          </cell>
          <cell r="X5">
            <v>0</v>
          </cell>
          <cell r="Z5">
            <v>0</v>
          </cell>
          <cell r="AA5">
            <v>0</v>
          </cell>
          <cell r="AB5">
            <v>0</v>
          </cell>
          <cell r="AD5">
            <v>46934</v>
          </cell>
          <cell r="AE5">
            <v>0</v>
          </cell>
          <cell r="AF5">
            <v>0</v>
          </cell>
          <cell r="AG5">
            <v>0</v>
          </cell>
          <cell r="AH5">
            <v>0</v>
          </cell>
          <cell r="AI5">
            <v>0</v>
          </cell>
          <cell r="AJ5">
            <v>0</v>
          </cell>
          <cell r="AK5">
            <v>0</v>
          </cell>
          <cell r="AM5">
            <v>0</v>
          </cell>
          <cell r="AN5">
            <v>0</v>
          </cell>
          <cell r="AO5">
            <v>0</v>
          </cell>
          <cell r="AP5">
            <v>0</v>
          </cell>
          <cell r="AQ5">
            <v>0</v>
          </cell>
          <cell r="AR5">
            <v>0</v>
          </cell>
          <cell r="AS5">
            <v>0</v>
          </cell>
          <cell r="AT5">
            <v>0</v>
          </cell>
          <cell r="AU5">
            <v>2370</v>
          </cell>
          <cell r="AV5">
            <v>0</v>
          </cell>
          <cell r="AW5">
            <v>0</v>
          </cell>
          <cell r="AX5">
            <v>0</v>
          </cell>
          <cell r="BA5">
            <v>0</v>
          </cell>
          <cell r="BC5">
            <v>0</v>
          </cell>
          <cell r="BD5">
            <v>4202</v>
          </cell>
          <cell r="BF5">
            <v>905555</v>
          </cell>
          <cell r="BG5">
            <v>2678933</v>
          </cell>
          <cell r="BH5">
            <v>905555</v>
          </cell>
          <cell r="BI5">
            <v>27506</v>
          </cell>
          <cell r="BJ5">
            <v>22641</v>
          </cell>
          <cell r="BK5">
            <v>22641</v>
          </cell>
          <cell r="BL5">
            <v>0</v>
          </cell>
          <cell r="BM5">
            <v>0</v>
          </cell>
          <cell r="BN5">
            <v>0</v>
          </cell>
          <cell r="BO5">
            <v>38428</v>
          </cell>
          <cell r="BP5">
            <v>14232.6</v>
          </cell>
          <cell r="BQ5">
            <v>25639.534883720899</v>
          </cell>
          <cell r="BR5">
            <v>0</v>
          </cell>
          <cell r="BS5">
            <v>0</v>
          </cell>
          <cell r="BT5">
            <v>21308</v>
          </cell>
          <cell r="BY5">
            <v>0</v>
          </cell>
          <cell r="BZ5">
            <v>0</v>
          </cell>
          <cell r="CA5">
            <v>0</v>
          </cell>
          <cell r="CB5">
            <v>0</v>
          </cell>
          <cell r="CC5">
            <v>1457143</v>
          </cell>
          <cell r="CD5">
            <v>11369393</v>
          </cell>
          <cell r="CE5">
            <v>668390</v>
          </cell>
          <cell r="CF5">
            <v>0</v>
          </cell>
          <cell r="CG5">
            <v>668390</v>
          </cell>
          <cell r="CH5">
            <v>668390</v>
          </cell>
          <cell r="CI5">
            <v>668390</v>
          </cell>
          <cell r="CJ5">
            <v>668390</v>
          </cell>
          <cell r="CK5">
            <v>0</v>
          </cell>
          <cell r="CL5">
            <v>0</v>
          </cell>
          <cell r="CM5">
            <v>0</v>
          </cell>
          <cell r="CN5">
            <v>0</v>
          </cell>
          <cell r="CO5">
            <v>0</v>
          </cell>
          <cell r="CP5">
            <v>-2761</v>
          </cell>
          <cell r="CQ5">
            <v>4317229</v>
          </cell>
          <cell r="CR5">
            <v>4056821</v>
          </cell>
          <cell r="CS5">
            <v>3862505</v>
          </cell>
          <cell r="CT5">
            <v>3699277</v>
          </cell>
          <cell r="CU5">
            <v>3581905</v>
          </cell>
          <cell r="CV5">
            <v>2584</v>
          </cell>
          <cell r="CW5">
            <v>0</v>
          </cell>
          <cell r="CX5">
            <v>0</v>
          </cell>
          <cell r="CY5">
            <v>0</v>
          </cell>
          <cell r="CZ5">
            <v>0</v>
          </cell>
          <cell r="DA5">
            <v>0</v>
          </cell>
          <cell r="DC5">
            <v>0</v>
          </cell>
          <cell r="DD5">
            <v>0</v>
          </cell>
          <cell r="DE5">
            <v>0</v>
          </cell>
          <cell r="DF5">
            <v>0</v>
          </cell>
          <cell r="DG5">
            <v>0</v>
          </cell>
          <cell r="DH5">
            <v>0</v>
          </cell>
          <cell r="DI5">
            <v>0</v>
          </cell>
          <cell r="DJ5">
            <v>0</v>
          </cell>
          <cell r="DK5">
            <v>0</v>
          </cell>
          <cell r="DL5">
            <v>0</v>
          </cell>
        </row>
        <row r="6">
          <cell r="A6">
            <v>5</v>
          </cell>
          <cell r="B6" t="str">
            <v>Bedum</v>
          </cell>
          <cell r="C6">
            <v>1</v>
          </cell>
          <cell r="D6">
            <v>8419</v>
          </cell>
          <cell r="E6">
            <v>4210</v>
          </cell>
          <cell r="F6">
            <v>0</v>
          </cell>
          <cell r="G6">
            <v>0</v>
          </cell>
          <cell r="H6">
            <v>-19362</v>
          </cell>
          <cell r="I6">
            <v>-14602</v>
          </cell>
          <cell r="K6">
            <v>0</v>
          </cell>
          <cell r="L6">
            <v>45960</v>
          </cell>
          <cell r="M6">
            <v>42496</v>
          </cell>
          <cell r="N6">
            <v>0</v>
          </cell>
          <cell r="O6">
            <v>0</v>
          </cell>
          <cell r="P6">
            <v>0</v>
          </cell>
          <cell r="Q6">
            <v>0</v>
          </cell>
          <cell r="R6">
            <v>0</v>
          </cell>
          <cell r="S6">
            <v>0</v>
          </cell>
          <cell r="T6">
            <v>0</v>
          </cell>
          <cell r="U6">
            <v>0</v>
          </cell>
          <cell r="V6">
            <v>0</v>
          </cell>
          <cell r="W6">
            <v>46456</v>
          </cell>
          <cell r="X6">
            <v>0</v>
          </cell>
          <cell r="Z6">
            <v>0</v>
          </cell>
          <cell r="AA6">
            <v>0</v>
          </cell>
          <cell r="AB6">
            <v>0</v>
          </cell>
          <cell r="AD6">
            <v>0</v>
          </cell>
          <cell r="AE6">
            <v>0</v>
          </cell>
          <cell r="AF6">
            <v>0</v>
          </cell>
          <cell r="AG6">
            <v>0</v>
          </cell>
          <cell r="AH6">
            <v>0</v>
          </cell>
          <cell r="AI6">
            <v>0</v>
          </cell>
          <cell r="AJ6">
            <v>0</v>
          </cell>
          <cell r="AK6">
            <v>0</v>
          </cell>
          <cell r="AM6">
            <v>0</v>
          </cell>
          <cell r="AN6">
            <v>0</v>
          </cell>
          <cell r="AO6">
            <v>0</v>
          </cell>
          <cell r="AP6">
            <v>0</v>
          </cell>
          <cell r="AQ6">
            <v>0</v>
          </cell>
          <cell r="AR6">
            <v>0</v>
          </cell>
          <cell r="AS6">
            <v>0</v>
          </cell>
          <cell r="AT6">
            <v>0</v>
          </cell>
          <cell r="AU6">
            <v>4740</v>
          </cell>
          <cell r="AV6">
            <v>0</v>
          </cell>
          <cell r="AW6">
            <v>0</v>
          </cell>
          <cell r="AX6">
            <v>0</v>
          </cell>
          <cell r="BA6">
            <v>0</v>
          </cell>
          <cell r="BC6">
            <v>0</v>
          </cell>
          <cell r="BD6">
            <v>18385</v>
          </cell>
          <cell r="BF6">
            <v>129376</v>
          </cell>
          <cell r="BG6">
            <v>382738</v>
          </cell>
          <cell r="BH6">
            <v>129376</v>
          </cell>
          <cell r="BI6">
            <v>14534</v>
          </cell>
          <cell r="BJ6">
            <v>11964</v>
          </cell>
          <cell r="BK6">
            <v>11964</v>
          </cell>
          <cell r="BL6">
            <v>0</v>
          </cell>
          <cell r="BM6">
            <v>0</v>
          </cell>
          <cell r="BN6">
            <v>0</v>
          </cell>
          <cell r="BO6">
            <v>10215</v>
          </cell>
          <cell r="BP6">
            <v>7907</v>
          </cell>
          <cell r="BQ6">
            <v>14244.186046511601</v>
          </cell>
          <cell r="BR6">
            <v>0</v>
          </cell>
          <cell r="BS6">
            <v>0</v>
          </cell>
          <cell r="BT6">
            <v>17825</v>
          </cell>
          <cell r="BY6">
            <v>0</v>
          </cell>
          <cell r="BZ6">
            <v>0</v>
          </cell>
          <cell r="CA6">
            <v>0</v>
          </cell>
          <cell r="CB6">
            <v>0</v>
          </cell>
          <cell r="CC6">
            <v>892783</v>
          </cell>
          <cell r="CD6">
            <v>5683264</v>
          </cell>
          <cell r="CE6">
            <v>577105</v>
          </cell>
          <cell r="CF6">
            <v>-19410</v>
          </cell>
          <cell r="CG6">
            <v>577105</v>
          </cell>
          <cell r="CH6">
            <v>577105</v>
          </cell>
          <cell r="CI6">
            <v>577105</v>
          </cell>
          <cell r="CJ6">
            <v>577105</v>
          </cell>
          <cell r="CK6">
            <v>0</v>
          </cell>
          <cell r="CL6">
            <v>0</v>
          </cell>
          <cell r="CM6">
            <v>0</v>
          </cell>
          <cell r="CN6">
            <v>0</v>
          </cell>
          <cell r="CO6">
            <v>0</v>
          </cell>
          <cell r="CP6">
            <v>-2402</v>
          </cell>
          <cell r="CQ6">
            <v>1120824</v>
          </cell>
          <cell r="CR6">
            <v>1082421</v>
          </cell>
          <cell r="CS6">
            <v>1062335</v>
          </cell>
          <cell r="CT6">
            <v>1022748</v>
          </cell>
          <cell r="CU6">
            <v>1023764</v>
          </cell>
          <cell r="CV6">
            <v>21272</v>
          </cell>
          <cell r="CW6">
            <v>0</v>
          </cell>
          <cell r="CX6">
            <v>0</v>
          </cell>
          <cell r="CY6">
            <v>0</v>
          </cell>
          <cell r="CZ6">
            <v>0</v>
          </cell>
          <cell r="DA6">
            <v>0</v>
          </cell>
          <cell r="DC6">
            <v>0</v>
          </cell>
          <cell r="DD6">
            <v>0</v>
          </cell>
          <cell r="DE6">
            <v>0</v>
          </cell>
          <cell r="DF6">
            <v>0</v>
          </cell>
          <cell r="DG6">
            <v>0</v>
          </cell>
          <cell r="DH6">
            <v>0</v>
          </cell>
          <cell r="DI6">
            <v>0</v>
          </cell>
          <cell r="DJ6">
            <v>0</v>
          </cell>
          <cell r="DK6">
            <v>0</v>
          </cell>
          <cell r="DL6">
            <v>0</v>
          </cell>
        </row>
        <row r="7">
          <cell r="A7">
            <v>1663</v>
          </cell>
          <cell r="B7" t="str">
            <v>De Marne</v>
          </cell>
          <cell r="C7">
            <v>1</v>
          </cell>
          <cell r="D7">
            <v>-367</v>
          </cell>
          <cell r="E7">
            <v>-184</v>
          </cell>
          <cell r="F7">
            <v>0</v>
          </cell>
          <cell r="G7">
            <v>0</v>
          </cell>
          <cell r="H7">
            <v>0</v>
          </cell>
          <cell r="I7">
            <v>-2283</v>
          </cell>
          <cell r="K7">
            <v>0</v>
          </cell>
          <cell r="L7">
            <v>50278</v>
          </cell>
          <cell r="M7">
            <v>47948</v>
          </cell>
          <cell r="N7">
            <v>0</v>
          </cell>
          <cell r="O7">
            <v>0</v>
          </cell>
          <cell r="P7">
            <v>0</v>
          </cell>
          <cell r="Q7">
            <v>0</v>
          </cell>
          <cell r="R7">
            <v>236639</v>
          </cell>
          <cell r="S7">
            <v>0</v>
          </cell>
          <cell r="T7">
            <v>0</v>
          </cell>
          <cell r="U7">
            <v>0</v>
          </cell>
          <cell r="V7">
            <v>0</v>
          </cell>
          <cell r="W7">
            <v>41597</v>
          </cell>
          <cell r="X7">
            <v>0</v>
          </cell>
          <cell r="Z7">
            <v>0</v>
          </cell>
          <cell r="AA7">
            <v>0</v>
          </cell>
          <cell r="AB7">
            <v>0</v>
          </cell>
          <cell r="AD7">
            <v>20533</v>
          </cell>
          <cell r="AE7">
            <v>0</v>
          </cell>
          <cell r="AF7">
            <v>0</v>
          </cell>
          <cell r="AG7">
            <v>0</v>
          </cell>
          <cell r="AH7">
            <v>0</v>
          </cell>
          <cell r="AI7">
            <v>0</v>
          </cell>
          <cell r="AJ7">
            <v>0</v>
          </cell>
          <cell r="AK7">
            <v>0</v>
          </cell>
          <cell r="AM7">
            <v>0</v>
          </cell>
          <cell r="AN7">
            <v>0</v>
          </cell>
          <cell r="AO7">
            <v>0</v>
          </cell>
          <cell r="AP7">
            <v>0</v>
          </cell>
          <cell r="AQ7">
            <v>0</v>
          </cell>
          <cell r="AR7">
            <v>0</v>
          </cell>
          <cell r="AS7">
            <v>0</v>
          </cell>
          <cell r="AT7">
            <v>0</v>
          </cell>
          <cell r="AU7">
            <v>0</v>
          </cell>
          <cell r="AV7">
            <v>0</v>
          </cell>
          <cell r="AW7">
            <v>0</v>
          </cell>
          <cell r="AX7">
            <v>0</v>
          </cell>
          <cell r="BA7">
            <v>0</v>
          </cell>
          <cell r="BC7">
            <v>0</v>
          </cell>
          <cell r="BD7">
            <v>17699</v>
          </cell>
          <cell r="BF7">
            <v>0</v>
          </cell>
          <cell r="BG7">
            <v>0</v>
          </cell>
          <cell r="BH7">
            <v>0</v>
          </cell>
          <cell r="BI7">
            <v>20227</v>
          </cell>
          <cell r="BJ7">
            <v>16650</v>
          </cell>
          <cell r="BK7">
            <v>16650</v>
          </cell>
          <cell r="BL7">
            <v>0</v>
          </cell>
          <cell r="BM7">
            <v>0</v>
          </cell>
          <cell r="BN7">
            <v>0</v>
          </cell>
          <cell r="BO7">
            <v>92908</v>
          </cell>
          <cell r="BP7">
            <v>0</v>
          </cell>
          <cell r="BQ7">
            <v>0</v>
          </cell>
          <cell r="BR7">
            <v>0</v>
          </cell>
          <cell r="BS7">
            <v>0</v>
          </cell>
          <cell r="BT7">
            <v>30937</v>
          </cell>
          <cell r="BY7">
            <v>0</v>
          </cell>
          <cell r="BZ7">
            <v>0</v>
          </cell>
          <cell r="CA7">
            <v>0</v>
          </cell>
          <cell r="CB7">
            <v>0</v>
          </cell>
          <cell r="CC7">
            <v>1038226</v>
          </cell>
          <cell r="CD7">
            <v>6038274</v>
          </cell>
          <cell r="CE7">
            <v>507157</v>
          </cell>
          <cell r="CF7">
            <v>0</v>
          </cell>
          <cell r="CG7">
            <v>507157</v>
          </cell>
          <cell r="CH7">
            <v>507157</v>
          </cell>
          <cell r="CI7">
            <v>507157</v>
          </cell>
          <cell r="CJ7">
            <v>507157</v>
          </cell>
          <cell r="CK7">
            <v>0</v>
          </cell>
          <cell r="CL7">
            <v>0</v>
          </cell>
          <cell r="CM7">
            <v>0</v>
          </cell>
          <cell r="CN7">
            <v>0</v>
          </cell>
          <cell r="CO7">
            <v>0</v>
          </cell>
          <cell r="CP7">
            <v>-829</v>
          </cell>
          <cell r="CQ7">
            <v>1372754</v>
          </cell>
          <cell r="CR7">
            <v>1309655</v>
          </cell>
          <cell r="CS7">
            <v>1291215</v>
          </cell>
          <cell r="CT7">
            <v>1253458</v>
          </cell>
          <cell r="CU7">
            <v>1211130</v>
          </cell>
          <cell r="CV7">
            <v>-3691</v>
          </cell>
          <cell r="CW7">
            <v>0</v>
          </cell>
          <cell r="CX7">
            <v>0</v>
          </cell>
          <cell r="CY7">
            <v>0</v>
          </cell>
          <cell r="CZ7">
            <v>0</v>
          </cell>
          <cell r="DA7">
            <v>0</v>
          </cell>
          <cell r="DC7">
            <v>0</v>
          </cell>
          <cell r="DD7">
            <v>0</v>
          </cell>
          <cell r="DE7">
            <v>0</v>
          </cell>
          <cell r="DF7">
            <v>0</v>
          </cell>
          <cell r="DG7">
            <v>0</v>
          </cell>
          <cell r="DH7">
            <v>0</v>
          </cell>
          <cell r="DI7">
            <v>0</v>
          </cell>
          <cell r="DJ7">
            <v>0</v>
          </cell>
          <cell r="DK7">
            <v>0</v>
          </cell>
          <cell r="DL7">
            <v>0</v>
          </cell>
        </row>
        <row r="8">
          <cell r="A8">
            <v>10</v>
          </cell>
          <cell r="B8" t="str">
            <v>Delfzijl</v>
          </cell>
          <cell r="C8">
            <v>1</v>
          </cell>
          <cell r="D8">
            <v>76698</v>
          </cell>
          <cell r="E8">
            <v>38349</v>
          </cell>
          <cell r="F8">
            <v>0</v>
          </cell>
          <cell r="G8">
            <v>183633</v>
          </cell>
          <cell r="H8">
            <v>0</v>
          </cell>
          <cell r="I8">
            <v>0</v>
          </cell>
          <cell r="K8">
            <v>0</v>
          </cell>
          <cell r="L8">
            <v>164263</v>
          </cell>
          <cell r="M8">
            <v>175984</v>
          </cell>
          <cell r="N8">
            <v>0</v>
          </cell>
          <cell r="O8">
            <v>0</v>
          </cell>
          <cell r="P8">
            <v>0</v>
          </cell>
          <cell r="Q8">
            <v>0</v>
          </cell>
          <cell r="R8">
            <v>1509824</v>
          </cell>
          <cell r="S8">
            <v>0</v>
          </cell>
          <cell r="T8">
            <v>0</v>
          </cell>
          <cell r="U8">
            <v>0</v>
          </cell>
          <cell r="V8">
            <v>3000</v>
          </cell>
          <cell r="W8">
            <v>75764</v>
          </cell>
          <cell r="X8">
            <v>0</v>
          </cell>
          <cell r="Z8">
            <v>0</v>
          </cell>
          <cell r="AA8">
            <v>0</v>
          </cell>
          <cell r="AB8">
            <v>0</v>
          </cell>
          <cell r="AD8">
            <v>78224</v>
          </cell>
          <cell r="AE8">
            <v>0</v>
          </cell>
          <cell r="AF8">
            <v>0</v>
          </cell>
          <cell r="AG8">
            <v>0</v>
          </cell>
          <cell r="AH8">
            <v>0</v>
          </cell>
          <cell r="AI8">
            <v>0</v>
          </cell>
          <cell r="AJ8">
            <v>0</v>
          </cell>
          <cell r="AK8">
            <v>0</v>
          </cell>
          <cell r="AM8">
            <v>0</v>
          </cell>
          <cell r="AN8">
            <v>0</v>
          </cell>
          <cell r="AO8">
            <v>0</v>
          </cell>
          <cell r="AP8">
            <v>0</v>
          </cell>
          <cell r="AQ8">
            <v>0</v>
          </cell>
          <cell r="AR8">
            <v>0</v>
          </cell>
          <cell r="AS8">
            <v>0</v>
          </cell>
          <cell r="AT8">
            <v>0</v>
          </cell>
          <cell r="AU8">
            <v>2370</v>
          </cell>
          <cell r="AV8">
            <v>0</v>
          </cell>
          <cell r="AW8">
            <v>0</v>
          </cell>
          <cell r="AX8">
            <v>0</v>
          </cell>
          <cell r="BA8">
            <v>0</v>
          </cell>
          <cell r="BC8">
            <v>0</v>
          </cell>
          <cell r="BD8">
            <v>8764</v>
          </cell>
          <cell r="BF8">
            <v>463473</v>
          </cell>
          <cell r="BG8">
            <v>1371107</v>
          </cell>
          <cell r="BH8">
            <v>463473</v>
          </cell>
          <cell r="BI8">
            <v>52290</v>
          </cell>
          <cell r="BJ8">
            <v>43042</v>
          </cell>
          <cell r="BK8">
            <v>43042</v>
          </cell>
          <cell r="BL8">
            <v>0</v>
          </cell>
          <cell r="BM8">
            <v>0</v>
          </cell>
          <cell r="BN8">
            <v>0</v>
          </cell>
          <cell r="BO8">
            <v>365794</v>
          </cell>
          <cell r="BP8">
            <v>18976.8</v>
          </cell>
          <cell r="BQ8">
            <v>34186.046511627901</v>
          </cell>
          <cell r="BR8">
            <v>0</v>
          </cell>
          <cell r="BS8">
            <v>0</v>
          </cell>
          <cell r="BT8">
            <v>53659</v>
          </cell>
          <cell r="BY8">
            <v>0</v>
          </cell>
          <cell r="BZ8">
            <v>0</v>
          </cell>
          <cell r="CA8">
            <v>0</v>
          </cell>
          <cell r="CB8">
            <v>0</v>
          </cell>
          <cell r="CC8">
            <v>2934726</v>
          </cell>
          <cell r="CD8">
            <v>18344493</v>
          </cell>
          <cell r="CE8">
            <v>1815629</v>
          </cell>
          <cell r="CF8">
            <v>893162</v>
          </cell>
          <cell r="CG8">
            <v>1815629</v>
          </cell>
          <cell r="CH8">
            <v>1815629</v>
          </cell>
          <cell r="CI8">
            <v>1815629</v>
          </cell>
          <cell r="CJ8">
            <v>1815629</v>
          </cell>
          <cell r="CK8">
            <v>0</v>
          </cell>
          <cell r="CL8">
            <v>0</v>
          </cell>
          <cell r="CM8">
            <v>0</v>
          </cell>
          <cell r="CN8">
            <v>0</v>
          </cell>
          <cell r="CO8">
            <v>0</v>
          </cell>
          <cell r="CP8">
            <v>-6451</v>
          </cell>
          <cell r="CQ8">
            <v>4450688</v>
          </cell>
          <cell r="CR8">
            <v>4295584</v>
          </cell>
          <cell r="CS8">
            <v>4221252</v>
          </cell>
          <cell r="CT8">
            <v>4096053</v>
          </cell>
          <cell r="CU8">
            <v>3928046</v>
          </cell>
          <cell r="CV8">
            <v>17840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row>
        <row r="9">
          <cell r="A9">
            <v>1651</v>
          </cell>
          <cell r="B9" t="str">
            <v>Eemsmond</v>
          </cell>
          <cell r="C9">
            <v>1</v>
          </cell>
          <cell r="D9">
            <v>80285</v>
          </cell>
          <cell r="E9">
            <v>40143</v>
          </cell>
          <cell r="F9">
            <v>0</v>
          </cell>
          <cell r="G9">
            <v>0</v>
          </cell>
          <cell r="H9">
            <v>0</v>
          </cell>
          <cell r="I9">
            <v>0</v>
          </cell>
          <cell r="K9">
            <v>0</v>
          </cell>
          <cell r="L9">
            <v>85732</v>
          </cell>
          <cell r="M9">
            <v>87825</v>
          </cell>
          <cell r="N9">
            <v>0</v>
          </cell>
          <cell r="O9">
            <v>0</v>
          </cell>
          <cell r="P9">
            <v>0</v>
          </cell>
          <cell r="Q9">
            <v>0</v>
          </cell>
          <cell r="R9">
            <v>0</v>
          </cell>
          <cell r="S9">
            <v>0</v>
          </cell>
          <cell r="T9">
            <v>0</v>
          </cell>
          <cell r="U9">
            <v>0</v>
          </cell>
          <cell r="V9">
            <v>9000</v>
          </cell>
          <cell r="W9">
            <v>41215</v>
          </cell>
          <cell r="X9">
            <v>0</v>
          </cell>
          <cell r="Z9">
            <v>0</v>
          </cell>
          <cell r="AA9">
            <v>0</v>
          </cell>
          <cell r="AB9">
            <v>0</v>
          </cell>
          <cell r="AD9">
            <v>59645</v>
          </cell>
          <cell r="AE9">
            <v>0</v>
          </cell>
          <cell r="AF9">
            <v>0</v>
          </cell>
          <cell r="AG9">
            <v>0</v>
          </cell>
          <cell r="AH9">
            <v>0</v>
          </cell>
          <cell r="AI9">
            <v>0</v>
          </cell>
          <cell r="AJ9">
            <v>0</v>
          </cell>
          <cell r="AK9">
            <v>0</v>
          </cell>
          <cell r="AM9">
            <v>0</v>
          </cell>
          <cell r="AN9">
            <v>0</v>
          </cell>
          <cell r="AO9">
            <v>0</v>
          </cell>
          <cell r="AP9">
            <v>0</v>
          </cell>
          <cell r="AQ9">
            <v>0</v>
          </cell>
          <cell r="AR9">
            <v>0</v>
          </cell>
          <cell r="AS9">
            <v>0</v>
          </cell>
          <cell r="AT9">
            <v>0</v>
          </cell>
          <cell r="AU9">
            <v>0</v>
          </cell>
          <cell r="AV9">
            <v>0</v>
          </cell>
          <cell r="AW9">
            <v>0</v>
          </cell>
          <cell r="AX9">
            <v>0</v>
          </cell>
          <cell r="BA9">
            <v>0</v>
          </cell>
          <cell r="BC9">
            <v>0</v>
          </cell>
          <cell r="BD9">
            <v>27467</v>
          </cell>
          <cell r="BF9">
            <v>288144</v>
          </cell>
          <cell r="BG9">
            <v>852426</v>
          </cell>
          <cell r="BH9">
            <v>288144</v>
          </cell>
          <cell r="BI9">
            <v>32393</v>
          </cell>
          <cell r="BJ9">
            <v>26664</v>
          </cell>
          <cell r="BK9">
            <v>26664</v>
          </cell>
          <cell r="BL9">
            <v>0</v>
          </cell>
          <cell r="BM9">
            <v>0</v>
          </cell>
          <cell r="BN9">
            <v>0</v>
          </cell>
          <cell r="BO9">
            <v>207705</v>
          </cell>
          <cell r="BP9">
            <v>1581.4</v>
          </cell>
          <cell r="BQ9">
            <v>2848.8372093023299</v>
          </cell>
          <cell r="BR9">
            <v>0</v>
          </cell>
          <cell r="BS9">
            <v>0</v>
          </cell>
          <cell r="BT9">
            <v>37939</v>
          </cell>
          <cell r="BY9">
            <v>0</v>
          </cell>
          <cell r="BZ9">
            <v>0</v>
          </cell>
          <cell r="CA9">
            <v>0</v>
          </cell>
          <cell r="CB9">
            <v>0</v>
          </cell>
          <cell r="CC9">
            <v>1645301</v>
          </cell>
          <cell r="CD9">
            <v>13172568</v>
          </cell>
          <cell r="CE9">
            <v>1229723</v>
          </cell>
          <cell r="CF9">
            <v>-27619</v>
          </cell>
          <cell r="CG9">
            <v>1229723</v>
          </cell>
          <cell r="CH9">
            <v>1229723</v>
          </cell>
          <cell r="CI9">
            <v>1229723</v>
          </cell>
          <cell r="CJ9">
            <v>1229723</v>
          </cell>
          <cell r="CK9">
            <v>0</v>
          </cell>
          <cell r="CL9">
            <v>0</v>
          </cell>
          <cell r="CM9">
            <v>0</v>
          </cell>
          <cell r="CN9">
            <v>0</v>
          </cell>
          <cell r="CO9">
            <v>0</v>
          </cell>
          <cell r="CP9">
            <v>0</v>
          </cell>
          <cell r="CQ9">
            <v>4284927</v>
          </cell>
          <cell r="CR9">
            <v>4009189</v>
          </cell>
          <cell r="CS9">
            <v>3837591</v>
          </cell>
          <cell r="CT9">
            <v>3632262</v>
          </cell>
          <cell r="CU9">
            <v>3504411</v>
          </cell>
          <cell r="CV9">
            <v>-14266</v>
          </cell>
          <cell r="CW9">
            <v>0</v>
          </cell>
          <cell r="CX9">
            <v>0</v>
          </cell>
          <cell r="CY9">
            <v>0</v>
          </cell>
          <cell r="CZ9">
            <v>0</v>
          </cell>
          <cell r="DA9">
            <v>0</v>
          </cell>
          <cell r="DC9">
            <v>0</v>
          </cell>
          <cell r="DD9">
            <v>0</v>
          </cell>
          <cell r="DE9">
            <v>0</v>
          </cell>
          <cell r="DF9">
            <v>0</v>
          </cell>
          <cell r="DG9">
            <v>0</v>
          </cell>
          <cell r="DH9">
            <v>0</v>
          </cell>
          <cell r="DI9">
            <v>0</v>
          </cell>
          <cell r="DJ9">
            <v>0</v>
          </cell>
          <cell r="DK9">
            <v>0</v>
          </cell>
          <cell r="DL9">
            <v>0</v>
          </cell>
        </row>
        <row r="10">
          <cell r="A10">
            <v>14</v>
          </cell>
          <cell r="B10" t="str">
            <v>Groningen</v>
          </cell>
          <cell r="C10">
            <v>1</v>
          </cell>
          <cell r="D10">
            <v>509335</v>
          </cell>
          <cell r="E10">
            <v>254668</v>
          </cell>
          <cell r="F10">
            <v>0</v>
          </cell>
          <cell r="G10">
            <v>176531</v>
          </cell>
          <cell r="H10">
            <v>-180061</v>
          </cell>
          <cell r="I10">
            <v>-81413</v>
          </cell>
          <cell r="K10">
            <v>7500</v>
          </cell>
          <cell r="L10">
            <v>1125576</v>
          </cell>
          <cell r="M10">
            <v>1209187</v>
          </cell>
          <cell r="N10">
            <v>0</v>
          </cell>
          <cell r="O10">
            <v>0</v>
          </cell>
          <cell r="P10">
            <v>473748</v>
          </cell>
          <cell r="Q10">
            <v>0</v>
          </cell>
          <cell r="R10">
            <v>0</v>
          </cell>
          <cell r="S10">
            <v>795351</v>
          </cell>
          <cell r="T10">
            <v>795351</v>
          </cell>
          <cell r="U10">
            <v>795351</v>
          </cell>
          <cell r="V10">
            <v>100750</v>
          </cell>
          <cell r="W10">
            <v>505383</v>
          </cell>
          <cell r="X10">
            <v>0</v>
          </cell>
          <cell r="Z10">
            <v>0</v>
          </cell>
          <cell r="AA10">
            <v>40000</v>
          </cell>
          <cell r="AB10">
            <v>0</v>
          </cell>
          <cell r="AD10">
            <v>484988</v>
          </cell>
          <cell r="AE10">
            <v>0</v>
          </cell>
          <cell r="AF10">
            <v>0</v>
          </cell>
          <cell r="AG10">
            <v>0</v>
          </cell>
          <cell r="AH10">
            <v>0</v>
          </cell>
          <cell r="AI10">
            <v>297554</v>
          </cell>
          <cell r="AJ10">
            <v>0</v>
          </cell>
          <cell r="AK10">
            <v>553998</v>
          </cell>
          <cell r="AM10">
            <v>0</v>
          </cell>
          <cell r="AN10">
            <v>0</v>
          </cell>
          <cell r="AO10">
            <v>0</v>
          </cell>
          <cell r="AP10">
            <v>0</v>
          </cell>
          <cell r="AQ10">
            <v>0</v>
          </cell>
          <cell r="AR10">
            <v>0</v>
          </cell>
          <cell r="AS10">
            <v>0</v>
          </cell>
          <cell r="AT10">
            <v>20000</v>
          </cell>
          <cell r="AU10">
            <v>18960</v>
          </cell>
          <cell r="AV10">
            <v>17835604.6787544</v>
          </cell>
          <cell r="AW10">
            <v>80000</v>
          </cell>
          <cell r="AX10">
            <v>0</v>
          </cell>
          <cell r="BA10">
            <v>0</v>
          </cell>
          <cell r="BC10">
            <v>0</v>
          </cell>
          <cell r="BD10">
            <v>355511</v>
          </cell>
          <cell r="BF10">
            <v>0</v>
          </cell>
          <cell r="BG10">
            <v>0</v>
          </cell>
          <cell r="BH10">
            <v>0</v>
          </cell>
          <cell r="BI10">
            <v>441468</v>
          </cell>
          <cell r="BJ10">
            <v>363394</v>
          </cell>
          <cell r="BK10">
            <v>363394</v>
          </cell>
          <cell r="BL10">
            <v>0</v>
          </cell>
          <cell r="BM10">
            <v>0</v>
          </cell>
          <cell r="BN10">
            <v>265650</v>
          </cell>
          <cell r="BO10">
            <v>393034</v>
          </cell>
          <cell r="BP10">
            <v>83814.2</v>
          </cell>
          <cell r="BQ10">
            <v>150988.372093023</v>
          </cell>
          <cell r="BR10">
            <v>0</v>
          </cell>
          <cell r="BS10">
            <v>1900000</v>
          </cell>
          <cell r="BT10">
            <v>398639</v>
          </cell>
          <cell r="BY10">
            <v>4263706.2933300799</v>
          </cell>
          <cell r="BZ10">
            <v>4899369.3957027597</v>
          </cell>
          <cell r="CA10">
            <v>4953672.2737948997</v>
          </cell>
          <cell r="CB10">
            <v>5106998.0472315298</v>
          </cell>
          <cell r="CC10">
            <v>12350025</v>
          </cell>
          <cell r="CD10">
            <v>185000289</v>
          </cell>
          <cell r="CE10">
            <v>12277453</v>
          </cell>
          <cell r="CF10">
            <v>-194866</v>
          </cell>
          <cell r="CG10">
            <v>12277453</v>
          </cell>
          <cell r="CH10">
            <v>12277453</v>
          </cell>
          <cell r="CI10">
            <v>12277453</v>
          </cell>
          <cell r="CJ10">
            <v>12277453</v>
          </cell>
          <cell r="CK10">
            <v>70390479</v>
          </cell>
          <cell r="CL10">
            <v>70355150</v>
          </cell>
          <cell r="CM10">
            <v>70354578</v>
          </cell>
          <cell r="CN10">
            <v>70353322</v>
          </cell>
          <cell r="CO10">
            <v>70355063</v>
          </cell>
          <cell r="CP10">
            <v>0</v>
          </cell>
          <cell r="CQ10">
            <v>28694513</v>
          </cell>
          <cell r="CR10">
            <v>27294604</v>
          </cell>
          <cell r="CS10">
            <v>26494000</v>
          </cell>
          <cell r="CT10">
            <v>25827886</v>
          </cell>
          <cell r="CU10">
            <v>25008929</v>
          </cell>
          <cell r="CV10">
            <v>1809562</v>
          </cell>
          <cell r="CW10">
            <v>0</v>
          </cell>
          <cell r="CX10">
            <v>0</v>
          </cell>
          <cell r="CY10">
            <v>0</v>
          </cell>
          <cell r="CZ10">
            <v>0</v>
          </cell>
          <cell r="DA10">
            <v>0</v>
          </cell>
          <cell r="DC10">
            <v>0</v>
          </cell>
          <cell r="DD10">
            <v>0</v>
          </cell>
          <cell r="DE10">
            <v>0</v>
          </cell>
          <cell r="DF10">
            <v>0</v>
          </cell>
          <cell r="DG10">
            <v>0</v>
          </cell>
          <cell r="DH10">
            <v>0</v>
          </cell>
          <cell r="DI10">
            <v>0</v>
          </cell>
          <cell r="DJ10">
            <v>0</v>
          </cell>
          <cell r="DK10">
            <v>0</v>
          </cell>
          <cell r="DL10">
            <v>0</v>
          </cell>
        </row>
        <row r="11">
          <cell r="A11">
            <v>15</v>
          </cell>
          <cell r="B11" t="str">
            <v>Grootegast</v>
          </cell>
          <cell r="C11">
            <v>1</v>
          </cell>
          <cell r="D11">
            <v>15454</v>
          </cell>
          <cell r="E11">
            <v>7727</v>
          </cell>
          <cell r="F11">
            <v>0</v>
          </cell>
          <cell r="G11">
            <v>0</v>
          </cell>
          <cell r="H11">
            <v>-26978</v>
          </cell>
          <cell r="I11">
            <v>-12461</v>
          </cell>
          <cell r="K11">
            <v>0</v>
          </cell>
          <cell r="L11">
            <v>48467</v>
          </cell>
          <cell r="M11">
            <v>51329</v>
          </cell>
          <cell r="N11">
            <v>0</v>
          </cell>
          <cell r="O11">
            <v>0</v>
          </cell>
          <cell r="P11">
            <v>0</v>
          </cell>
          <cell r="Q11">
            <v>0</v>
          </cell>
          <cell r="R11">
            <v>0</v>
          </cell>
          <cell r="S11">
            <v>0</v>
          </cell>
          <cell r="T11">
            <v>0</v>
          </cell>
          <cell r="U11">
            <v>0</v>
          </cell>
          <cell r="V11">
            <v>3000</v>
          </cell>
          <cell r="W11">
            <v>57147</v>
          </cell>
          <cell r="X11">
            <v>0</v>
          </cell>
          <cell r="Z11">
            <v>0</v>
          </cell>
          <cell r="AA11">
            <v>0</v>
          </cell>
          <cell r="AB11">
            <v>0</v>
          </cell>
          <cell r="AD11">
            <v>21511</v>
          </cell>
          <cell r="AE11">
            <v>0</v>
          </cell>
          <cell r="AF11">
            <v>0</v>
          </cell>
          <cell r="AG11">
            <v>0</v>
          </cell>
          <cell r="AH11">
            <v>0</v>
          </cell>
          <cell r="AI11">
            <v>0</v>
          </cell>
          <cell r="AJ11">
            <v>0</v>
          </cell>
          <cell r="AK11">
            <v>0</v>
          </cell>
          <cell r="AM11">
            <v>0</v>
          </cell>
          <cell r="AN11">
            <v>0</v>
          </cell>
          <cell r="AO11">
            <v>0</v>
          </cell>
          <cell r="AP11">
            <v>0</v>
          </cell>
          <cell r="AQ11">
            <v>0</v>
          </cell>
          <cell r="AR11">
            <v>0</v>
          </cell>
          <cell r="AS11">
            <v>0</v>
          </cell>
          <cell r="AT11">
            <v>0</v>
          </cell>
          <cell r="AU11">
            <v>0</v>
          </cell>
          <cell r="AV11">
            <v>0</v>
          </cell>
          <cell r="AW11">
            <v>0</v>
          </cell>
          <cell r="AX11">
            <v>0</v>
          </cell>
          <cell r="BA11">
            <v>0</v>
          </cell>
          <cell r="BC11">
            <v>0</v>
          </cell>
          <cell r="BD11">
            <v>21344</v>
          </cell>
          <cell r="BF11">
            <v>0</v>
          </cell>
          <cell r="BG11">
            <v>0</v>
          </cell>
          <cell r="BH11">
            <v>0</v>
          </cell>
          <cell r="BI11">
            <v>15792</v>
          </cell>
          <cell r="BJ11">
            <v>12999</v>
          </cell>
          <cell r="BK11">
            <v>12999</v>
          </cell>
          <cell r="BL11">
            <v>0</v>
          </cell>
          <cell r="BM11">
            <v>0</v>
          </cell>
          <cell r="BN11">
            <v>0</v>
          </cell>
          <cell r="BO11">
            <v>119175</v>
          </cell>
          <cell r="BP11">
            <v>4744.2</v>
          </cell>
          <cell r="BQ11">
            <v>8546.5116279069807</v>
          </cell>
          <cell r="BR11">
            <v>0</v>
          </cell>
          <cell r="BS11">
            <v>0</v>
          </cell>
          <cell r="BT11">
            <v>27285</v>
          </cell>
          <cell r="BY11">
            <v>0</v>
          </cell>
          <cell r="BZ11">
            <v>0</v>
          </cell>
          <cell r="CA11">
            <v>0</v>
          </cell>
          <cell r="CB11">
            <v>0</v>
          </cell>
          <cell r="CC11">
            <v>949169</v>
          </cell>
          <cell r="CD11">
            <v>7208574</v>
          </cell>
          <cell r="CE11">
            <v>679431</v>
          </cell>
          <cell r="CF11">
            <v>-30235</v>
          </cell>
          <cell r="CG11">
            <v>679431</v>
          </cell>
          <cell r="CH11">
            <v>679431</v>
          </cell>
          <cell r="CI11">
            <v>679431</v>
          </cell>
          <cell r="CJ11">
            <v>679431</v>
          </cell>
          <cell r="CK11">
            <v>0</v>
          </cell>
          <cell r="CL11">
            <v>0</v>
          </cell>
          <cell r="CM11">
            <v>0</v>
          </cell>
          <cell r="CN11">
            <v>0</v>
          </cell>
          <cell r="CO11">
            <v>0</v>
          </cell>
          <cell r="CP11">
            <v>0</v>
          </cell>
          <cell r="CQ11">
            <v>1846544</v>
          </cell>
          <cell r="CR11">
            <v>1778262</v>
          </cell>
          <cell r="CS11">
            <v>1754360</v>
          </cell>
          <cell r="CT11">
            <v>1684516</v>
          </cell>
          <cell r="CU11">
            <v>1650907</v>
          </cell>
          <cell r="CV11">
            <v>1071</v>
          </cell>
          <cell r="CW11">
            <v>0</v>
          </cell>
          <cell r="CX11">
            <v>0</v>
          </cell>
          <cell r="CY11">
            <v>0</v>
          </cell>
          <cell r="CZ11">
            <v>0</v>
          </cell>
          <cell r="DA11">
            <v>0</v>
          </cell>
          <cell r="DC11">
            <v>0</v>
          </cell>
          <cell r="DD11">
            <v>0</v>
          </cell>
          <cell r="DE11">
            <v>0</v>
          </cell>
          <cell r="DF11">
            <v>0</v>
          </cell>
          <cell r="DG11">
            <v>0</v>
          </cell>
          <cell r="DH11">
            <v>0</v>
          </cell>
          <cell r="DI11">
            <v>0</v>
          </cell>
          <cell r="DJ11">
            <v>0</v>
          </cell>
          <cell r="DK11">
            <v>0</v>
          </cell>
          <cell r="DL11">
            <v>0</v>
          </cell>
        </row>
        <row r="12">
          <cell r="A12">
            <v>17</v>
          </cell>
          <cell r="B12" t="str">
            <v>Haren</v>
          </cell>
          <cell r="C12">
            <v>1</v>
          </cell>
          <cell r="D12">
            <v>29111</v>
          </cell>
          <cell r="E12">
            <v>14555</v>
          </cell>
          <cell r="F12">
            <v>0</v>
          </cell>
          <cell r="G12">
            <v>0</v>
          </cell>
          <cell r="H12">
            <v>230467</v>
          </cell>
          <cell r="I12">
            <v>192619</v>
          </cell>
          <cell r="K12">
            <v>0</v>
          </cell>
          <cell r="L12">
            <v>47850</v>
          </cell>
          <cell r="M12">
            <v>48853</v>
          </cell>
          <cell r="N12">
            <v>0</v>
          </cell>
          <cell r="O12">
            <v>0</v>
          </cell>
          <cell r="P12">
            <v>0</v>
          </cell>
          <cell r="Q12">
            <v>0</v>
          </cell>
          <cell r="R12">
            <v>0</v>
          </cell>
          <cell r="S12">
            <v>0</v>
          </cell>
          <cell r="T12">
            <v>0</v>
          </cell>
          <cell r="U12">
            <v>0</v>
          </cell>
          <cell r="V12">
            <v>3000</v>
          </cell>
          <cell r="W12">
            <v>44852</v>
          </cell>
          <cell r="X12">
            <v>0</v>
          </cell>
          <cell r="Z12">
            <v>0</v>
          </cell>
          <cell r="AA12">
            <v>0</v>
          </cell>
          <cell r="AB12">
            <v>0</v>
          </cell>
          <cell r="AD12">
            <v>0</v>
          </cell>
          <cell r="AE12">
            <v>0</v>
          </cell>
          <cell r="AF12">
            <v>0</v>
          </cell>
          <cell r="AG12">
            <v>0</v>
          </cell>
          <cell r="AH12">
            <v>0</v>
          </cell>
          <cell r="AI12">
            <v>0</v>
          </cell>
          <cell r="AJ12">
            <v>0</v>
          </cell>
          <cell r="AK12">
            <v>0</v>
          </cell>
          <cell r="AM12">
            <v>0</v>
          </cell>
          <cell r="AN12">
            <v>0</v>
          </cell>
          <cell r="AO12">
            <v>0</v>
          </cell>
          <cell r="AP12">
            <v>0</v>
          </cell>
          <cell r="AQ12">
            <v>0</v>
          </cell>
          <cell r="AR12">
            <v>0</v>
          </cell>
          <cell r="AS12">
            <v>0</v>
          </cell>
          <cell r="AT12">
            <v>0</v>
          </cell>
          <cell r="AU12">
            <v>0</v>
          </cell>
          <cell r="AV12">
            <v>0</v>
          </cell>
          <cell r="AW12">
            <v>0</v>
          </cell>
          <cell r="AX12">
            <v>0</v>
          </cell>
          <cell r="BA12">
            <v>0</v>
          </cell>
          <cell r="BC12">
            <v>0</v>
          </cell>
          <cell r="BD12">
            <v>34334</v>
          </cell>
          <cell r="BF12">
            <v>0</v>
          </cell>
          <cell r="BG12">
            <v>0</v>
          </cell>
          <cell r="BH12">
            <v>0</v>
          </cell>
          <cell r="BI12">
            <v>22974</v>
          </cell>
          <cell r="BJ12">
            <v>18911</v>
          </cell>
          <cell r="BK12">
            <v>18911</v>
          </cell>
          <cell r="BL12">
            <v>0</v>
          </cell>
          <cell r="BM12">
            <v>0</v>
          </cell>
          <cell r="BN12">
            <v>0</v>
          </cell>
          <cell r="BO12">
            <v>15566</v>
          </cell>
          <cell r="BP12">
            <v>6325.6</v>
          </cell>
          <cell r="BQ12">
            <v>11395.3488372093</v>
          </cell>
          <cell r="BR12">
            <v>0</v>
          </cell>
          <cell r="BS12">
            <v>0</v>
          </cell>
          <cell r="BT12">
            <v>31867</v>
          </cell>
          <cell r="BY12">
            <v>0</v>
          </cell>
          <cell r="BZ12">
            <v>0</v>
          </cell>
          <cell r="CA12">
            <v>0</v>
          </cell>
          <cell r="CB12">
            <v>0</v>
          </cell>
          <cell r="CC12">
            <v>1550412</v>
          </cell>
          <cell r="CD12">
            <v>5692689</v>
          </cell>
          <cell r="CE12">
            <v>576575</v>
          </cell>
          <cell r="CF12">
            <v>0</v>
          </cell>
          <cell r="CG12">
            <v>576575</v>
          </cell>
          <cell r="CH12">
            <v>576575</v>
          </cell>
          <cell r="CI12">
            <v>576575</v>
          </cell>
          <cell r="CJ12">
            <v>576575</v>
          </cell>
          <cell r="CK12">
            <v>0</v>
          </cell>
          <cell r="CL12">
            <v>0</v>
          </cell>
          <cell r="CM12">
            <v>0</v>
          </cell>
          <cell r="CN12">
            <v>0</v>
          </cell>
          <cell r="CO12">
            <v>0</v>
          </cell>
          <cell r="CP12">
            <v>0</v>
          </cell>
          <cell r="CQ12">
            <v>610507</v>
          </cell>
          <cell r="CR12">
            <v>598599</v>
          </cell>
          <cell r="CS12">
            <v>598581</v>
          </cell>
          <cell r="CT12">
            <v>599701</v>
          </cell>
          <cell r="CU12">
            <v>579763</v>
          </cell>
          <cell r="CV12">
            <v>-251042</v>
          </cell>
          <cell r="CW12">
            <v>0</v>
          </cell>
          <cell r="CX12">
            <v>0</v>
          </cell>
          <cell r="CY12">
            <v>0</v>
          </cell>
          <cell r="CZ12">
            <v>0</v>
          </cell>
          <cell r="DA12">
            <v>0</v>
          </cell>
          <cell r="DC12">
            <v>0</v>
          </cell>
          <cell r="DD12">
            <v>0</v>
          </cell>
          <cell r="DE12">
            <v>0</v>
          </cell>
          <cell r="DF12">
            <v>0</v>
          </cell>
          <cell r="DG12">
            <v>0</v>
          </cell>
          <cell r="DH12">
            <v>0</v>
          </cell>
          <cell r="DI12">
            <v>0</v>
          </cell>
          <cell r="DJ12">
            <v>0</v>
          </cell>
          <cell r="DK12">
            <v>0</v>
          </cell>
          <cell r="DL12">
            <v>0</v>
          </cell>
        </row>
        <row r="13">
          <cell r="A13">
            <v>22</v>
          </cell>
          <cell r="B13" t="str">
            <v>Leek</v>
          </cell>
          <cell r="C13">
            <v>1</v>
          </cell>
          <cell r="D13">
            <v>27540</v>
          </cell>
          <cell r="E13">
            <v>13770</v>
          </cell>
          <cell r="F13">
            <v>0</v>
          </cell>
          <cell r="G13">
            <v>0</v>
          </cell>
          <cell r="H13">
            <v>-25639</v>
          </cell>
          <cell r="I13">
            <v>-8562</v>
          </cell>
          <cell r="K13">
            <v>0</v>
          </cell>
          <cell r="L13">
            <v>87284</v>
          </cell>
          <cell r="M13">
            <v>81992</v>
          </cell>
          <cell r="N13">
            <v>0</v>
          </cell>
          <cell r="O13">
            <v>0</v>
          </cell>
          <cell r="P13">
            <v>0</v>
          </cell>
          <cell r="Q13">
            <v>0</v>
          </cell>
          <cell r="R13">
            <v>0</v>
          </cell>
          <cell r="S13">
            <v>0</v>
          </cell>
          <cell r="T13">
            <v>0</v>
          </cell>
          <cell r="U13">
            <v>0</v>
          </cell>
          <cell r="V13">
            <v>15000</v>
          </cell>
          <cell r="W13">
            <v>59399</v>
          </cell>
          <cell r="X13">
            <v>0</v>
          </cell>
          <cell r="Z13">
            <v>0</v>
          </cell>
          <cell r="AA13">
            <v>0</v>
          </cell>
          <cell r="AB13">
            <v>0</v>
          </cell>
          <cell r="AD13">
            <v>49867</v>
          </cell>
          <cell r="AE13">
            <v>0</v>
          </cell>
          <cell r="AF13">
            <v>0</v>
          </cell>
          <cell r="AG13">
            <v>0</v>
          </cell>
          <cell r="AH13">
            <v>0</v>
          </cell>
          <cell r="AI13">
            <v>0</v>
          </cell>
          <cell r="AJ13">
            <v>0</v>
          </cell>
          <cell r="AK13">
            <v>0</v>
          </cell>
          <cell r="AM13">
            <v>0</v>
          </cell>
          <cell r="AN13">
            <v>0</v>
          </cell>
          <cell r="AO13">
            <v>0</v>
          </cell>
          <cell r="AP13">
            <v>0</v>
          </cell>
          <cell r="AQ13">
            <v>0</v>
          </cell>
          <cell r="AR13">
            <v>0</v>
          </cell>
          <cell r="AS13">
            <v>0</v>
          </cell>
          <cell r="AT13">
            <v>0</v>
          </cell>
          <cell r="AU13">
            <v>0</v>
          </cell>
          <cell r="AV13">
            <v>0</v>
          </cell>
          <cell r="AW13">
            <v>0</v>
          </cell>
          <cell r="AX13">
            <v>0</v>
          </cell>
          <cell r="BA13">
            <v>0</v>
          </cell>
          <cell r="BC13">
            <v>0</v>
          </cell>
          <cell r="BD13">
            <v>34462</v>
          </cell>
          <cell r="BF13">
            <v>0</v>
          </cell>
          <cell r="BG13">
            <v>0</v>
          </cell>
          <cell r="BH13">
            <v>0</v>
          </cell>
          <cell r="BI13">
            <v>30389</v>
          </cell>
          <cell r="BJ13">
            <v>25015</v>
          </cell>
          <cell r="BK13">
            <v>25015</v>
          </cell>
          <cell r="BL13">
            <v>0</v>
          </cell>
          <cell r="BM13">
            <v>0</v>
          </cell>
          <cell r="BN13">
            <v>0</v>
          </cell>
          <cell r="BO13">
            <v>62263</v>
          </cell>
          <cell r="BP13">
            <v>11069.8</v>
          </cell>
          <cell r="BQ13">
            <v>19941.8604651163</v>
          </cell>
          <cell r="BR13">
            <v>0</v>
          </cell>
          <cell r="BS13">
            <v>0</v>
          </cell>
          <cell r="BT13">
            <v>36023</v>
          </cell>
          <cell r="BY13">
            <v>0</v>
          </cell>
          <cell r="BZ13">
            <v>0</v>
          </cell>
          <cell r="CA13">
            <v>0</v>
          </cell>
          <cell r="CB13">
            <v>0</v>
          </cell>
          <cell r="CC13">
            <v>1820501</v>
          </cell>
          <cell r="CD13">
            <v>12830992</v>
          </cell>
          <cell r="CE13">
            <v>1598539</v>
          </cell>
          <cell r="CF13">
            <v>-3398</v>
          </cell>
          <cell r="CG13">
            <v>1598539</v>
          </cell>
          <cell r="CH13">
            <v>1598539</v>
          </cell>
          <cell r="CI13">
            <v>1598539</v>
          </cell>
          <cell r="CJ13">
            <v>1598539</v>
          </cell>
          <cell r="CK13">
            <v>0</v>
          </cell>
          <cell r="CL13">
            <v>0</v>
          </cell>
          <cell r="CM13">
            <v>0</v>
          </cell>
          <cell r="CN13">
            <v>0</v>
          </cell>
          <cell r="CO13">
            <v>0</v>
          </cell>
          <cell r="CP13">
            <v>-2604</v>
          </cell>
          <cell r="CQ13">
            <v>3481658</v>
          </cell>
          <cell r="CR13">
            <v>3304390</v>
          </cell>
          <cell r="CS13">
            <v>3172943</v>
          </cell>
          <cell r="CT13">
            <v>2975264</v>
          </cell>
          <cell r="CU13">
            <v>2865007</v>
          </cell>
          <cell r="CV13">
            <v>16325</v>
          </cell>
          <cell r="CW13">
            <v>0</v>
          </cell>
          <cell r="CX13">
            <v>0</v>
          </cell>
          <cell r="CY13">
            <v>0</v>
          </cell>
          <cell r="CZ13">
            <v>0</v>
          </cell>
          <cell r="DA13">
            <v>0</v>
          </cell>
          <cell r="DC13">
            <v>0</v>
          </cell>
          <cell r="DD13">
            <v>0</v>
          </cell>
          <cell r="DE13">
            <v>0</v>
          </cell>
          <cell r="DF13">
            <v>0</v>
          </cell>
          <cell r="DG13">
            <v>0</v>
          </cell>
          <cell r="DH13">
            <v>0</v>
          </cell>
          <cell r="DI13">
            <v>0</v>
          </cell>
          <cell r="DJ13">
            <v>0</v>
          </cell>
          <cell r="DK13">
            <v>0</v>
          </cell>
          <cell r="DL13">
            <v>0</v>
          </cell>
        </row>
        <row r="14">
          <cell r="A14">
            <v>24</v>
          </cell>
          <cell r="B14" t="str">
            <v>Loppersum</v>
          </cell>
          <cell r="C14">
            <v>1</v>
          </cell>
          <cell r="D14">
            <v>21182</v>
          </cell>
          <cell r="E14">
            <v>10591</v>
          </cell>
          <cell r="F14">
            <v>0</v>
          </cell>
          <cell r="G14">
            <v>42579</v>
          </cell>
          <cell r="H14">
            <v>-16867</v>
          </cell>
          <cell r="I14">
            <v>-5575</v>
          </cell>
          <cell r="K14">
            <v>0</v>
          </cell>
          <cell r="L14">
            <v>47751</v>
          </cell>
          <cell r="M14">
            <v>45234</v>
          </cell>
          <cell r="N14">
            <v>0</v>
          </cell>
          <cell r="O14">
            <v>0</v>
          </cell>
          <cell r="P14">
            <v>0</v>
          </cell>
          <cell r="Q14">
            <v>0</v>
          </cell>
          <cell r="R14">
            <v>0</v>
          </cell>
          <cell r="S14">
            <v>0</v>
          </cell>
          <cell r="T14">
            <v>0</v>
          </cell>
          <cell r="U14">
            <v>0</v>
          </cell>
          <cell r="V14">
            <v>3000</v>
          </cell>
          <cell r="W14">
            <v>26265</v>
          </cell>
          <cell r="X14">
            <v>0</v>
          </cell>
          <cell r="Z14">
            <v>0</v>
          </cell>
          <cell r="AA14">
            <v>0</v>
          </cell>
          <cell r="AB14">
            <v>0</v>
          </cell>
          <cell r="AD14">
            <v>23467</v>
          </cell>
          <cell r="AE14">
            <v>0</v>
          </cell>
          <cell r="AF14">
            <v>0</v>
          </cell>
          <cell r="AG14">
            <v>0</v>
          </cell>
          <cell r="AH14">
            <v>0</v>
          </cell>
          <cell r="AI14">
            <v>0</v>
          </cell>
          <cell r="AJ14">
            <v>0</v>
          </cell>
          <cell r="AK14">
            <v>0</v>
          </cell>
          <cell r="AM14">
            <v>0</v>
          </cell>
          <cell r="AN14">
            <v>0</v>
          </cell>
          <cell r="AO14">
            <v>0</v>
          </cell>
          <cell r="AP14">
            <v>0</v>
          </cell>
          <cell r="AQ14">
            <v>0</v>
          </cell>
          <cell r="AR14">
            <v>0</v>
          </cell>
          <cell r="AS14">
            <v>0</v>
          </cell>
          <cell r="AT14">
            <v>0</v>
          </cell>
          <cell r="AU14">
            <v>0</v>
          </cell>
          <cell r="AV14">
            <v>0</v>
          </cell>
          <cell r="AW14">
            <v>0</v>
          </cell>
          <cell r="AX14">
            <v>0</v>
          </cell>
          <cell r="BA14">
            <v>0</v>
          </cell>
          <cell r="BC14">
            <v>0</v>
          </cell>
          <cell r="BD14">
            <v>3480</v>
          </cell>
          <cell r="BF14">
            <v>181694</v>
          </cell>
          <cell r="BG14">
            <v>537511</v>
          </cell>
          <cell r="BH14">
            <v>181694</v>
          </cell>
          <cell r="BI14">
            <v>15541</v>
          </cell>
          <cell r="BJ14">
            <v>12792</v>
          </cell>
          <cell r="BK14">
            <v>12792</v>
          </cell>
          <cell r="BL14">
            <v>0</v>
          </cell>
          <cell r="BM14">
            <v>0</v>
          </cell>
          <cell r="BN14">
            <v>0</v>
          </cell>
          <cell r="BO14">
            <v>25294</v>
          </cell>
          <cell r="BP14">
            <v>0</v>
          </cell>
          <cell r="BQ14">
            <v>0</v>
          </cell>
          <cell r="BR14">
            <v>0</v>
          </cell>
          <cell r="BS14">
            <v>0</v>
          </cell>
          <cell r="BT14">
            <v>29489</v>
          </cell>
          <cell r="BY14">
            <v>0</v>
          </cell>
          <cell r="BZ14">
            <v>0</v>
          </cell>
          <cell r="CA14">
            <v>0</v>
          </cell>
          <cell r="CB14">
            <v>0</v>
          </cell>
          <cell r="CC14">
            <v>867713</v>
          </cell>
          <cell r="CD14">
            <v>5634849</v>
          </cell>
          <cell r="CE14">
            <v>799554</v>
          </cell>
          <cell r="CF14">
            <v>-13555</v>
          </cell>
          <cell r="CG14">
            <v>799554</v>
          </cell>
          <cell r="CH14">
            <v>799554</v>
          </cell>
          <cell r="CI14">
            <v>799554</v>
          </cell>
          <cell r="CJ14">
            <v>799554</v>
          </cell>
          <cell r="CK14">
            <v>0</v>
          </cell>
          <cell r="CL14">
            <v>0</v>
          </cell>
          <cell r="CM14">
            <v>0</v>
          </cell>
          <cell r="CN14">
            <v>0</v>
          </cell>
          <cell r="CO14">
            <v>0</v>
          </cell>
          <cell r="CP14">
            <v>0</v>
          </cell>
          <cell r="CQ14">
            <v>939163</v>
          </cell>
          <cell r="CR14">
            <v>910204</v>
          </cell>
          <cell r="CS14">
            <v>863564</v>
          </cell>
          <cell r="CT14">
            <v>847408</v>
          </cell>
          <cell r="CU14">
            <v>810817</v>
          </cell>
          <cell r="CV14">
            <v>28976</v>
          </cell>
          <cell r="CW14">
            <v>0</v>
          </cell>
          <cell r="CX14">
            <v>0</v>
          </cell>
          <cell r="CY14">
            <v>0</v>
          </cell>
          <cell r="CZ14">
            <v>0</v>
          </cell>
          <cell r="DA14">
            <v>0</v>
          </cell>
          <cell r="DC14">
            <v>0</v>
          </cell>
          <cell r="DD14">
            <v>0</v>
          </cell>
          <cell r="DE14">
            <v>0</v>
          </cell>
          <cell r="DF14">
            <v>0</v>
          </cell>
          <cell r="DG14">
            <v>0</v>
          </cell>
          <cell r="DH14">
            <v>0</v>
          </cell>
          <cell r="DI14">
            <v>0</v>
          </cell>
          <cell r="DJ14">
            <v>0</v>
          </cell>
          <cell r="DK14">
            <v>0</v>
          </cell>
          <cell r="DL14">
            <v>0</v>
          </cell>
        </row>
        <row r="15">
          <cell r="A15">
            <v>25</v>
          </cell>
          <cell r="B15" t="str">
            <v>Marum</v>
          </cell>
          <cell r="C15">
            <v>1</v>
          </cell>
          <cell r="D15">
            <v>2562</v>
          </cell>
          <cell r="E15">
            <v>1281</v>
          </cell>
          <cell r="F15">
            <v>0</v>
          </cell>
          <cell r="G15">
            <v>0</v>
          </cell>
          <cell r="H15">
            <v>-14752</v>
          </cell>
          <cell r="I15">
            <v>-5729</v>
          </cell>
          <cell r="K15">
            <v>0</v>
          </cell>
          <cell r="L15">
            <v>40270</v>
          </cell>
          <cell r="M15">
            <v>37187</v>
          </cell>
          <cell r="N15">
            <v>0</v>
          </cell>
          <cell r="O15">
            <v>0</v>
          </cell>
          <cell r="P15">
            <v>0</v>
          </cell>
          <cell r="Q15">
            <v>0</v>
          </cell>
          <cell r="R15">
            <v>0</v>
          </cell>
          <cell r="S15">
            <v>0</v>
          </cell>
          <cell r="T15">
            <v>0</v>
          </cell>
          <cell r="U15">
            <v>0</v>
          </cell>
          <cell r="V15">
            <v>0</v>
          </cell>
          <cell r="W15">
            <v>33134</v>
          </cell>
          <cell r="X15">
            <v>0</v>
          </cell>
          <cell r="Z15">
            <v>0</v>
          </cell>
          <cell r="AA15">
            <v>0</v>
          </cell>
          <cell r="AB15">
            <v>0</v>
          </cell>
          <cell r="AD15">
            <v>0</v>
          </cell>
          <cell r="AE15">
            <v>0</v>
          </cell>
          <cell r="AF15">
            <v>0</v>
          </cell>
          <cell r="AG15">
            <v>0</v>
          </cell>
          <cell r="AH15">
            <v>0</v>
          </cell>
          <cell r="AI15">
            <v>0</v>
          </cell>
          <cell r="AJ15">
            <v>0</v>
          </cell>
          <cell r="AK15">
            <v>0</v>
          </cell>
          <cell r="AM15">
            <v>0</v>
          </cell>
          <cell r="AN15">
            <v>0</v>
          </cell>
          <cell r="AO15">
            <v>0</v>
          </cell>
          <cell r="AP15">
            <v>0</v>
          </cell>
          <cell r="AQ15">
            <v>0</v>
          </cell>
          <cell r="AR15">
            <v>0</v>
          </cell>
          <cell r="AS15">
            <v>0</v>
          </cell>
          <cell r="AT15">
            <v>0</v>
          </cell>
          <cell r="AU15">
            <v>2370</v>
          </cell>
          <cell r="AV15">
            <v>0</v>
          </cell>
          <cell r="AW15">
            <v>0</v>
          </cell>
          <cell r="AX15">
            <v>0</v>
          </cell>
          <cell r="BA15">
            <v>0</v>
          </cell>
          <cell r="BC15">
            <v>0</v>
          </cell>
          <cell r="BD15">
            <v>18225</v>
          </cell>
          <cell r="BF15">
            <v>0</v>
          </cell>
          <cell r="BG15">
            <v>0</v>
          </cell>
          <cell r="BH15">
            <v>0</v>
          </cell>
          <cell r="BI15">
            <v>15257</v>
          </cell>
          <cell r="BJ15">
            <v>12559</v>
          </cell>
          <cell r="BK15">
            <v>12559</v>
          </cell>
          <cell r="BL15">
            <v>0</v>
          </cell>
          <cell r="BM15">
            <v>0</v>
          </cell>
          <cell r="BN15">
            <v>0</v>
          </cell>
          <cell r="BO15">
            <v>27726</v>
          </cell>
          <cell r="BP15">
            <v>11069.8</v>
          </cell>
          <cell r="BQ15">
            <v>19941.8604651163</v>
          </cell>
          <cell r="BR15">
            <v>0</v>
          </cell>
          <cell r="BS15">
            <v>0</v>
          </cell>
          <cell r="BT15">
            <v>21351</v>
          </cell>
          <cell r="BY15">
            <v>0</v>
          </cell>
          <cell r="BZ15">
            <v>0</v>
          </cell>
          <cell r="CA15">
            <v>0</v>
          </cell>
          <cell r="CB15">
            <v>0</v>
          </cell>
          <cell r="CC15">
            <v>737088</v>
          </cell>
          <cell r="CD15">
            <v>5436079</v>
          </cell>
          <cell r="CE15">
            <v>448969</v>
          </cell>
          <cell r="CF15">
            <v>-4199</v>
          </cell>
          <cell r="CG15">
            <v>448969</v>
          </cell>
          <cell r="CH15">
            <v>448969</v>
          </cell>
          <cell r="CI15">
            <v>448969</v>
          </cell>
          <cell r="CJ15">
            <v>448969</v>
          </cell>
          <cell r="CK15">
            <v>0</v>
          </cell>
          <cell r="CL15">
            <v>0</v>
          </cell>
          <cell r="CM15">
            <v>0</v>
          </cell>
          <cell r="CN15">
            <v>0</v>
          </cell>
          <cell r="CO15">
            <v>0</v>
          </cell>
          <cell r="CP15">
            <v>-1456</v>
          </cell>
          <cell r="CQ15">
            <v>1354582</v>
          </cell>
          <cell r="CR15">
            <v>1301902</v>
          </cell>
          <cell r="CS15">
            <v>1275298</v>
          </cell>
          <cell r="CT15">
            <v>1253159</v>
          </cell>
          <cell r="CU15">
            <v>1228808</v>
          </cell>
          <cell r="CV15">
            <v>14801</v>
          </cell>
          <cell r="CW15">
            <v>0</v>
          </cell>
          <cell r="CX15">
            <v>0</v>
          </cell>
          <cell r="CY15">
            <v>0</v>
          </cell>
          <cell r="CZ15">
            <v>0</v>
          </cell>
          <cell r="DA15">
            <v>0</v>
          </cell>
          <cell r="DC15">
            <v>0</v>
          </cell>
          <cell r="DD15">
            <v>0</v>
          </cell>
          <cell r="DE15">
            <v>0</v>
          </cell>
          <cell r="DF15">
            <v>0</v>
          </cell>
          <cell r="DG15">
            <v>0</v>
          </cell>
          <cell r="DH15">
            <v>0</v>
          </cell>
          <cell r="DI15">
            <v>0</v>
          </cell>
          <cell r="DJ15">
            <v>0</v>
          </cell>
          <cell r="DK15">
            <v>0</v>
          </cell>
          <cell r="DL15">
            <v>0</v>
          </cell>
        </row>
        <row r="16">
          <cell r="A16">
            <v>1952</v>
          </cell>
          <cell r="B16" t="str">
            <v>Midden-Groningen</v>
          </cell>
          <cell r="C16">
            <v>1</v>
          </cell>
          <cell r="D16">
            <v>113988</v>
          </cell>
          <cell r="E16">
            <v>56994</v>
          </cell>
          <cell r="F16">
            <v>0</v>
          </cell>
          <cell r="G16">
            <v>0</v>
          </cell>
          <cell r="H16">
            <v>1250909</v>
          </cell>
          <cell r="I16">
            <v>1790743</v>
          </cell>
          <cell r="K16">
            <v>0</v>
          </cell>
          <cell r="L16">
            <v>361381</v>
          </cell>
          <cell r="M16">
            <v>355359</v>
          </cell>
          <cell r="N16">
            <v>0</v>
          </cell>
          <cell r="O16">
            <v>0</v>
          </cell>
          <cell r="P16">
            <v>0</v>
          </cell>
          <cell r="Q16">
            <v>0</v>
          </cell>
          <cell r="R16">
            <v>0</v>
          </cell>
          <cell r="S16">
            <v>0</v>
          </cell>
          <cell r="T16">
            <v>0</v>
          </cell>
          <cell r="U16">
            <v>0</v>
          </cell>
          <cell r="V16">
            <v>38500</v>
          </cell>
          <cell r="W16">
            <v>218199</v>
          </cell>
          <cell r="X16">
            <v>0</v>
          </cell>
          <cell r="Z16">
            <v>0</v>
          </cell>
          <cell r="AA16">
            <v>0</v>
          </cell>
          <cell r="AB16">
            <v>0</v>
          </cell>
          <cell r="AD16">
            <v>188181</v>
          </cell>
          <cell r="AE16">
            <v>0</v>
          </cell>
          <cell r="AF16">
            <v>0</v>
          </cell>
          <cell r="AG16">
            <v>0</v>
          </cell>
          <cell r="AH16">
            <v>0</v>
          </cell>
          <cell r="AI16">
            <v>0</v>
          </cell>
          <cell r="AJ16">
            <v>0</v>
          </cell>
          <cell r="AK16">
            <v>0</v>
          </cell>
          <cell r="AM16">
            <v>0</v>
          </cell>
          <cell r="AN16">
            <v>0</v>
          </cell>
          <cell r="AO16">
            <v>0</v>
          </cell>
          <cell r="AP16">
            <v>0</v>
          </cell>
          <cell r="AQ16">
            <v>0</v>
          </cell>
          <cell r="AR16">
            <v>0</v>
          </cell>
          <cell r="AS16">
            <v>0</v>
          </cell>
          <cell r="AT16">
            <v>0</v>
          </cell>
          <cell r="AU16">
            <v>11850</v>
          </cell>
          <cell r="AV16">
            <v>0</v>
          </cell>
          <cell r="AW16">
            <v>0</v>
          </cell>
          <cell r="AX16">
            <v>0</v>
          </cell>
          <cell r="BA16">
            <v>0</v>
          </cell>
          <cell r="BC16">
            <v>0</v>
          </cell>
          <cell r="BD16">
            <v>107250</v>
          </cell>
          <cell r="BF16">
            <v>896924</v>
          </cell>
          <cell r="BG16">
            <v>2653399</v>
          </cell>
          <cell r="BH16">
            <v>896924</v>
          </cell>
          <cell r="BI16">
            <v>120527</v>
          </cell>
          <cell r="BJ16">
            <v>99212</v>
          </cell>
          <cell r="BK16">
            <v>99212</v>
          </cell>
          <cell r="BL16">
            <v>0</v>
          </cell>
          <cell r="BM16">
            <v>0</v>
          </cell>
          <cell r="BN16">
            <v>0</v>
          </cell>
          <cell r="BO16">
            <v>614845</v>
          </cell>
          <cell r="BP16">
            <v>15814</v>
          </cell>
          <cell r="BQ16">
            <v>28488.372093023299</v>
          </cell>
          <cell r="BR16">
            <v>0</v>
          </cell>
          <cell r="BS16">
            <v>0</v>
          </cell>
          <cell r="BT16">
            <v>127782</v>
          </cell>
          <cell r="BY16">
            <v>0</v>
          </cell>
          <cell r="BZ16">
            <v>0</v>
          </cell>
          <cell r="CA16">
            <v>0</v>
          </cell>
          <cell r="CB16">
            <v>0</v>
          </cell>
          <cell r="CC16">
            <v>5979437</v>
          </cell>
          <cell r="CD16">
            <v>43852711</v>
          </cell>
          <cell r="CE16">
            <v>4747938</v>
          </cell>
          <cell r="CF16">
            <v>38176</v>
          </cell>
          <cell r="CG16">
            <v>4747938</v>
          </cell>
          <cell r="CH16">
            <v>4747938</v>
          </cell>
          <cell r="CI16">
            <v>4747938</v>
          </cell>
          <cell r="CJ16">
            <v>4747938</v>
          </cell>
          <cell r="CK16">
            <v>0</v>
          </cell>
          <cell r="CL16">
            <v>0</v>
          </cell>
          <cell r="CM16">
            <v>0</v>
          </cell>
          <cell r="CN16">
            <v>0</v>
          </cell>
          <cell r="CO16">
            <v>0</v>
          </cell>
          <cell r="CP16">
            <v>-6183</v>
          </cell>
          <cell r="CQ16">
            <v>10509245</v>
          </cell>
          <cell r="CR16">
            <v>10016470</v>
          </cell>
          <cell r="CS16">
            <v>9792277</v>
          </cell>
          <cell r="CT16">
            <v>9629841</v>
          </cell>
          <cell r="CU16">
            <v>9396549</v>
          </cell>
          <cell r="CV16">
            <v>68597</v>
          </cell>
          <cell r="CW16">
            <v>0</v>
          </cell>
          <cell r="CX16">
            <v>0</v>
          </cell>
          <cell r="CY16">
            <v>0</v>
          </cell>
          <cell r="CZ16">
            <v>0</v>
          </cell>
          <cell r="DA16">
            <v>0</v>
          </cell>
          <cell r="DC16">
            <v>50000</v>
          </cell>
          <cell r="DD16">
            <v>0</v>
          </cell>
          <cell r="DE16">
            <v>0</v>
          </cell>
          <cell r="DF16">
            <v>0</v>
          </cell>
          <cell r="DG16">
            <v>0</v>
          </cell>
          <cell r="DH16">
            <v>0</v>
          </cell>
          <cell r="DI16">
            <v>0</v>
          </cell>
          <cell r="DJ16">
            <v>0</v>
          </cell>
          <cell r="DK16">
            <v>0</v>
          </cell>
          <cell r="DL16">
            <v>0</v>
          </cell>
        </row>
        <row r="17">
          <cell r="A17">
            <v>1895</v>
          </cell>
          <cell r="B17" t="str">
            <v>Oldambt</v>
          </cell>
          <cell r="C17">
            <v>1</v>
          </cell>
          <cell r="D17">
            <v>172680</v>
          </cell>
          <cell r="E17">
            <v>86340</v>
          </cell>
          <cell r="F17">
            <v>0</v>
          </cell>
          <cell r="G17">
            <v>0</v>
          </cell>
          <cell r="H17">
            <v>-51463</v>
          </cell>
          <cell r="I17">
            <v>-21985</v>
          </cell>
          <cell r="K17">
            <v>0</v>
          </cell>
          <cell r="L17">
            <v>215953</v>
          </cell>
          <cell r="M17">
            <v>216932</v>
          </cell>
          <cell r="N17">
            <v>0</v>
          </cell>
          <cell r="O17">
            <v>0</v>
          </cell>
          <cell r="P17">
            <v>0</v>
          </cell>
          <cell r="Q17">
            <v>0</v>
          </cell>
          <cell r="R17">
            <v>2242805</v>
          </cell>
          <cell r="S17">
            <v>0</v>
          </cell>
          <cell r="T17">
            <v>0</v>
          </cell>
          <cell r="U17">
            <v>0</v>
          </cell>
          <cell r="V17">
            <v>0</v>
          </cell>
          <cell r="W17">
            <v>104857</v>
          </cell>
          <cell r="X17">
            <v>0</v>
          </cell>
          <cell r="Z17">
            <v>0</v>
          </cell>
          <cell r="AA17">
            <v>0</v>
          </cell>
          <cell r="AB17">
            <v>0</v>
          </cell>
          <cell r="AD17">
            <v>147647</v>
          </cell>
          <cell r="AE17">
            <v>0</v>
          </cell>
          <cell r="AF17">
            <v>0</v>
          </cell>
          <cell r="AG17">
            <v>2200000</v>
          </cell>
          <cell r="AH17">
            <v>0</v>
          </cell>
          <cell r="AI17">
            <v>0</v>
          </cell>
          <cell r="AJ17">
            <v>0</v>
          </cell>
          <cell r="AK17">
            <v>0</v>
          </cell>
          <cell r="AM17">
            <v>0</v>
          </cell>
          <cell r="AN17">
            <v>0</v>
          </cell>
          <cell r="AO17">
            <v>0</v>
          </cell>
          <cell r="AP17">
            <v>0</v>
          </cell>
          <cell r="AQ17">
            <v>0</v>
          </cell>
          <cell r="AR17">
            <v>0</v>
          </cell>
          <cell r="AS17">
            <v>0</v>
          </cell>
          <cell r="AT17">
            <v>0</v>
          </cell>
          <cell r="AU17">
            <v>9480</v>
          </cell>
          <cell r="AV17">
            <v>0</v>
          </cell>
          <cell r="AW17">
            <v>0</v>
          </cell>
          <cell r="AX17">
            <v>0</v>
          </cell>
          <cell r="BA17">
            <v>0</v>
          </cell>
          <cell r="BC17">
            <v>0</v>
          </cell>
          <cell r="BD17">
            <v>13377</v>
          </cell>
          <cell r="BF17">
            <v>0</v>
          </cell>
          <cell r="BG17">
            <v>0</v>
          </cell>
          <cell r="BH17">
            <v>0</v>
          </cell>
          <cell r="BI17">
            <v>91805</v>
          </cell>
          <cell r="BJ17">
            <v>75569</v>
          </cell>
          <cell r="BK17">
            <v>75569</v>
          </cell>
          <cell r="BL17">
            <v>0</v>
          </cell>
          <cell r="BM17">
            <v>0</v>
          </cell>
          <cell r="BN17">
            <v>0</v>
          </cell>
          <cell r="BO17">
            <v>183383</v>
          </cell>
          <cell r="BP17">
            <v>33209.4</v>
          </cell>
          <cell r="BQ17">
            <v>59825.581395348803</v>
          </cell>
          <cell r="BR17">
            <v>0</v>
          </cell>
          <cell r="BS17">
            <v>0</v>
          </cell>
          <cell r="BT17">
            <v>85215</v>
          </cell>
          <cell r="BY17">
            <v>0</v>
          </cell>
          <cell r="BZ17">
            <v>0</v>
          </cell>
          <cell r="CA17">
            <v>0</v>
          </cell>
          <cell r="CB17">
            <v>0</v>
          </cell>
          <cell r="CC17">
            <v>4646355</v>
          </cell>
          <cell r="CD17">
            <v>38542429</v>
          </cell>
          <cell r="CE17">
            <v>4012990</v>
          </cell>
          <cell r="CF17">
            <v>0</v>
          </cell>
          <cell r="CG17">
            <v>4012990</v>
          </cell>
          <cell r="CH17">
            <v>4012990</v>
          </cell>
          <cell r="CI17">
            <v>4012990</v>
          </cell>
          <cell r="CJ17">
            <v>4012990</v>
          </cell>
          <cell r="CK17">
            <v>0</v>
          </cell>
          <cell r="CL17">
            <v>0</v>
          </cell>
          <cell r="CM17">
            <v>0</v>
          </cell>
          <cell r="CN17">
            <v>0</v>
          </cell>
          <cell r="CO17">
            <v>0</v>
          </cell>
          <cell r="CP17">
            <v>-7971</v>
          </cell>
          <cell r="CQ17">
            <v>14179484</v>
          </cell>
          <cell r="CR17">
            <v>13384793</v>
          </cell>
          <cell r="CS17">
            <v>12788744</v>
          </cell>
          <cell r="CT17">
            <v>12273788</v>
          </cell>
          <cell r="CU17">
            <v>11703254</v>
          </cell>
          <cell r="CV17">
            <v>83228</v>
          </cell>
          <cell r="CW17">
            <v>0</v>
          </cell>
          <cell r="CX17">
            <v>0</v>
          </cell>
          <cell r="CY17">
            <v>0</v>
          </cell>
          <cell r="CZ17">
            <v>0</v>
          </cell>
          <cell r="DA17">
            <v>0</v>
          </cell>
          <cell r="DC17">
            <v>0</v>
          </cell>
          <cell r="DD17">
            <v>0</v>
          </cell>
          <cell r="DE17">
            <v>0</v>
          </cell>
          <cell r="DF17">
            <v>0</v>
          </cell>
          <cell r="DG17">
            <v>0</v>
          </cell>
          <cell r="DH17">
            <v>0</v>
          </cell>
          <cell r="DI17">
            <v>0</v>
          </cell>
          <cell r="DJ17">
            <v>0</v>
          </cell>
          <cell r="DK17">
            <v>0</v>
          </cell>
          <cell r="DL17">
            <v>0</v>
          </cell>
        </row>
        <row r="18">
          <cell r="A18">
            <v>765</v>
          </cell>
          <cell r="B18" t="str">
            <v>Pekela</v>
          </cell>
          <cell r="C18">
            <v>1</v>
          </cell>
          <cell r="D18">
            <v>35748</v>
          </cell>
          <cell r="E18">
            <v>17874</v>
          </cell>
          <cell r="F18">
            <v>0</v>
          </cell>
          <cell r="G18">
            <v>0</v>
          </cell>
          <cell r="H18">
            <v>0</v>
          </cell>
          <cell r="I18">
            <v>0</v>
          </cell>
          <cell r="K18">
            <v>0</v>
          </cell>
          <cell r="L18">
            <v>98844</v>
          </cell>
          <cell r="M18">
            <v>85373</v>
          </cell>
          <cell r="N18">
            <v>0</v>
          </cell>
          <cell r="O18">
            <v>0</v>
          </cell>
          <cell r="P18">
            <v>0</v>
          </cell>
          <cell r="Q18">
            <v>0</v>
          </cell>
          <cell r="R18">
            <v>0</v>
          </cell>
          <cell r="S18">
            <v>0</v>
          </cell>
          <cell r="T18">
            <v>0</v>
          </cell>
          <cell r="U18">
            <v>0</v>
          </cell>
          <cell r="V18">
            <v>3000</v>
          </cell>
          <cell r="W18">
            <v>30305</v>
          </cell>
          <cell r="X18">
            <v>0</v>
          </cell>
          <cell r="Z18">
            <v>0</v>
          </cell>
          <cell r="AA18">
            <v>0</v>
          </cell>
          <cell r="AB18">
            <v>0</v>
          </cell>
          <cell r="AD18">
            <v>62579</v>
          </cell>
          <cell r="AE18">
            <v>0</v>
          </cell>
          <cell r="AF18">
            <v>0</v>
          </cell>
          <cell r="AG18">
            <v>0</v>
          </cell>
          <cell r="AH18">
            <v>0</v>
          </cell>
          <cell r="AI18">
            <v>0</v>
          </cell>
          <cell r="AJ18">
            <v>0</v>
          </cell>
          <cell r="AK18">
            <v>0</v>
          </cell>
          <cell r="AM18">
            <v>0</v>
          </cell>
          <cell r="AN18">
            <v>0</v>
          </cell>
          <cell r="AO18">
            <v>0</v>
          </cell>
          <cell r="AP18">
            <v>0</v>
          </cell>
          <cell r="AQ18">
            <v>0</v>
          </cell>
          <cell r="AR18">
            <v>0</v>
          </cell>
          <cell r="AS18">
            <v>0</v>
          </cell>
          <cell r="AT18">
            <v>0</v>
          </cell>
          <cell r="AU18">
            <v>2370</v>
          </cell>
          <cell r="AV18">
            <v>0</v>
          </cell>
          <cell r="AW18">
            <v>0</v>
          </cell>
          <cell r="AX18">
            <v>0</v>
          </cell>
          <cell r="BA18">
            <v>0</v>
          </cell>
          <cell r="BC18">
            <v>0</v>
          </cell>
          <cell r="BD18">
            <v>4394</v>
          </cell>
          <cell r="BF18">
            <v>0</v>
          </cell>
          <cell r="BG18">
            <v>0</v>
          </cell>
          <cell r="BH18">
            <v>0</v>
          </cell>
          <cell r="BI18">
            <v>28877</v>
          </cell>
          <cell r="BJ18">
            <v>23770</v>
          </cell>
          <cell r="BK18">
            <v>23770</v>
          </cell>
          <cell r="BL18">
            <v>0</v>
          </cell>
          <cell r="BM18">
            <v>0</v>
          </cell>
          <cell r="BN18">
            <v>0</v>
          </cell>
          <cell r="BO18">
            <v>52534</v>
          </cell>
          <cell r="BP18">
            <v>1581.4</v>
          </cell>
          <cell r="BQ18">
            <v>2848.8372093023299</v>
          </cell>
          <cell r="BR18">
            <v>0</v>
          </cell>
          <cell r="BS18">
            <v>0</v>
          </cell>
          <cell r="BT18">
            <v>26079</v>
          </cell>
          <cell r="BY18">
            <v>0</v>
          </cell>
          <cell r="BZ18">
            <v>0</v>
          </cell>
          <cell r="CA18">
            <v>0</v>
          </cell>
          <cell r="CB18">
            <v>0</v>
          </cell>
          <cell r="CC18">
            <v>1412371</v>
          </cell>
          <cell r="CD18">
            <v>13193578</v>
          </cell>
          <cell r="CE18">
            <v>554804</v>
          </cell>
          <cell r="CF18">
            <v>152472</v>
          </cell>
          <cell r="CG18">
            <v>554804</v>
          </cell>
          <cell r="CH18">
            <v>554804</v>
          </cell>
          <cell r="CI18">
            <v>554804</v>
          </cell>
          <cell r="CJ18">
            <v>554804</v>
          </cell>
          <cell r="CK18">
            <v>0</v>
          </cell>
          <cell r="CL18">
            <v>0</v>
          </cell>
          <cell r="CM18">
            <v>0</v>
          </cell>
          <cell r="CN18">
            <v>0</v>
          </cell>
          <cell r="CO18">
            <v>0</v>
          </cell>
          <cell r="CP18">
            <v>-2064</v>
          </cell>
          <cell r="CQ18">
            <v>5062054</v>
          </cell>
          <cell r="CR18">
            <v>4763089</v>
          </cell>
          <cell r="CS18">
            <v>4626619</v>
          </cell>
          <cell r="CT18">
            <v>4477530</v>
          </cell>
          <cell r="CU18">
            <v>4324084</v>
          </cell>
          <cell r="CV18">
            <v>-112044</v>
          </cell>
          <cell r="CW18">
            <v>0</v>
          </cell>
          <cell r="CX18">
            <v>0</v>
          </cell>
          <cell r="CY18">
            <v>0</v>
          </cell>
          <cell r="CZ18">
            <v>0</v>
          </cell>
          <cell r="DA18">
            <v>0</v>
          </cell>
          <cell r="DC18">
            <v>0</v>
          </cell>
          <cell r="DD18">
            <v>0</v>
          </cell>
          <cell r="DE18">
            <v>0</v>
          </cell>
          <cell r="DF18">
            <v>0</v>
          </cell>
          <cell r="DG18">
            <v>0</v>
          </cell>
          <cell r="DH18">
            <v>0</v>
          </cell>
          <cell r="DI18">
            <v>0</v>
          </cell>
          <cell r="DJ18">
            <v>0</v>
          </cell>
          <cell r="DK18">
            <v>0</v>
          </cell>
          <cell r="DL18">
            <v>0</v>
          </cell>
        </row>
        <row r="19">
          <cell r="A19">
            <v>37</v>
          </cell>
          <cell r="B19" t="str">
            <v>Stadskanaal</v>
          </cell>
          <cell r="C19">
            <v>1</v>
          </cell>
          <cell r="D19">
            <v>44045</v>
          </cell>
          <cell r="E19">
            <v>22022</v>
          </cell>
          <cell r="F19">
            <v>0</v>
          </cell>
          <cell r="G19">
            <v>0</v>
          </cell>
          <cell r="H19">
            <v>-25264</v>
          </cell>
          <cell r="I19">
            <v>-666</v>
          </cell>
          <cell r="K19">
            <v>0</v>
          </cell>
          <cell r="L19">
            <v>194863</v>
          </cell>
          <cell r="M19">
            <v>178388</v>
          </cell>
          <cell r="N19">
            <v>0</v>
          </cell>
          <cell r="O19">
            <v>0</v>
          </cell>
          <cell r="P19">
            <v>0</v>
          </cell>
          <cell r="Q19">
            <v>0</v>
          </cell>
          <cell r="R19">
            <v>0</v>
          </cell>
          <cell r="S19">
            <v>0</v>
          </cell>
          <cell r="T19">
            <v>0</v>
          </cell>
          <cell r="U19">
            <v>0</v>
          </cell>
          <cell r="V19">
            <v>6000</v>
          </cell>
          <cell r="W19">
            <v>128095</v>
          </cell>
          <cell r="X19">
            <v>0</v>
          </cell>
          <cell r="Z19">
            <v>0</v>
          </cell>
          <cell r="AA19">
            <v>0</v>
          </cell>
          <cell r="AB19">
            <v>0</v>
          </cell>
          <cell r="AD19">
            <v>119291</v>
          </cell>
          <cell r="AE19">
            <v>0</v>
          </cell>
          <cell r="AF19">
            <v>0</v>
          </cell>
          <cell r="AG19">
            <v>0</v>
          </cell>
          <cell r="AH19">
            <v>0</v>
          </cell>
          <cell r="AI19">
            <v>0</v>
          </cell>
          <cell r="AJ19">
            <v>0</v>
          </cell>
          <cell r="AK19">
            <v>0</v>
          </cell>
          <cell r="AM19">
            <v>0</v>
          </cell>
          <cell r="AN19">
            <v>0</v>
          </cell>
          <cell r="AO19">
            <v>0</v>
          </cell>
          <cell r="AP19">
            <v>0</v>
          </cell>
          <cell r="AQ19">
            <v>0</v>
          </cell>
          <cell r="AR19">
            <v>0</v>
          </cell>
          <cell r="AS19">
            <v>0</v>
          </cell>
          <cell r="AT19">
            <v>0</v>
          </cell>
          <cell r="AU19">
            <v>16590</v>
          </cell>
          <cell r="AV19">
            <v>0</v>
          </cell>
          <cell r="AW19">
            <v>0</v>
          </cell>
          <cell r="AX19">
            <v>0</v>
          </cell>
          <cell r="BA19">
            <v>0</v>
          </cell>
          <cell r="BC19">
            <v>0</v>
          </cell>
          <cell r="BD19">
            <v>11322</v>
          </cell>
          <cell r="BF19">
            <v>0</v>
          </cell>
          <cell r="BG19">
            <v>0</v>
          </cell>
          <cell r="BH19">
            <v>0</v>
          </cell>
          <cell r="BI19">
            <v>74317</v>
          </cell>
          <cell r="BJ19">
            <v>61174</v>
          </cell>
          <cell r="BK19">
            <v>61174</v>
          </cell>
          <cell r="BL19">
            <v>0</v>
          </cell>
          <cell r="BM19">
            <v>0</v>
          </cell>
          <cell r="BN19">
            <v>0</v>
          </cell>
          <cell r="BO19">
            <v>184356</v>
          </cell>
          <cell r="BP19">
            <v>41116.400000000001</v>
          </cell>
          <cell r="BQ19">
            <v>74069.767441860502</v>
          </cell>
          <cell r="BR19">
            <v>0</v>
          </cell>
          <cell r="BS19">
            <v>0</v>
          </cell>
          <cell r="BT19">
            <v>65067</v>
          </cell>
          <cell r="BY19">
            <v>0</v>
          </cell>
          <cell r="BZ19">
            <v>0</v>
          </cell>
          <cell r="CA19">
            <v>0</v>
          </cell>
          <cell r="CB19">
            <v>0</v>
          </cell>
          <cell r="CC19">
            <v>4095506</v>
          </cell>
          <cell r="CD19">
            <v>37747342</v>
          </cell>
          <cell r="CE19">
            <v>3219972</v>
          </cell>
          <cell r="CF19">
            <v>0</v>
          </cell>
          <cell r="CG19">
            <v>3219972</v>
          </cell>
          <cell r="CH19">
            <v>3219972</v>
          </cell>
          <cell r="CI19">
            <v>3219972</v>
          </cell>
          <cell r="CJ19">
            <v>3219972</v>
          </cell>
          <cell r="CK19">
            <v>0</v>
          </cell>
          <cell r="CL19">
            <v>0</v>
          </cell>
          <cell r="CM19">
            <v>0</v>
          </cell>
          <cell r="CN19">
            <v>0</v>
          </cell>
          <cell r="CO19">
            <v>0</v>
          </cell>
          <cell r="CP19">
            <v>-242</v>
          </cell>
          <cell r="CQ19">
            <v>17034252</v>
          </cell>
          <cell r="CR19">
            <v>16158989</v>
          </cell>
          <cell r="CS19">
            <v>15741941</v>
          </cell>
          <cell r="CT19">
            <v>15328174</v>
          </cell>
          <cell r="CU19">
            <v>14881763</v>
          </cell>
          <cell r="CV19">
            <v>56619</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row>
        <row r="20">
          <cell r="A20">
            <v>9</v>
          </cell>
          <cell r="B20" t="str">
            <v>Ten Boer</v>
          </cell>
          <cell r="C20">
            <v>1</v>
          </cell>
          <cell r="D20">
            <v>19283</v>
          </cell>
          <cell r="E20">
            <v>9641</v>
          </cell>
          <cell r="F20">
            <v>0</v>
          </cell>
          <cell r="G20">
            <v>0</v>
          </cell>
          <cell r="H20">
            <v>-9224</v>
          </cell>
          <cell r="I20">
            <v>-5330</v>
          </cell>
          <cell r="K20">
            <v>0</v>
          </cell>
          <cell r="L20">
            <v>33147</v>
          </cell>
          <cell r="M20">
            <v>34806</v>
          </cell>
          <cell r="N20">
            <v>0</v>
          </cell>
          <cell r="O20">
            <v>0</v>
          </cell>
          <cell r="P20">
            <v>0</v>
          </cell>
          <cell r="Q20">
            <v>0</v>
          </cell>
          <cell r="R20">
            <v>0</v>
          </cell>
          <cell r="S20">
            <v>0</v>
          </cell>
          <cell r="T20">
            <v>0</v>
          </cell>
          <cell r="U20">
            <v>0</v>
          </cell>
          <cell r="V20">
            <v>12000</v>
          </cell>
          <cell r="W20">
            <v>33822</v>
          </cell>
          <cell r="X20">
            <v>0</v>
          </cell>
          <cell r="Z20">
            <v>0</v>
          </cell>
          <cell r="AA20">
            <v>0</v>
          </cell>
          <cell r="AB20">
            <v>0</v>
          </cell>
          <cell r="AD20">
            <v>0</v>
          </cell>
          <cell r="AE20">
            <v>0</v>
          </cell>
          <cell r="AF20">
            <v>0</v>
          </cell>
          <cell r="AG20">
            <v>0</v>
          </cell>
          <cell r="AH20">
            <v>0</v>
          </cell>
          <cell r="AI20">
            <v>0</v>
          </cell>
          <cell r="AJ20">
            <v>0</v>
          </cell>
          <cell r="AK20">
            <v>0</v>
          </cell>
          <cell r="AM20">
            <v>0</v>
          </cell>
          <cell r="AN20">
            <v>0</v>
          </cell>
          <cell r="AO20">
            <v>0</v>
          </cell>
          <cell r="AP20">
            <v>0</v>
          </cell>
          <cell r="AQ20">
            <v>0</v>
          </cell>
          <cell r="AR20">
            <v>0</v>
          </cell>
          <cell r="AS20">
            <v>0</v>
          </cell>
          <cell r="AT20">
            <v>0</v>
          </cell>
          <cell r="AU20">
            <v>0</v>
          </cell>
          <cell r="AV20">
            <v>0</v>
          </cell>
          <cell r="AW20">
            <v>0</v>
          </cell>
          <cell r="AX20">
            <v>0</v>
          </cell>
          <cell r="BA20">
            <v>0</v>
          </cell>
          <cell r="BC20">
            <v>0</v>
          </cell>
          <cell r="BD20">
            <v>12786</v>
          </cell>
          <cell r="BF20">
            <v>134834</v>
          </cell>
          <cell r="BG20">
            <v>398885</v>
          </cell>
          <cell r="BH20">
            <v>134834</v>
          </cell>
          <cell r="BI20">
            <v>9991</v>
          </cell>
          <cell r="BJ20">
            <v>8224</v>
          </cell>
          <cell r="BK20">
            <v>8224</v>
          </cell>
          <cell r="BL20">
            <v>0</v>
          </cell>
          <cell r="BM20">
            <v>0</v>
          </cell>
          <cell r="BN20">
            <v>0</v>
          </cell>
          <cell r="BO20">
            <v>10215</v>
          </cell>
          <cell r="BP20">
            <v>0</v>
          </cell>
          <cell r="BQ20">
            <v>0</v>
          </cell>
          <cell r="BR20">
            <v>0</v>
          </cell>
          <cell r="BS20">
            <v>0</v>
          </cell>
          <cell r="BT20">
            <v>19833</v>
          </cell>
          <cell r="BY20">
            <v>0</v>
          </cell>
          <cell r="BZ20">
            <v>0</v>
          </cell>
          <cell r="CA20">
            <v>0</v>
          </cell>
          <cell r="CB20">
            <v>0</v>
          </cell>
          <cell r="CC20">
            <v>506139</v>
          </cell>
          <cell r="CD20">
            <v>2898642</v>
          </cell>
          <cell r="CE20">
            <v>510448</v>
          </cell>
          <cell r="CF20">
            <v>0</v>
          </cell>
          <cell r="CG20">
            <v>510448</v>
          </cell>
          <cell r="CH20">
            <v>510448</v>
          </cell>
          <cell r="CI20">
            <v>510448</v>
          </cell>
          <cell r="CJ20">
            <v>510448</v>
          </cell>
          <cell r="CK20">
            <v>0</v>
          </cell>
          <cell r="CL20">
            <v>0</v>
          </cell>
          <cell r="CM20">
            <v>0</v>
          </cell>
          <cell r="CN20">
            <v>0</v>
          </cell>
          <cell r="CO20">
            <v>0</v>
          </cell>
          <cell r="CP20">
            <v>-1933</v>
          </cell>
          <cell r="CQ20">
            <v>40702</v>
          </cell>
          <cell r="CR20">
            <v>45278</v>
          </cell>
          <cell r="CS20">
            <v>46781</v>
          </cell>
          <cell r="CT20">
            <v>50945</v>
          </cell>
          <cell r="CU20">
            <v>55091</v>
          </cell>
          <cell r="CV20">
            <v>5624</v>
          </cell>
          <cell r="CW20">
            <v>0</v>
          </cell>
          <cell r="CX20">
            <v>0</v>
          </cell>
          <cell r="CY20">
            <v>0</v>
          </cell>
          <cell r="CZ20">
            <v>0</v>
          </cell>
          <cell r="DA20">
            <v>0</v>
          </cell>
          <cell r="DC20">
            <v>0</v>
          </cell>
          <cell r="DD20">
            <v>0</v>
          </cell>
          <cell r="DE20">
            <v>0</v>
          </cell>
          <cell r="DF20">
            <v>0</v>
          </cell>
          <cell r="DG20">
            <v>0</v>
          </cell>
          <cell r="DH20">
            <v>0</v>
          </cell>
          <cell r="DI20">
            <v>0</v>
          </cell>
          <cell r="DJ20">
            <v>0</v>
          </cell>
          <cell r="DK20">
            <v>0</v>
          </cell>
          <cell r="DL20">
            <v>0</v>
          </cell>
        </row>
        <row r="21">
          <cell r="A21">
            <v>47</v>
          </cell>
          <cell r="B21" t="str">
            <v>Veendam</v>
          </cell>
          <cell r="C21">
            <v>1</v>
          </cell>
          <cell r="D21">
            <v>24814</v>
          </cell>
          <cell r="E21">
            <v>12407</v>
          </cell>
          <cell r="F21">
            <v>0</v>
          </cell>
          <cell r="G21">
            <v>0</v>
          </cell>
          <cell r="H21">
            <v>619817</v>
          </cell>
          <cell r="I21">
            <v>204392</v>
          </cell>
          <cell r="K21">
            <v>0</v>
          </cell>
          <cell r="L21">
            <v>168640</v>
          </cell>
          <cell r="M21">
            <v>164651</v>
          </cell>
          <cell r="N21">
            <v>0</v>
          </cell>
          <cell r="O21">
            <v>0</v>
          </cell>
          <cell r="P21">
            <v>0</v>
          </cell>
          <cell r="Q21">
            <v>0</v>
          </cell>
          <cell r="R21">
            <v>0</v>
          </cell>
          <cell r="S21">
            <v>0</v>
          </cell>
          <cell r="T21">
            <v>0</v>
          </cell>
          <cell r="U21">
            <v>0</v>
          </cell>
          <cell r="V21">
            <v>12000</v>
          </cell>
          <cell r="W21">
            <v>62429</v>
          </cell>
          <cell r="X21">
            <v>0</v>
          </cell>
          <cell r="Z21">
            <v>0</v>
          </cell>
          <cell r="AA21">
            <v>0</v>
          </cell>
          <cell r="AB21">
            <v>0</v>
          </cell>
          <cell r="AD21">
            <v>85068</v>
          </cell>
          <cell r="AE21">
            <v>0</v>
          </cell>
          <cell r="AF21">
            <v>0</v>
          </cell>
          <cell r="AG21">
            <v>0</v>
          </cell>
          <cell r="AH21">
            <v>0</v>
          </cell>
          <cell r="AI21">
            <v>0</v>
          </cell>
          <cell r="AJ21">
            <v>0</v>
          </cell>
          <cell r="AK21">
            <v>0</v>
          </cell>
          <cell r="AM21">
            <v>0</v>
          </cell>
          <cell r="AN21">
            <v>0</v>
          </cell>
          <cell r="AO21">
            <v>0</v>
          </cell>
          <cell r="AP21">
            <v>0</v>
          </cell>
          <cell r="AQ21">
            <v>0</v>
          </cell>
          <cell r="AR21">
            <v>0</v>
          </cell>
          <cell r="AS21">
            <v>0</v>
          </cell>
          <cell r="AT21">
            <v>0</v>
          </cell>
          <cell r="AU21">
            <v>7110</v>
          </cell>
          <cell r="AV21">
            <v>0</v>
          </cell>
          <cell r="AW21">
            <v>0</v>
          </cell>
          <cell r="AX21">
            <v>0</v>
          </cell>
          <cell r="BA21">
            <v>0</v>
          </cell>
          <cell r="BC21">
            <v>0</v>
          </cell>
          <cell r="BD21">
            <v>9663</v>
          </cell>
          <cell r="BF21">
            <v>0</v>
          </cell>
          <cell r="BG21">
            <v>0</v>
          </cell>
          <cell r="BH21">
            <v>0</v>
          </cell>
          <cell r="BI21">
            <v>59038</v>
          </cell>
          <cell r="BJ21">
            <v>48597</v>
          </cell>
          <cell r="BK21">
            <v>48597</v>
          </cell>
          <cell r="BL21">
            <v>0</v>
          </cell>
          <cell r="BM21">
            <v>0</v>
          </cell>
          <cell r="BN21">
            <v>0</v>
          </cell>
          <cell r="BO21">
            <v>228135</v>
          </cell>
          <cell r="BP21">
            <v>34790.800000000003</v>
          </cell>
          <cell r="BQ21">
            <v>62674.418604651197</v>
          </cell>
          <cell r="BR21">
            <v>0</v>
          </cell>
          <cell r="BS21">
            <v>0</v>
          </cell>
          <cell r="BT21">
            <v>52721</v>
          </cell>
          <cell r="BY21">
            <v>0</v>
          </cell>
          <cell r="BZ21">
            <v>0</v>
          </cell>
          <cell r="CA21">
            <v>0</v>
          </cell>
          <cell r="CB21">
            <v>0</v>
          </cell>
          <cell r="CC21">
            <v>2950753</v>
          </cell>
          <cell r="CD21">
            <v>25650821</v>
          </cell>
          <cell r="CE21">
            <v>2793174</v>
          </cell>
          <cell r="CF21">
            <v>0</v>
          </cell>
          <cell r="CG21">
            <v>2793174</v>
          </cell>
          <cell r="CH21">
            <v>2793174</v>
          </cell>
          <cell r="CI21">
            <v>2793174</v>
          </cell>
          <cell r="CJ21">
            <v>2793174</v>
          </cell>
          <cell r="CK21">
            <v>0</v>
          </cell>
          <cell r="CL21">
            <v>0</v>
          </cell>
          <cell r="CM21">
            <v>0</v>
          </cell>
          <cell r="CN21">
            <v>0</v>
          </cell>
          <cell r="CO21">
            <v>0</v>
          </cell>
          <cell r="CP21">
            <v>0</v>
          </cell>
          <cell r="CQ21">
            <v>8917395</v>
          </cell>
          <cell r="CR21">
            <v>8530173</v>
          </cell>
          <cell r="CS21">
            <v>8320189</v>
          </cell>
          <cell r="CT21">
            <v>8154694</v>
          </cell>
          <cell r="CU21">
            <v>8020310</v>
          </cell>
          <cell r="CV21">
            <v>28271</v>
          </cell>
          <cell r="CW21">
            <v>0</v>
          </cell>
          <cell r="CX21">
            <v>0</v>
          </cell>
          <cell r="CY21">
            <v>0</v>
          </cell>
          <cell r="CZ21">
            <v>0</v>
          </cell>
          <cell r="DA21">
            <v>0</v>
          </cell>
          <cell r="DC21">
            <v>0</v>
          </cell>
          <cell r="DD21">
            <v>0</v>
          </cell>
          <cell r="DE21">
            <v>0</v>
          </cell>
          <cell r="DF21">
            <v>0</v>
          </cell>
          <cell r="DG21">
            <v>0</v>
          </cell>
          <cell r="DH21">
            <v>0</v>
          </cell>
          <cell r="DI21">
            <v>0</v>
          </cell>
          <cell r="DJ21">
            <v>0</v>
          </cell>
          <cell r="DK21">
            <v>0</v>
          </cell>
          <cell r="DL21">
            <v>0</v>
          </cell>
        </row>
        <row r="22">
          <cell r="A22">
            <v>1950</v>
          </cell>
          <cell r="B22" t="str">
            <v>Westerwolde</v>
          </cell>
          <cell r="C22">
            <v>1</v>
          </cell>
          <cell r="D22">
            <v>9749</v>
          </cell>
          <cell r="E22">
            <v>4875</v>
          </cell>
          <cell r="F22">
            <v>0</v>
          </cell>
          <cell r="G22">
            <v>0</v>
          </cell>
          <cell r="H22">
            <v>-32083</v>
          </cell>
          <cell r="I22">
            <v>-5645</v>
          </cell>
          <cell r="K22">
            <v>0</v>
          </cell>
          <cell r="L22">
            <v>118859</v>
          </cell>
          <cell r="M22">
            <v>118346</v>
          </cell>
          <cell r="N22">
            <v>0</v>
          </cell>
          <cell r="O22">
            <v>0</v>
          </cell>
          <cell r="P22">
            <v>0</v>
          </cell>
          <cell r="Q22">
            <v>0</v>
          </cell>
          <cell r="R22">
            <v>0</v>
          </cell>
          <cell r="S22">
            <v>0</v>
          </cell>
          <cell r="T22">
            <v>0</v>
          </cell>
          <cell r="U22">
            <v>0</v>
          </cell>
          <cell r="V22">
            <v>9000</v>
          </cell>
          <cell r="W22">
            <v>92524</v>
          </cell>
          <cell r="X22">
            <v>2237369</v>
          </cell>
          <cell r="Z22">
            <v>0</v>
          </cell>
          <cell r="AA22">
            <v>0</v>
          </cell>
          <cell r="AB22">
            <v>0</v>
          </cell>
          <cell r="AD22">
            <v>115380</v>
          </cell>
          <cell r="AE22">
            <v>0</v>
          </cell>
          <cell r="AF22">
            <v>0</v>
          </cell>
          <cell r="AG22">
            <v>0</v>
          </cell>
          <cell r="AH22">
            <v>0</v>
          </cell>
          <cell r="AI22">
            <v>0</v>
          </cell>
          <cell r="AJ22">
            <v>0</v>
          </cell>
          <cell r="AK22">
            <v>0</v>
          </cell>
          <cell r="AM22">
            <v>0</v>
          </cell>
          <cell r="AN22">
            <v>0</v>
          </cell>
          <cell r="AO22">
            <v>0</v>
          </cell>
          <cell r="AP22">
            <v>0</v>
          </cell>
          <cell r="AQ22">
            <v>0</v>
          </cell>
          <cell r="AR22">
            <v>0</v>
          </cell>
          <cell r="AS22">
            <v>0</v>
          </cell>
          <cell r="AT22">
            <v>0</v>
          </cell>
          <cell r="AU22">
            <v>0</v>
          </cell>
          <cell r="AV22">
            <v>0</v>
          </cell>
          <cell r="AW22">
            <v>0</v>
          </cell>
          <cell r="AX22">
            <v>0</v>
          </cell>
          <cell r="BA22">
            <v>0</v>
          </cell>
          <cell r="BC22">
            <v>0</v>
          </cell>
          <cell r="BD22">
            <v>43557</v>
          </cell>
          <cell r="BF22">
            <v>0</v>
          </cell>
          <cell r="BG22">
            <v>0</v>
          </cell>
          <cell r="BH22">
            <v>0</v>
          </cell>
          <cell r="BI22">
            <v>48843</v>
          </cell>
          <cell r="BJ22">
            <v>40205</v>
          </cell>
          <cell r="BK22">
            <v>40205</v>
          </cell>
          <cell r="BL22">
            <v>0</v>
          </cell>
          <cell r="BM22">
            <v>0</v>
          </cell>
          <cell r="BN22">
            <v>0</v>
          </cell>
          <cell r="BO22">
            <v>129390</v>
          </cell>
          <cell r="BP22">
            <v>1581.4</v>
          </cell>
          <cell r="BQ22">
            <v>2848.8372093023299</v>
          </cell>
          <cell r="BR22">
            <v>0</v>
          </cell>
          <cell r="BS22">
            <v>0</v>
          </cell>
          <cell r="BT22">
            <v>60900</v>
          </cell>
          <cell r="BY22">
            <v>0</v>
          </cell>
          <cell r="BZ22">
            <v>0</v>
          </cell>
          <cell r="CA22">
            <v>0</v>
          </cell>
          <cell r="CB22">
            <v>0</v>
          </cell>
          <cell r="CC22">
            <v>2916397</v>
          </cell>
          <cell r="CD22">
            <v>20708234</v>
          </cell>
          <cell r="CE22">
            <v>1256401</v>
          </cell>
          <cell r="CF22">
            <v>-13386</v>
          </cell>
          <cell r="CG22">
            <v>1256401</v>
          </cell>
          <cell r="CH22">
            <v>1256401</v>
          </cell>
          <cell r="CI22">
            <v>1256401</v>
          </cell>
          <cell r="CJ22">
            <v>1256401</v>
          </cell>
          <cell r="CK22">
            <v>0</v>
          </cell>
          <cell r="CL22">
            <v>0</v>
          </cell>
          <cell r="CM22">
            <v>0</v>
          </cell>
          <cell r="CN22">
            <v>0</v>
          </cell>
          <cell r="CO22">
            <v>0</v>
          </cell>
          <cell r="CP22">
            <v>0</v>
          </cell>
          <cell r="CQ22">
            <v>8294042</v>
          </cell>
          <cell r="CR22">
            <v>7790449</v>
          </cell>
          <cell r="CS22">
            <v>7456354</v>
          </cell>
          <cell r="CT22">
            <v>7096205</v>
          </cell>
          <cell r="CU22">
            <v>6880854</v>
          </cell>
          <cell r="CV22">
            <v>38888</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row>
        <row r="23">
          <cell r="A23">
            <v>53</v>
          </cell>
          <cell r="B23" t="str">
            <v>Winsum</v>
          </cell>
          <cell r="C23">
            <v>1</v>
          </cell>
          <cell r="D23">
            <v>38554</v>
          </cell>
          <cell r="E23">
            <v>19277</v>
          </cell>
          <cell r="F23">
            <v>0</v>
          </cell>
          <cell r="G23">
            <v>0</v>
          </cell>
          <cell r="H23">
            <v>-9862</v>
          </cell>
          <cell r="I23">
            <v>-2305</v>
          </cell>
          <cell r="K23">
            <v>0</v>
          </cell>
          <cell r="L23">
            <v>57898</v>
          </cell>
          <cell r="M23">
            <v>57852</v>
          </cell>
          <cell r="N23">
            <v>0</v>
          </cell>
          <cell r="O23">
            <v>0</v>
          </cell>
          <cell r="P23">
            <v>0</v>
          </cell>
          <cell r="Q23">
            <v>0</v>
          </cell>
          <cell r="R23">
            <v>0</v>
          </cell>
          <cell r="S23">
            <v>0</v>
          </cell>
          <cell r="T23">
            <v>0</v>
          </cell>
          <cell r="U23">
            <v>0</v>
          </cell>
          <cell r="V23">
            <v>0</v>
          </cell>
          <cell r="W23">
            <v>27881</v>
          </cell>
          <cell r="X23">
            <v>0</v>
          </cell>
          <cell r="Z23">
            <v>0</v>
          </cell>
          <cell r="AA23">
            <v>0</v>
          </cell>
          <cell r="AB23">
            <v>0</v>
          </cell>
          <cell r="AD23">
            <v>0</v>
          </cell>
          <cell r="AE23">
            <v>0</v>
          </cell>
          <cell r="AF23">
            <v>0</v>
          </cell>
          <cell r="AG23">
            <v>0</v>
          </cell>
          <cell r="AH23">
            <v>0</v>
          </cell>
          <cell r="AI23">
            <v>0</v>
          </cell>
          <cell r="AJ23">
            <v>0</v>
          </cell>
          <cell r="AK23">
            <v>0</v>
          </cell>
          <cell r="AM23">
            <v>0</v>
          </cell>
          <cell r="AN23">
            <v>0</v>
          </cell>
          <cell r="AO23">
            <v>0</v>
          </cell>
          <cell r="AP23">
            <v>0</v>
          </cell>
          <cell r="AQ23">
            <v>0</v>
          </cell>
          <cell r="AR23">
            <v>0</v>
          </cell>
          <cell r="AS23">
            <v>0</v>
          </cell>
          <cell r="AT23">
            <v>0</v>
          </cell>
          <cell r="AU23">
            <v>7110</v>
          </cell>
          <cell r="AV23">
            <v>0</v>
          </cell>
          <cell r="AW23">
            <v>0</v>
          </cell>
          <cell r="AX23">
            <v>0</v>
          </cell>
          <cell r="BA23">
            <v>0</v>
          </cell>
          <cell r="BC23">
            <v>0</v>
          </cell>
          <cell r="BD23">
            <v>23853</v>
          </cell>
          <cell r="BF23">
            <v>0</v>
          </cell>
          <cell r="BG23">
            <v>0</v>
          </cell>
          <cell r="BH23">
            <v>0</v>
          </cell>
          <cell r="BI23">
            <v>20493</v>
          </cell>
          <cell r="BJ23">
            <v>16869</v>
          </cell>
          <cell r="BK23">
            <v>16869</v>
          </cell>
          <cell r="BL23">
            <v>0</v>
          </cell>
          <cell r="BM23">
            <v>0</v>
          </cell>
          <cell r="BN23">
            <v>0</v>
          </cell>
          <cell r="BO23">
            <v>68586</v>
          </cell>
          <cell r="BP23">
            <v>1581.4</v>
          </cell>
          <cell r="BQ23">
            <v>2848.8372093023299</v>
          </cell>
          <cell r="BR23">
            <v>0</v>
          </cell>
          <cell r="BS23">
            <v>0</v>
          </cell>
          <cell r="BT23">
            <v>30775</v>
          </cell>
          <cell r="BY23">
            <v>0</v>
          </cell>
          <cell r="BZ23">
            <v>0</v>
          </cell>
          <cell r="CA23">
            <v>0</v>
          </cell>
          <cell r="CB23">
            <v>0</v>
          </cell>
          <cell r="CC23">
            <v>1050258</v>
          </cell>
          <cell r="CD23">
            <v>7226129</v>
          </cell>
          <cell r="CE23">
            <v>493111</v>
          </cell>
          <cell r="CF23">
            <v>-5604</v>
          </cell>
          <cell r="CG23">
            <v>493111</v>
          </cell>
          <cell r="CH23">
            <v>493111</v>
          </cell>
          <cell r="CI23">
            <v>493111</v>
          </cell>
          <cell r="CJ23">
            <v>493111</v>
          </cell>
          <cell r="CK23">
            <v>0</v>
          </cell>
          <cell r="CL23">
            <v>0</v>
          </cell>
          <cell r="CM23">
            <v>0</v>
          </cell>
          <cell r="CN23">
            <v>0</v>
          </cell>
          <cell r="CO23">
            <v>0</v>
          </cell>
          <cell r="CP23">
            <v>0</v>
          </cell>
          <cell r="CQ23">
            <v>1672223</v>
          </cell>
          <cell r="CR23">
            <v>1597384</v>
          </cell>
          <cell r="CS23">
            <v>1548119</v>
          </cell>
          <cell r="CT23">
            <v>1514641</v>
          </cell>
          <cell r="CU23">
            <v>1452444</v>
          </cell>
          <cell r="CV23">
            <v>25361</v>
          </cell>
          <cell r="CW23">
            <v>0</v>
          </cell>
          <cell r="CX23">
            <v>0</v>
          </cell>
          <cell r="CY23">
            <v>0</v>
          </cell>
          <cell r="CZ23">
            <v>0</v>
          </cell>
          <cell r="DA23">
            <v>0</v>
          </cell>
          <cell r="DC23">
            <v>0</v>
          </cell>
          <cell r="DD23">
            <v>0</v>
          </cell>
          <cell r="DE23">
            <v>0</v>
          </cell>
          <cell r="DF23">
            <v>0</v>
          </cell>
          <cell r="DG23">
            <v>0</v>
          </cell>
          <cell r="DH23">
            <v>0</v>
          </cell>
          <cell r="DI23">
            <v>0</v>
          </cell>
          <cell r="DJ23">
            <v>0</v>
          </cell>
          <cell r="DK23">
            <v>0</v>
          </cell>
          <cell r="DL23">
            <v>0</v>
          </cell>
        </row>
        <row r="24">
          <cell r="A24">
            <v>56</v>
          </cell>
          <cell r="B24" t="str">
            <v>Zuidhorn</v>
          </cell>
          <cell r="C24">
            <v>1</v>
          </cell>
          <cell r="D24">
            <v>14464</v>
          </cell>
          <cell r="E24">
            <v>7232</v>
          </cell>
          <cell r="F24">
            <v>0</v>
          </cell>
          <cell r="G24">
            <v>11366</v>
          </cell>
          <cell r="H24">
            <v>-6317</v>
          </cell>
          <cell r="I24">
            <v>-1531</v>
          </cell>
          <cell r="K24">
            <v>0</v>
          </cell>
          <cell r="L24">
            <v>52824</v>
          </cell>
          <cell r="M24">
            <v>54638</v>
          </cell>
          <cell r="N24">
            <v>0</v>
          </cell>
          <cell r="O24">
            <v>0</v>
          </cell>
          <cell r="P24">
            <v>0</v>
          </cell>
          <cell r="Q24">
            <v>0</v>
          </cell>
          <cell r="R24">
            <v>0</v>
          </cell>
          <cell r="S24">
            <v>0</v>
          </cell>
          <cell r="T24">
            <v>0</v>
          </cell>
          <cell r="U24">
            <v>0</v>
          </cell>
          <cell r="V24">
            <v>0</v>
          </cell>
          <cell r="W24">
            <v>78390</v>
          </cell>
          <cell r="X24">
            <v>0</v>
          </cell>
          <cell r="Z24">
            <v>0</v>
          </cell>
          <cell r="AA24">
            <v>0</v>
          </cell>
          <cell r="AB24">
            <v>0</v>
          </cell>
          <cell r="AD24">
            <v>20000</v>
          </cell>
          <cell r="AE24">
            <v>0</v>
          </cell>
          <cell r="AF24">
            <v>0</v>
          </cell>
          <cell r="AG24">
            <v>0</v>
          </cell>
          <cell r="AH24">
            <v>0</v>
          </cell>
          <cell r="AI24">
            <v>0</v>
          </cell>
          <cell r="AJ24">
            <v>0</v>
          </cell>
          <cell r="AK24">
            <v>0</v>
          </cell>
          <cell r="AM24">
            <v>0</v>
          </cell>
          <cell r="AN24">
            <v>0</v>
          </cell>
          <cell r="AO24">
            <v>0</v>
          </cell>
          <cell r="AP24">
            <v>0</v>
          </cell>
          <cell r="AQ24">
            <v>0</v>
          </cell>
          <cell r="AR24">
            <v>0</v>
          </cell>
          <cell r="AS24">
            <v>0</v>
          </cell>
          <cell r="AT24">
            <v>0</v>
          </cell>
          <cell r="AU24">
            <v>2370</v>
          </cell>
          <cell r="AV24">
            <v>0</v>
          </cell>
          <cell r="AW24">
            <v>0</v>
          </cell>
          <cell r="AX24">
            <v>0</v>
          </cell>
          <cell r="BA24">
            <v>0</v>
          </cell>
          <cell r="BC24">
            <v>0</v>
          </cell>
          <cell r="BD24">
            <v>33087</v>
          </cell>
          <cell r="BF24">
            <v>0</v>
          </cell>
          <cell r="BG24">
            <v>0</v>
          </cell>
          <cell r="BH24">
            <v>0</v>
          </cell>
          <cell r="BI24">
            <v>21278</v>
          </cell>
          <cell r="BJ24">
            <v>17515</v>
          </cell>
          <cell r="BK24">
            <v>17515</v>
          </cell>
          <cell r="BL24">
            <v>0</v>
          </cell>
          <cell r="BM24">
            <v>0</v>
          </cell>
          <cell r="BN24">
            <v>0</v>
          </cell>
          <cell r="BO24">
            <v>72478</v>
          </cell>
          <cell r="BP24">
            <v>20558.2</v>
          </cell>
          <cell r="BQ24">
            <v>37034.8837209302</v>
          </cell>
          <cell r="BR24">
            <v>0</v>
          </cell>
          <cell r="BS24">
            <v>0</v>
          </cell>
          <cell r="BT24">
            <v>40435</v>
          </cell>
          <cell r="BY24">
            <v>0</v>
          </cell>
          <cell r="BZ24">
            <v>0</v>
          </cell>
          <cell r="CA24">
            <v>0</v>
          </cell>
          <cell r="CB24">
            <v>0</v>
          </cell>
          <cell r="CC24">
            <v>1256998</v>
          </cell>
          <cell r="CD24">
            <v>8590860</v>
          </cell>
          <cell r="CE24">
            <v>1004843</v>
          </cell>
          <cell r="CF24">
            <v>0</v>
          </cell>
          <cell r="CG24">
            <v>1004843</v>
          </cell>
          <cell r="CH24">
            <v>1004843</v>
          </cell>
          <cell r="CI24">
            <v>1004843</v>
          </cell>
          <cell r="CJ24">
            <v>1004843</v>
          </cell>
          <cell r="CK24">
            <v>0</v>
          </cell>
          <cell r="CL24">
            <v>0</v>
          </cell>
          <cell r="CM24">
            <v>0</v>
          </cell>
          <cell r="CN24">
            <v>0</v>
          </cell>
          <cell r="CO24">
            <v>0</v>
          </cell>
          <cell r="CP24">
            <v>-554</v>
          </cell>
          <cell r="CQ24">
            <v>1473321</v>
          </cell>
          <cell r="CR24">
            <v>1388008</v>
          </cell>
          <cell r="CS24">
            <v>1362310</v>
          </cell>
          <cell r="CT24">
            <v>1314411</v>
          </cell>
          <cell r="CU24">
            <v>1312741</v>
          </cell>
          <cell r="CV24">
            <v>-5315</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row>
        <row r="25">
          <cell r="A25">
            <v>59</v>
          </cell>
          <cell r="B25" t="str">
            <v>Achtkarspelen</v>
          </cell>
          <cell r="C25">
            <v>2</v>
          </cell>
          <cell r="D25">
            <v>57811</v>
          </cell>
          <cell r="E25">
            <v>28906</v>
          </cell>
          <cell r="F25">
            <v>0</v>
          </cell>
          <cell r="G25">
            <v>0</v>
          </cell>
          <cell r="H25">
            <v>-95131</v>
          </cell>
          <cell r="I25">
            <v>-44818</v>
          </cell>
          <cell r="K25">
            <v>0</v>
          </cell>
          <cell r="L25">
            <v>148027</v>
          </cell>
          <cell r="M25">
            <v>147605</v>
          </cell>
          <cell r="N25">
            <v>0</v>
          </cell>
          <cell r="O25">
            <v>0</v>
          </cell>
          <cell r="P25">
            <v>0</v>
          </cell>
          <cell r="Q25">
            <v>0</v>
          </cell>
          <cell r="R25">
            <v>326571</v>
          </cell>
          <cell r="S25">
            <v>0</v>
          </cell>
          <cell r="T25">
            <v>0</v>
          </cell>
          <cell r="U25">
            <v>0</v>
          </cell>
          <cell r="V25">
            <v>0</v>
          </cell>
          <cell r="W25">
            <v>118959</v>
          </cell>
          <cell r="X25">
            <v>0</v>
          </cell>
          <cell r="Z25">
            <v>0</v>
          </cell>
          <cell r="AA25">
            <v>0</v>
          </cell>
          <cell r="AB25">
            <v>0</v>
          </cell>
          <cell r="AD25">
            <v>75290</v>
          </cell>
          <cell r="AE25">
            <v>0</v>
          </cell>
          <cell r="AF25">
            <v>0</v>
          </cell>
          <cell r="AG25">
            <v>0</v>
          </cell>
          <cell r="AH25">
            <v>0</v>
          </cell>
          <cell r="AI25">
            <v>0</v>
          </cell>
          <cell r="AJ25">
            <v>0</v>
          </cell>
          <cell r="AK25">
            <v>0</v>
          </cell>
          <cell r="AM25">
            <v>0</v>
          </cell>
          <cell r="AN25">
            <v>0</v>
          </cell>
          <cell r="AO25">
            <v>0</v>
          </cell>
          <cell r="AP25">
            <v>0</v>
          </cell>
          <cell r="AQ25">
            <v>0</v>
          </cell>
          <cell r="AR25">
            <v>0</v>
          </cell>
          <cell r="AS25">
            <v>0</v>
          </cell>
          <cell r="AT25">
            <v>0</v>
          </cell>
          <cell r="AU25">
            <v>0</v>
          </cell>
          <cell r="AV25">
            <v>0</v>
          </cell>
          <cell r="AW25">
            <v>0</v>
          </cell>
          <cell r="AX25">
            <v>0</v>
          </cell>
          <cell r="BA25">
            <v>0</v>
          </cell>
          <cell r="BC25">
            <v>0</v>
          </cell>
          <cell r="BD25">
            <v>9791</v>
          </cell>
          <cell r="BF25">
            <v>0</v>
          </cell>
          <cell r="BG25">
            <v>0</v>
          </cell>
          <cell r="BH25">
            <v>0</v>
          </cell>
          <cell r="BI25">
            <v>50044</v>
          </cell>
          <cell r="BJ25">
            <v>41193</v>
          </cell>
          <cell r="BK25">
            <v>41193</v>
          </cell>
          <cell r="BL25">
            <v>0</v>
          </cell>
          <cell r="BM25">
            <v>0</v>
          </cell>
          <cell r="BN25">
            <v>0</v>
          </cell>
          <cell r="BO25">
            <v>146901</v>
          </cell>
          <cell r="BP25">
            <v>14232.6</v>
          </cell>
          <cell r="BQ25">
            <v>25639.534883720899</v>
          </cell>
          <cell r="BR25">
            <v>0</v>
          </cell>
          <cell r="BS25">
            <v>0</v>
          </cell>
          <cell r="BT25">
            <v>61532</v>
          </cell>
          <cell r="BY25">
            <v>0</v>
          </cell>
          <cell r="BZ25">
            <v>0</v>
          </cell>
          <cell r="CA25">
            <v>0</v>
          </cell>
          <cell r="CB25">
            <v>0</v>
          </cell>
          <cell r="CC25">
            <v>2466808</v>
          </cell>
          <cell r="CD25">
            <v>18550205</v>
          </cell>
          <cell r="CE25">
            <v>1228734</v>
          </cell>
          <cell r="CF25">
            <v>-108494</v>
          </cell>
          <cell r="CG25">
            <v>1228734</v>
          </cell>
          <cell r="CH25">
            <v>1228734</v>
          </cell>
          <cell r="CI25">
            <v>1228734</v>
          </cell>
          <cell r="CJ25">
            <v>1228734</v>
          </cell>
          <cell r="CK25">
            <v>0</v>
          </cell>
          <cell r="CL25">
            <v>0</v>
          </cell>
          <cell r="CM25">
            <v>0</v>
          </cell>
          <cell r="CN25">
            <v>0</v>
          </cell>
          <cell r="CO25">
            <v>0</v>
          </cell>
          <cell r="CP25">
            <v>0</v>
          </cell>
          <cell r="CQ25">
            <v>4642807</v>
          </cell>
          <cell r="CR25">
            <v>4383321</v>
          </cell>
          <cell r="CS25">
            <v>4255791</v>
          </cell>
          <cell r="CT25">
            <v>4167039</v>
          </cell>
          <cell r="CU25">
            <v>4006849</v>
          </cell>
          <cell r="CV25">
            <v>-81135</v>
          </cell>
          <cell r="CW25">
            <v>0</v>
          </cell>
          <cell r="CX25">
            <v>0</v>
          </cell>
          <cell r="CY25">
            <v>0</v>
          </cell>
          <cell r="CZ25">
            <v>0</v>
          </cell>
          <cell r="DA25">
            <v>0</v>
          </cell>
          <cell r="DC25">
            <v>0</v>
          </cell>
          <cell r="DD25">
            <v>0</v>
          </cell>
          <cell r="DE25">
            <v>0</v>
          </cell>
          <cell r="DF25">
            <v>0</v>
          </cell>
          <cell r="DG25">
            <v>0</v>
          </cell>
          <cell r="DH25">
            <v>0</v>
          </cell>
          <cell r="DI25">
            <v>0</v>
          </cell>
          <cell r="DJ25">
            <v>0</v>
          </cell>
          <cell r="DK25">
            <v>0</v>
          </cell>
          <cell r="DL25">
            <v>0</v>
          </cell>
        </row>
        <row r="26">
          <cell r="A26">
            <v>60</v>
          </cell>
          <cell r="B26" t="str">
            <v>Ameland</v>
          </cell>
          <cell r="C26">
            <v>2</v>
          </cell>
          <cell r="D26">
            <v>-10284</v>
          </cell>
          <cell r="E26">
            <v>-5142</v>
          </cell>
          <cell r="F26">
            <v>0</v>
          </cell>
          <cell r="G26">
            <v>0</v>
          </cell>
          <cell r="H26">
            <v>-12723</v>
          </cell>
          <cell r="I26">
            <v>-11260</v>
          </cell>
          <cell r="K26">
            <v>0</v>
          </cell>
          <cell r="L26">
            <v>12256</v>
          </cell>
          <cell r="M26">
            <v>7618</v>
          </cell>
          <cell r="N26">
            <v>0</v>
          </cell>
          <cell r="O26">
            <v>0</v>
          </cell>
          <cell r="P26">
            <v>0</v>
          </cell>
          <cell r="Q26">
            <v>0</v>
          </cell>
          <cell r="R26">
            <v>0</v>
          </cell>
          <cell r="S26">
            <v>0</v>
          </cell>
          <cell r="T26">
            <v>0</v>
          </cell>
          <cell r="U26">
            <v>0</v>
          </cell>
          <cell r="V26">
            <v>0</v>
          </cell>
          <cell r="W26">
            <v>27213</v>
          </cell>
          <cell r="X26">
            <v>0</v>
          </cell>
          <cell r="Z26">
            <v>0</v>
          </cell>
          <cell r="AA26">
            <v>0</v>
          </cell>
          <cell r="AB26">
            <v>0</v>
          </cell>
          <cell r="AD26">
            <v>0</v>
          </cell>
          <cell r="AE26">
            <v>0</v>
          </cell>
          <cell r="AF26">
            <v>0</v>
          </cell>
          <cell r="AG26">
            <v>0</v>
          </cell>
          <cell r="AH26">
            <v>0</v>
          </cell>
          <cell r="AI26">
            <v>0</v>
          </cell>
          <cell r="AJ26">
            <v>0</v>
          </cell>
          <cell r="AK26">
            <v>0</v>
          </cell>
          <cell r="AM26">
            <v>0</v>
          </cell>
          <cell r="AN26">
            <v>0</v>
          </cell>
          <cell r="AO26">
            <v>0</v>
          </cell>
          <cell r="AP26">
            <v>0</v>
          </cell>
          <cell r="AQ26">
            <v>0</v>
          </cell>
          <cell r="AR26">
            <v>0</v>
          </cell>
          <cell r="AS26">
            <v>0</v>
          </cell>
          <cell r="AT26">
            <v>0</v>
          </cell>
          <cell r="AU26">
            <v>0</v>
          </cell>
          <cell r="AV26">
            <v>0</v>
          </cell>
          <cell r="AW26">
            <v>0</v>
          </cell>
          <cell r="AX26">
            <v>0</v>
          </cell>
          <cell r="BA26">
            <v>0</v>
          </cell>
          <cell r="BC26">
            <v>0</v>
          </cell>
          <cell r="BD26">
            <v>1275</v>
          </cell>
          <cell r="BF26">
            <v>0</v>
          </cell>
          <cell r="BG26">
            <v>0</v>
          </cell>
          <cell r="BH26">
            <v>0</v>
          </cell>
          <cell r="BI26">
            <v>2651</v>
          </cell>
          <cell r="BJ26">
            <v>2183</v>
          </cell>
          <cell r="BK26">
            <v>2183</v>
          </cell>
          <cell r="BL26">
            <v>0</v>
          </cell>
          <cell r="BM26">
            <v>0</v>
          </cell>
          <cell r="BN26">
            <v>0</v>
          </cell>
          <cell r="BO26">
            <v>22376</v>
          </cell>
          <cell r="BP26">
            <v>0</v>
          </cell>
          <cell r="BQ26">
            <v>0</v>
          </cell>
          <cell r="BR26">
            <v>0</v>
          </cell>
          <cell r="BS26">
            <v>0</v>
          </cell>
          <cell r="BT26">
            <v>7938</v>
          </cell>
          <cell r="BY26">
            <v>0</v>
          </cell>
          <cell r="BZ26">
            <v>0</v>
          </cell>
          <cell r="CA26">
            <v>0</v>
          </cell>
          <cell r="CB26">
            <v>0</v>
          </cell>
          <cell r="CC26">
            <v>273698</v>
          </cell>
          <cell r="CD26">
            <v>1303611</v>
          </cell>
          <cell r="CE26">
            <v>78853</v>
          </cell>
          <cell r="CF26">
            <v>-21301</v>
          </cell>
          <cell r="CG26">
            <v>78853</v>
          </cell>
          <cell r="CH26">
            <v>78853</v>
          </cell>
          <cell r="CI26">
            <v>78853</v>
          </cell>
          <cell r="CJ26">
            <v>78853</v>
          </cell>
          <cell r="CK26">
            <v>0</v>
          </cell>
          <cell r="CL26">
            <v>0</v>
          </cell>
          <cell r="CM26">
            <v>0</v>
          </cell>
          <cell r="CN26">
            <v>0</v>
          </cell>
          <cell r="CO26">
            <v>0</v>
          </cell>
          <cell r="CP26">
            <v>-872</v>
          </cell>
          <cell r="CQ26">
            <v>270789</v>
          </cell>
          <cell r="CR26">
            <v>261670</v>
          </cell>
          <cell r="CS26">
            <v>250501</v>
          </cell>
          <cell r="CT26">
            <v>221669</v>
          </cell>
          <cell r="CU26">
            <v>221364</v>
          </cell>
          <cell r="CV26">
            <v>-17301</v>
          </cell>
          <cell r="CW26">
            <v>0</v>
          </cell>
          <cell r="CX26">
            <v>0</v>
          </cell>
          <cell r="CY26">
            <v>0</v>
          </cell>
          <cell r="CZ26">
            <v>0</v>
          </cell>
          <cell r="DA26">
            <v>0</v>
          </cell>
          <cell r="DC26">
            <v>0</v>
          </cell>
          <cell r="DD26">
            <v>0</v>
          </cell>
          <cell r="DE26">
            <v>0</v>
          </cell>
          <cell r="DF26">
            <v>0</v>
          </cell>
          <cell r="DG26">
            <v>0</v>
          </cell>
          <cell r="DH26">
            <v>0</v>
          </cell>
          <cell r="DI26">
            <v>0</v>
          </cell>
          <cell r="DJ26">
            <v>0</v>
          </cell>
          <cell r="DK26">
            <v>0</v>
          </cell>
          <cell r="DL26">
            <v>0</v>
          </cell>
        </row>
        <row r="27">
          <cell r="A27">
            <v>1891</v>
          </cell>
          <cell r="B27" t="str">
            <v>Dantumadiel</v>
          </cell>
          <cell r="C27">
            <v>2</v>
          </cell>
          <cell r="D27">
            <v>7117</v>
          </cell>
          <cell r="E27">
            <v>3558</v>
          </cell>
          <cell r="F27">
            <v>0</v>
          </cell>
          <cell r="G27">
            <v>0</v>
          </cell>
          <cell r="H27">
            <v>-77973</v>
          </cell>
          <cell r="I27">
            <v>-39637</v>
          </cell>
          <cell r="K27">
            <v>0</v>
          </cell>
          <cell r="L27">
            <v>90726</v>
          </cell>
          <cell r="M27">
            <v>82849</v>
          </cell>
          <cell r="N27">
            <v>0</v>
          </cell>
          <cell r="O27">
            <v>0</v>
          </cell>
          <cell r="P27">
            <v>0</v>
          </cell>
          <cell r="Q27">
            <v>0</v>
          </cell>
          <cell r="R27">
            <v>0</v>
          </cell>
          <cell r="S27">
            <v>0</v>
          </cell>
          <cell r="T27">
            <v>0</v>
          </cell>
          <cell r="U27">
            <v>0</v>
          </cell>
          <cell r="V27">
            <v>3000</v>
          </cell>
          <cell r="W27">
            <v>83777</v>
          </cell>
          <cell r="X27">
            <v>0</v>
          </cell>
          <cell r="Z27">
            <v>0</v>
          </cell>
          <cell r="AA27">
            <v>0</v>
          </cell>
          <cell r="AB27">
            <v>0</v>
          </cell>
          <cell r="AD27">
            <v>57690</v>
          </cell>
          <cell r="AE27">
            <v>0</v>
          </cell>
          <cell r="AF27">
            <v>0</v>
          </cell>
          <cell r="AG27">
            <v>0</v>
          </cell>
          <cell r="AH27">
            <v>0</v>
          </cell>
          <cell r="AI27">
            <v>0</v>
          </cell>
          <cell r="AJ27">
            <v>0</v>
          </cell>
          <cell r="AK27">
            <v>0</v>
          </cell>
          <cell r="AM27">
            <v>0</v>
          </cell>
          <cell r="AN27">
            <v>0</v>
          </cell>
          <cell r="AO27">
            <v>0</v>
          </cell>
          <cell r="AP27">
            <v>0</v>
          </cell>
          <cell r="AQ27">
            <v>0</v>
          </cell>
          <cell r="AR27">
            <v>0</v>
          </cell>
          <cell r="AS27">
            <v>0</v>
          </cell>
          <cell r="AT27">
            <v>0</v>
          </cell>
          <cell r="AU27">
            <v>0</v>
          </cell>
          <cell r="AV27">
            <v>0</v>
          </cell>
          <cell r="AW27">
            <v>0</v>
          </cell>
          <cell r="AX27">
            <v>0</v>
          </cell>
          <cell r="BA27">
            <v>0</v>
          </cell>
          <cell r="BC27">
            <v>0</v>
          </cell>
          <cell r="BD27">
            <v>6649</v>
          </cell>
          <cell r="BF27">
            <v>0</v>
          </cell>
          <cell r="BG27">
            <v>0</v>
          </cell>
          <cell r="BH27">
            <v>0</v>
          </cell>
          <cell r="BI27">
            <v>34018</v>
          </cell>
          <cell r="BJ27">
            <v>28002</v>
          </cell>
          <cell r="BK27">
            <v>28002</v>
          </cell>
          <cell r="BL27">
            <v>0</v>
          </cell>
          <cell r="BM27">
            <v>0</v>
          </cell>
          <cell r="BN27">
            <v>0</v>
          </cell>
          <cell r="BO27">
            <v>67613</v>
          </cell>
          <cell r="BP27">
            <v>1581.4</v>
          </cell>
          <cell r="BQ27">
            <v>2848.8372093023299</v>
          </cell>
          <cell r="BR27">
            <v>0</v>
          </cell>
          <cell r="BS27">
            <v>0</v>
          </cell>
          <cell r="BT27">
            <v>40678</v>
          </cell>
          <cell r="BY27">
            <v>0</v>
          </cell>
          <cell r="BZ27">
            <v>0</v>
          </cell>
          <cell r="CA27">
            <v>0</v>
          </cell>
          <cell r="CB27">
            <v>0</v>
          </cell>
          <cell r="CC27">
            <v>1805135</v>
          </cell>
          <cell r="CD27">
            <v>14173223</v>
          </cell>
          <cell r="CE27">
            <v>1330010</v>
          </cell>
          <cell r="CF27">
            <v>-95694</v>
          </cell>
          <cell r="CG27">
            <v>1330010</v>
          </cell>
          <cell r="CH27">
            <v>1330010</v>
          </cell>
          <cell r="CI27">
            <v>1330010</v>
          </cell>
          <cell r="CJ27">
            <v>1330010</v>
          </cell>
          <cell r="CK27">
            <v>0</v>
          </cell>
          <cell r="CL27">
            <v>0</v>
          </cell>
          <cell r="CM27">
            <v>0</v>
          </cell>
          <cell r="CN27">
            <v>0</v>
          </cell>
          <cell r="CO27">
            <v>0</v>
          </cell>
          <cell r="CP27">
            <v>0</v>
          </cell>
          <cell r="CQ27">
            <v>4952309</v>
          </cell>
          <cell r="CR27">
            <v>4623966</v>
          </cell>
          <cell r="CS27">
            <v>4449012</v>
          </cell>
          <cell r="CT27">
            <v>4291563</v>
          </cell>
          <cell r="CU27">
            <v>4195801</v>
          </cell>
          <cell r="CV27">
            <v>8765</v>
          </cell>
          <cell r="CW27">
            <v>0</v>
          </cell>
          <cell r="CX27">
            <v>0</v>
          </cell>
          <cell r="CY27">
            <v>0</v>
          </cell>
          <cell r="CZ27">
            <v>0</v>
          </cell>
          <cell r="DA27">
            <v>0</v>
          </cell>
          <cell r="DC27">
            <v>0</v>
          </cell>
          <cell r="DD27">
            <v>0</v>
          </cell>
          <cell r="DE27">
            <v>0</v>
          </cell>
          <cell r="DF27">
            <v>0</v>
          </cell>
          <cell r="DG27">
            <v>0</v>
          </cell>
          <cell r="DH27">
            <v>0</v>
          </cell>
          <cell r="DI27">
            <v>0</v>
          </cell>
          <cell r="DJ27">
            <v>0</v>
          </cell>
          <cell r="DK27">
            <v>0</v>
          </cell>
          <cell r="DL27">
            <v>0</v>
          </cell>
        </row>
        <row r="28">
          <cell r="A28">
            <v>1940</v>
          </cell>
          <cell r="B28" t="str">
            <v>De Fryske Marren</v>
          </cell>
          <cell r="C28">
            <v>2</v>
          </cell>
          <cell r="D28">
            <v>-12688</v>
          </cell>
          <cell r="E28">
            <v>-6344</v>
          </cell>
          <cell r="F28">
            <v>0</v>
          </cell>
          <cell r="G28">
            <v>520925</v>
          </cell>
          <cell r="H28">
            <v>-69758</v>
          </cell>
          <cell r="I28">
            <v>-19588</v>
          </cell>
          <cell r="K28">
            <v>0</v>
          </cell>
          <cell r="L28">
            <v>189093</v>
          </cell>
          <cell r="M28">
            <v>203124</v>
          </cell>
          <cell r="N28">
            <v>0</v>
          </cell>
          <cell r="O28">
            <v>0</v>
          </cell>
          <cell r="P28">
            <v>0</v>
          </cell>
          <cell r="Q28">
            <v>0</v>
          </cell>
          <cell r="R28">
            <v>0</v>
          </cell>
          <cell r="S28">
            <v>0</v>
          </cell>
          <cell r="T28">
            <v>0</v>
          </cell>
          <cell r="U28">
            <v>0</v>
          </cell>
          <cell r="V28">
            <v>0</v>
          </cell>
          <cell r="W28">
            <v>219647</v>
          </cell>
          <cell r="X28">
            <v>0</v>
          </cell>
          <cell r="Z28">
            <v>0</v>
          </cell>
          <cell r="AA28">
            <v>0</v>
          </cell>
          <cell r="AB28">
            <v>0</v>
          </cell>
          <cell r="AD28">
            <v>58668</v>
          </cell>
          <cell r="AE28">
            <v>0</v>
          </cell>
          <cell r="AF28">
            <v>0</v>
          </cell>
          <cell r="AG28">
            <v>0</v>
          </cell>
          <cell r="AH28">
            <v>0</v>
          </cell>
          <cell r="AI28">
            <v>0</v>
          </cell>
          <cell r="AJ28">
            <v>0</v>
          </cell>
          <cell r="AK28">
            <v>0</v>
          </cell>
          <cell r="AM28">
            <v>0</v>
          </cell>
          <cell r="AN28">
            <v>0</v>
          </cell>
          <cell r="AO28">
            <v>0</v>
          </cell>
          <cell r="AP28">
            <v>0</v>
          </cell>
          <cell r="AQ28">
            <v>0</v>
          </cell>
          <cell r="AR28">
            <v>0</v>
          </cell>
          <cell r="AS28">
            <v>0</v>
          </cell>
          <cell r="AT28">
            <v>0</v>
          </cell>
          <cell r="AU28">
            <v>4740</v>
          </cell>
          <cell r="AV28">
            <v>0</v>
          </cell>
          <cell r="AW28">
            <v>0</v>
          </cell>
          <cell r="AX28">
            <v>0</v>
          </cell>
          <cell r="BA28">
            <v>0</v>
          </cell>
          <cell r="BC28">
            <v>0</v>
          </cell>
          <cell r="BD28">
            <v>18108</v>
          </cell>
          <cell r="BF28">
            <v>0</v>
          </cell>
          <cell r="BG28">
            <v>0</v>
          </cell>
          <cell r="BH28">
            <v>0</v>
          </cell>
          <cell r="BI28">
            <v>71676</v>
          </cell>
          <cell r="BJ28">
            <v>59000</v>
          </cell>
          <cell r="BK28">
            <v>59000</v>
          </cell>
          <cell r="BL28">
            <v>0</v>
          </cell>
          <cell r="BM28">
            <v>0</v>
          </cell>
          <cell r="BN28">
            <v>0</v>
          </cell>
          <cell r="BO28">
            <v>307812</v>
          </cell>
          <cell r="BP28">
            <v>18976.8</v>
          </cell>
          <cell r="BQ28">
            <v>34186.046511627901</v>
          </cell>
          <cell r="BR28">
            <v>0</v>
          </cell>
          <cell r="BS28">
            <v>0</v>
          </cell>
          <cell r="BT28">
            <v>118048</v>
          </cell>
          <cell r="BY28">
            <v>0</v>
          </cell>
          <cell r="BZ28">
            <v>0</v>
          </cell>
          <cell r="CA28">
            <v>0</v>
          </cell>
          <cell r="CB28">
            <v>0</v>
          </cell>
          <cell r="CC28">
            <v>4014962</v>
          </cell>
          <cell r="CD28">
            <v>20100795</v>
          </cell>
          <cell r="CE28">
            <v>1111029</v>
          </cell>
          <cell r="CF28">
            <v>-47547</v>
          </cell>
          <cell r="CG28">
            <v>1111029</v>
          </cell>
          <cell r="CH28">
            <v>1111029</v>
          </cell>
          <cell r="CI28">
            <v>1111029</v>
          </cell>
          <cell r="CJ28">
            <v>1111029</v>
          </cell>
          <cell r="CK28">
            <v>0</v>
          </cell>
          <cell r="CL28">
            <v>0</v>
          </cell>
          <cell r="CM28">
            <v>0</v>
          </cell>
          <cell r="CN28">
            <v>0</v>
          </cell>
          <cell r="CO28">
            <v>0</v>
          </cell>
          <cell r="CP28">
            <v>0</v>
          </cell>
          <cell r="CQ28">
            <v>3396087</v>
          </cell>
          <cell r="CR28">
            <v>3179823</v>
          </cell>
          <cell r="CS28">
            <v>3063988</v>
          </cell>
          <cell r="CT28">
            <v>2947575</v>
          </cell>
          <cell r="CU28">
            <v>2854280</v>
          </cell>
          <cell r="CV28">
            <v>125430</v>
          </cell>
          <cell r="CW28">
            <v>0</v>
          </cell>
          <cell r="CX28">
            <v>0</v>
          </cell>
          <cell r="CY28">
            <v>0</v>
          </cell>
          <cell r="CZ28">
            <v>0</v>
          </cell>
          <cell r="DA28">
            <v>0</v>
          </cell>
          <cell r="DC28">
            <v>0</v>
          </cell>
          <cell r="DD28">
            <v>0</v>
          </cell>
          <cell r="DE28">
            <v>0</v>
          </cell>
          <cell r="DF28">
            <v>0</v>
          </cell>
          <cell r="DG28">
            <v>0</v>
          </cell>
          <cell r="DH28">
            <v>0</v>
          </cell>
          <cell r="DI28">
            <v>0</v>
          </cell>
          <cell r="DJ28">
            <v>0</v>
          </cell>
          <cell r="DK28">
            <v>0</v>
          </cell>
          <cell r="DL28">
            <v>0</v>
          </cell>
        </row>
        <row r="29">
          <cell r="A29">
            <v>58</v>
          </cell>
          <cell r="B29" t="str">
            <v>Dongeradeel</v>
          </cell>
          <cell r="C29">
            <v>2</v>
          </cell>
          <cell r="D29">
            <v>1295</v>
          </cell>
          <cell r="E29">
            <v>647</v>
          </cell>
          <cell r="F29">
            <v>0</v>
          </cell>
          <cell r="G29">
            <v>0</v>
          </cell>
          <cell r="H29">
            <v>-69679</v>
          </cell>
          <cell r="I29">
            <v>-33252</v>
          </cell>
          <cell r="K29">
            <v>0</v>
          </cell>
          <cell r="L29">
            <v>135970</v>
          </cell>
          <cell r="M29">
            <v>137202</v>
          </cell>
          <cell r="N29">
            <v>0</v>
          </cell>
          <cell r="O29">
            <v>0</v>
          </cell>
          <cell r="P29">
            <v>0</v>
          </cell>
          <cell r="Q29">
            <v>0</v>
          </cell>
          <cell r="R29">
            <v>0</v>
          </cell>
          <cell r="S29">
            <v>0</v>
          </cell>
          <cell r="T29">
            <v>0</v>
          </cell>
          <cell r="U29">
            <v>0</v>
          </cell>
          <cell r="V29">
            <v>15000</v>
          </cell>
          <cell r="W29">
            <v>106130</v>
          </cell>
          <cell r="X29">
            <v>0</v>
          </cell>
          <cell r="Z29">
            <v>35000</v>
          </cell>
          <cell r="AA29">
            <v>0</v>
          </cell>
          <cell r="AB29">
            <v>0</v>
          </cell>
          <cell r="AD29">
            <v>76268</v>
          </cell>
          <cell r="AE29">
            <v>0</v>
          </cell>
          <cell r="AF29">
            <v>0</v>
          </cell>
          <cell r="AG29">
            <v>0</v>
          </cell>
          <cell r="AH29">
            <v>0</v>
          </cell>
          <cell r="AI29">
            <v>0</v>
          </cell>
          <cell r="AJ29">
            <v>0</v>
          </cell>
          <cell r="AK29">
            <v>0</v>
          </cell>
          <cell r="AM29">
            <v>0</v>
          </cell>
          <cell r="AN29">
            <v>0</v>
          </cell>
          <cell r="AO29">
            <v>0</v>
          </cell>
          <cell r="AP29">
            <v>0</v>
          </cell>
          <cell r="AQ29">
            <v>0</v>
          </cell>
          <cell r="AR29">
            <v>0</v>
          </cell>
          <cell r="AS29">
            <v>0</v>
          </cell>
          <cell r="AT29">
            <v>0</v>
          </cell>
          <cell r="AU29">
            <v>0</v>
          </cell>
          <cell r="AV29">
            <v>0</v>
          </cell>
          <cell r="AW29">
            <v>0</v>
          </cell>
          <cell r="AX29">
            <v>0</v>
          </cell>
          <cell r="BA29">
            <v>0</v>
          </cell>
          <cell r="BC29">
            <v>0</v>
          </cell>
          <cell r="BD29">
            <v>41933</v>
          </cell>
          <cell r="BF29">
            <v>0</v>
          </cell>
          <cell r="BG29">
            <v>0</v>
          </cell>
          <cell r="BH29">
            <v>0</v>
          </cell>
          <cell r="BI29">
            <v>45717</v>
          </cell>
          <cell r="BJ29">
            <v>37632</v>
          </cell>
          <cell r="BK29">
            <v>37632</v>
          </cell>
          <cell r="BL29">
            <v>0</v>
          </cell>
          <cell r="BM29">
            <v>0</v>
          </cell>
          <cell r="BN29">
            <v>0</v>
          </cell>
          <cell r="BO29">
            <v>16052</v>
          </cell>
          <cell r="BP29">
            <v>4744.2</v>
          </cell>
          <cell r="BQ29">
            <v>8546.5116279069807</v>
          </cell>
          <cell r="BR29">
            <v>0</v>
          </cell>
          <cell r="BS29">
            <v>0</v>
          </cell>
          <cell r="BT29">
            <v>59787</v>
          </cell>
          <cell r="BY29">
            <v>0</v>
          </cell>
          <cell r="BZ29">
            <v>0</v>
          </cell>
          <cell r="CA29">
            <v>0</v>
          </cell>
          <cell r="CB29">
            <v>0</v>
          </cell>
          <cell r="CC29">
            <v>2288155</v>
          </cell>
          <cell r="CD29">
            <v>18446500</v>
          </cell>
          <cell r="CE29">
            <v>798211</v>
          </cell>
          <cell r="CF29">
            <v>-80994</v>
          </cell>
          <cell r="CG29">
            <v>798211</v>
          </cell>
          <cell r="CH29">
            <v>798211</v>
          </cell>
          <cell r="CI29">
            <v>798211</v>
          </cell>
          <cell r="CJ29">
            <v>798211</v>
          </cell>
          <cell r="CK29">
            <v>0</v>
          </cell>
          <cell r="CL29">
            <v>0</v>
          </cell>
          <cell r="CM29">
            <v>0</v>
          </cell>
          <cell r="CN29">
            <v>0</v>
          </cell>
          <cell r="CO29">
            <v>0</v>
          </cell>
          <cell r="CP29">
            <v>0</v>
          </cell>
          <cell r="CQ29">
            <v>6514014</v>
          </cell>
          <cell r="CR29">
            <v>6196289</v>
          </cell>
          <cell r="CS29">
            <v>6050656</v>
          </cell>
          <cell r="CT29">
            <v>5884040</v>
          </cell>
          <cell r="CU29">
            <v>5748871</v>
          </cell>
          <cell r="CV29">
            <v>-2259</v>
          </cell>
          <cell r="CW29">
            <v>0</v>
          </cell>
          <cell r="CX29">
            <v>0</v>
          </cell>
          <cell r="CY29">
            <v>0</v>
          </cell>
          <cell r="CZ29">
            <v>0</v>
          </cell>
          <cell r="DA29">
            <v>0</v>
          </cell>
          <cell r="DC29">
            <v>0</v>
          </cell>
          <cell r="DD29">
            <v>0</v>
          </cell>
          <cell r="DE29">
            <v>0</v>
          </cell>
          <cell r="DF29">
            <v>215000</v>
          </cell>
          <cell r="DG29">
            <v>0</v>
          </cell>
          <cell r="DH29">
            <v>0</v>
          </cell>
          <cell r="DI29">
            <v>0</v>
          </cell>
          <cell r="DJ29">
            <v>0</v>
          </cell>
          <cell r="DK29">
            <v>0</v>
          </cell>
          <cell r="DL29">
            <v>0</v>
          </cell>
        </row>
        <row r="30">
          <cell r="A30">
            <v>1722</v>
          </cell>
          <cell r="B30" t="str">
            <v>Ferwerderadiel</v>
          </cell>
          <cell r="C30">
            <v>2</v>
          </cell>
          <cell r="D30">
            <v>15523</v>
          </cell>
          <cell r="E30">
            <v>7762</v>
          </cell>
          <cell r="F30">
            <v>0</v>
          </cell>
          <cell r="G30">
            <v>34193</v>
          </cell>
          <cell r="H30">
            <v>-29359</v>
          </cell>
          <cell r="I30">
            <v>-14622</v>
          </cell>
          <cell r="K30">
            <v>0</v>
          </cell>
          <cell r="L30">
            <v>34022</v>
          </cell>
          <cell r="M30">
            <v>33473</v>
          </cell>
          <cell r="N30">
            <v>0</v>
          </cell>
          <cell r="O30">
            <v>0</v>
          </cell>
          <cell r="P30">
            <v>0</v>
          </cell>
          <cell r="Q30">
            <v>0</v>
          </cell>
          <cell r="R30">
            <v>0</v>
          </cell>
          <cell r="S30">
            <v>0</v>
          </cell>
          <cell r="T30">
            <v>0</v>
          </cell>
          <cell r="U30">
            <v>0</v>
          </cell>
          <cell r="V30">
            <v>0</v>
          </cell>
          <cell r="W30">
            <v>38292</v>
          </cell>
          <cell r="X30">
            <v>0</v>
          </cell>
          <cell r="Z30">
            <v>0</v>
          </cell>
          <cell r="AA30">
            <v>0</v>
          </cell>
          <cell r="AB30">
            <v>0</v>
          </cell>
          <cell r="AD30">
            <v>0</v>
          </cell>
          <cell r="AE30">
            <v>0</v>
          </cell>
          <cell r="AF30">
            <v>0</v>
          </cell>
          <cell r="AG30">
            <v>0</v>
          </cell>
          <cell r="AH30">
            <v>0</v>
          </cell>
          <cell r="AI30">
            <v>0</v>
          </cell>
          <cell r="AJ30">
            <v>0</v>
          </cell>
          <cell r="AK30">
            <v>0</v>
          </cell>
          <cell r="AM30">
            <v>0</v>
          </cell>
          <cell r="AN30">
            <v>0</v>
          </cell>
          <cell r="AO30">
            <v>0</v>
          </cell>
          <cell r="AP30">
            <v>0</v>
          </cell>
          <cell r="AQ30">
            <v>0</v>
          </cell>
          <cell r="AR30">
            <v>0</v>
          </cell>
          <cell r="AS30">
            <v>0</v>
          </cell>
          <cell r="AT30">
            <v>0</v>
          </cell>
          <cell r="AU30">
            <v>0</v>
          </cell>
          <cell r="AV30">
            <v>0</v>
          </cell>
          <cell r="AW30">
            <v>0</v>
          </cell>
          <cell r="AX30">
            <v>0</v>
          </cell>
          <cell r="BA30">
            <v>0</v>
          </cell>
          <cell r="BC30">
            <v>0</v>
          </cell>
          <cell r="BD30">
            <v>15325</v>
          </cell>
          <cell r="BF30">
            <v>0</v>
          </cell>
          <cell r="BG30">
            <v>0</v>
          </cell>
          <cell r="BH30">
            <v>0</v>
          </cell>
          <cell r="BI30">
            <v>14133</v>
          </cell>
          <cell r="BJ30">
            <v>11634</v>
          </cell>
          <cell r="BK30">
            <v>11634</v>
          </cell>
          <cell r="BL30">
            <v>0</v>
          </cell>
          <cell r="BM30">
            <v>0</v>
          </cell>
          <cell r="BN30">
            <v>0</v>
          </cell>
          <cell r="BO30">
            <v>10215</v>
          </cell>
          <cell r="BP30">
            <v>4744.2</v>
          </cell>
          <cell r="BQ30">
            <v>8546.5116279069807</v>
          </cell>
          <cell r="BR30">
            <v>0</v>
          </cell>
          <cell r="BS30">
            <v>0</v>
          </cell>
          <cell r="BT30">
            <v>21672</v>
          </cell>
          <cell r="BY30">
            <v>0</v>
          </cell>
          <cell r="BZ30">
            <v>0</v>
          </cell>
          <cell r="CA30">
            <v>0</v>
          </cell>
          <cell r="CB30">
            <v>0</v>
          </cell>
          <cell r="CC30">
            <v>655766</v>
          </cell>
          <cell r="CD30">
            <v>4619115</v>
          </cell>
          <cell r="CE30">
            <v>374460</v>
          </cell>
          <cell r="CF30">
            <v>-35564</v>
          </cell>
          <cell r="CG30">
            <v>374460</v>
          </cell>
          <cell r="CH30">
            <v>374460</v>
          </cell>
          <cell r="CI30">
            <v>374460</v>
          </cell>
          <cell r="CJ30">
            <v>374460</v>
          </cell>
          <cell r="CK30">
            <v>0</v>
          </cell>
          <cell r="CL30">
            <v>0</v>
          </cell>
          <cell r="CM30">
            <v>0</v>
          </cell>
          <cell r="CN30">
            <v>0</v>
          </cell>
          <cell r="CO30">
            <v>0</v>
          </cell>
          <cell r="CP30">
            <v>0</v>
          </cell>
          <cell r="CQ30">
            <v>1059265</v>
          </cell>
          <cell r="CR30">
            <v>1032680</v>
          </cell>
          <cell r="CS30">
            <v>1032479</v>
          </cell>
          <cell r="CT30">
            <v>1034235</v>
          </cell>
          <cell r="CU30">
            <v>1035617</v>
          </cell>
          <cell r="CV30">
            <v>-11062</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row>
        <row r="31">
          <cell r="A31">
            <v>72</v>
          </cell>
          <cell r="B31" t="str">
            <v>Harlingen</v>
          </cell>
          <cell r="C31">
            <v>2</v>
          </cell>
          <cell r="D31">
            <v>12693</v>
          </cell>
          <cell r="E31">
            <v>6347</v>
          </cell>
          <cell r="F31">
            <v>0</v>
          </cell>
          <cell r="G31">
            <v>0</v>
          </cell>
          <cell r="H31">
            <v>-16274</v>
          </cell>
          <cell r="I31">
            <v>0</v>
          </cell>
          <cell r="K31">
            <v>0</v>
          </cell>
          <cell r="L31">
            <v>88279</v>
          </cell>
          <cell r="M31">
            <v>86421</v>
          </cell>
          <cell r="N31">
            <v>0</v>
          </cell>
          <cell r="O31">
            <v>0</v>
          </cell>
          <cell r="P31">
            <v>0</v>
          </cell>
          <cell r="Q31">
            <v>0</v>
          </cell>
          <cell r="R31">
            <v>0</v>
          </cell>
          <cell r="S31">
            <v>0</v>
          </cell>
          <cell r="T31">
            <v>0</v>
          </cell>
          <cell r="U31">
            <v>0</v>
          </cell>
          <cell r="V31">
            <v>3000</v>
          </cell>
          <cell r="W31">
            <v>61423</v>
          </cell>
          <cell r="X31">
            <v>0</v>
          </cell>
          <cell r="Z31">
            <v>0</v>
          </cell>
          <cell r="AA31">
            <v>0</v>
          </cell>
          <cell r="AB31">
            <v>0</v>
          </cell>
          <cell r="AD31">
            <v>70401</v>
          </cell>
          <cell r="AE31">
            <v>0</v>
          </cell>
          <cell r="AF31">
            <v>0</v>
          </cell>
          <cell r="AG31">
            <v>0</v>
          </cell>
          <cell r="AH31">
            <v>0</v>
          </cell>
          <cell r="AI31">
            <v>0</v>
          </cell>
          <cell r="AJ31">
            <v>0</v>
          </cell>
          <cell r="AK31">
            <v>0</v>
          </cell>
          <cell r="AM31">
            <v>0</v>
          </cell>
          <cell r="AN31">
            <v>0</v>
          </cell>
          <cell r="AO31">
            <v>0</v>
          </cell>
          <cell r="AP31">
            <v>0</v>
          </cell>
          <cell r="AQ31">
            <v>0</v>
          </cell>
          <cell r="AR31">
            <v>0</v>
          </cell>
          <cell r="AS31">
            <v>0</v>
          </cell>
          <cell r="AT31">
            <v>0</v>
          </cell>
          <cell r="AU31">
            <v>0</v>
          </cell>
          <cell r="AV31">
            <v>0</v>
          </cell>
          <cell r="AW31">
            <v>0</v>
          </cell>
          <cell r="AX31">
            <v>0</v>
          </cell>
          <cell r="BA31">
            <v>0</v>
          </cell>
          <cell r="BC31">
            <v>0</v>
          </cell>
          <cell r="BD31">
            <v>5567</v>
          </cell>
          <cell r="BF31">
            <v>0</v>
          </cell>
          <cell r="BG31">
            <v>0</v>
          </cell>
          <cell r="BH31">
            <v>0</v>
          </cell>
          <cell r="BI31">
            <v>35350</v>
          </cell>
          <cell r="BJ31">
            <v>29098</v>
          </cell>
          <cell r="BK31">
            <v>29098</v>
          </cell>
          <cell r="BL31">
            <v>0</v>
          </cell>
          <cell r="BM31">
            <v>0</v>
          </cell>
          <cell r="BN31">
            <v>0</v>
          </cell>
          <cell r="BO31">
            <v>283101</v>
          </cell>
          <cell r="BP31">
            <v>1581.4</v>
          </cell>
          <cell r="BQ31">
            <v>2848.8372093023299</v>
          </cell>
          <cell r="BR31">
            <v>0</v>
          </cell>
          <cell r="BS31">
            <v>0</v>
          </cell>
          <cell r="BT31">
            <v>29732</v>
          </cell>
          <cell r="BY31">
            <v>0</v>
          </cell>
          <cell r="BZ31">
            <v>0</v>
          </cell>
          <cell r="CA31">
            <v>0</v>
          </cell>
          <cell r="CB31">
            <v>0</v>
          </cell>
          <cell r="CC31">
            <v>1602314</v>
          </cell>
          <cell r="CD31">
            <v>9758566</v>
          </cell>
          <cell r="CE31">
            <v>374759</v>
          </cell>
          <cell r="CF31">
            <v>0</v>
          </cell>
          <cell r="CG31">
            <v>374759</v>
          </cell>
          <cell r="CH31">
            <v>374759</v>
          </cell>
          <cell r="CI31">
            <v>374759</v>
          </cell>
          <cell r="CJ31">
            <v>374759</v>
          </cell>
          <cell r="CK31">
            <v>0</v>
          </cell>
          <cell r="CL31">
            <v>0</v>
          </cell>
          <cell r="CM31">
            <v>0</v>
          </cell>
          <cell r="CN31">
            <v>0</v>
          </cell>
          <cell r="CO31">
            <v>0</v>
          </cell>
          <cell r="CP31">
            <v>0</v>
          </cell>
          <cell r="CQ31">
            <v>2106185</v>
          </cell>
          <cell r="CR31">
            <v>2018924</v>
          </cell>
          <cell r="CS31">
            <v>1996041</v>
          </cell>
          <cell r="CT31">
            <v>1932058</v>
          </cell>
          <cell r="CU31">
            <v>1891793</v>
          </cell>
          <cell r="CV31">
            <v>-16578</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row>
        <row r="32">
          <cell r="A32">
            <v>74</v>
          </cell>
          <cell r="B32" t="str">
            <v>Heerenveen</v>
          </cell>
          <cell r="C32">
            <v>2</v>
          </cell>
          <cell r="D32">
            <v>65564</v>
          </cell>
          <cell r="E32">
            <v>32782</v>
          </cell>
          <cell r="F32">
            <v>0</v>
          </cell>
          <cell r="G32">
            <v>0</v>
          </cell>
          <cell r="H32">
            <v>-35602</v>
          </cell>
          <cell r="I32">
            <v>-22774</v>
          </cell>
          <cell r="K32">
            <v>0</v>
          </cell>
          <cell r="L32">
            <v>217146</v>
          </cell>
          <cell r="M32">
            <v>218551</v>
          </cell>
          <cell r="N32">
            <v>0</v>
          </cell>
          <cell r="O32">
            <v>0</v>
          </cell>
          <cell r="P32">
            <v>0</v>
          </cell>
          <cell r="Q32">
            <v>0</v>
          </cell>
          <cell r="R32">
            <v>0</v>
          </cell>
          <cell r="S32">
            <v>0</v>
          </cell>
          <cell r="T32">
            <v>0</v>
          </cell>
          <cell r="U32">
            <v>0</v>
          </cell>
          <cell r="V32">
            <v>3000</v>
          </cell>
          <cell r="W32">
            <v>194378</v>
          </cell>
          <cell r="X32">
            <v>0</v>
          </cell>
          <cell r="Z32">
            <v>0</v>
          </cell>
          <cell r="AA32">
            <v>0</v>
          </cell>
          <cell r="AB32">
            <v>0</v>
          </cell>
          <cell r="AD32">
            <v>56712</v>
          </cell>
          <cell r="AE32">
            <v>0</v>
          </cell>
          <cell r="AF32">
            <v>0</v>
          </cell>
          <cell r="AG32">
            <v>0</v>
          </cell>
          <cell r="AH32">
            <v>0</v>
          </cell>
          <cell r="AI32">
            <v>0</v>
          </cell>
          <cell r="AJ32">
            <v>0</v>
          </cell>
          <cell r="AK32">
            <v>0</v>
          </cell>
          <cell r="AM32">
            <v>0</v>
          </cell>
          <cell r="AN32">
            <v>0</v>
          </cell>
          <cell r="AO32">
            <v>0</v>
          </cell>
          <cell r="AP32">
            <v>0</v>
          </cell>
          <cell r="AQ32">
            <v>0</v>
          </cell>
          <cell r="AR32">
            <v>0</v>
          </cell>
          <cell r="AS32">
            <v>0</v>
          </cell>
          <cell r="AT32">
            <v>0</v>
          </cell>
          <cell r="AU32">
            <v>0</v>
          </cell>
          <cell r="AV32">
            <v>0</v>
          </cell>
          <cell r="AW32">
            <v>0</v>
          </cell>
          <cell r="AX32">
            <v>0</v>
          </cell>
          <cell r="BA32">
            <v>0</v>
          </cell>
          <cell r="BC32">
            <v>0</v>
          </cell>
          <cell r="BD32">
            <v>17623</v>
          </cell>
          <cell r="BF32">
            <v>0</v>
          </cell>
          <cell r="BG32">
            <v>0</v>
          </cell>
          <cell r="BH32">
            <v>0</v>
          </cell>
          <cell r="BI32">
            <v>90722</v>
          </cell>
          <cell r="BJ32">
            <v>74678</v>
          </cell>
          <cell r="BK32">
            <v>74678</v>
          </cell>
          <cell r="BL32">
            <v>0</v>
          </cell>
          <cell r="BM32">
            <v>0</v>
          </cell>
          <cell r="BN32">
            <v>0</v>
          </cell>
          <cell r="BO32">
            <v>113941</v>
          </cell>
          <cell r="BP32">
            <v>0</v>
          </cell>
          <cell r="BQ32">
            <v>0</v>
          </cell>
          <cell r="BR32">
            <v>0</v>
          </cell>
          <cell r="BS32">
            <v>0</v>
          </cell>
          <cell r="BT32">
            <v>105818</v>
          </cell>
          <cell r="BY32">
            <v>0</v>
          </cell>
          <cell r="BZ32">
            <v>0</v>
          </cell>
          <cell r="CA32">
            <v>0</v>
          </cell>
          <cell r="CB32">
            <v>0</v>
          </cell>
          <cell r="CC32">
            <v>4320358</v>
          </cell>
          <cell r="CD32">
            <v>28706130</v>
          </cell>
          <cell r="CE32">
            <v>1494758</v>
          </cell>
          <cell r="CF32">
            <v>-54799</v>
          </cell>
          <cell r="CG32">
            <v>1494758</v>
          </cell>
          <cell r="CH32">
            <v>1494758</v>
          </cell>
          <cell r="CI32">
            <v>1494758</v>
          </cell>
          <cell r="CJ32">
            <v>1494758</v>
          </cell>
          <cell r="CK32">
            <v>0</v>
          </cell>
          <cell r="CL32">
            <v>0</v>
          </cell>
          <cell r="CM32">
            <v>0</v>
          </cell>
          <cell r="CN32">
            <v>0</v>
          </cell>
          <cell r="CO32">
            <v>0</v>
          </cell>
          <cell r="CP32">
            <v>0</v>
          </cell>
          <cell r="CQ32">
            <v>7956590</v>
          </cell>
          <cell r="CR32">
            <v>7481447</v>
          </cell>
          <cell r="CS32">
            <v>7218685</v>
          </cell>
          <cell r="CT32">
            <v>7034504</v>
          </cell>
          <cell r="CU32">
            <v>6834751</v>
          </cell>
          <cell r="CV32">
            <v>80118</v>
          </cell>
          <cell r="CW32">
            <v>0</v>
          </cell>
          <cell r="CX32">
            <v>0</v>
          </cell>
          <cell r="CY32">
            <v>0</v>
          </cell>
          <cell r="CZ32">
            <v>0</v>
          </cell>
          <cell r="DA32">
            <v>0</v>
          </cell>
          <cell r="DC32">
            <v>0</v>
          </cell>
          <cell r="DD32">
            <v>0</v>
          </cell>
          <cell r="DE32">
            <v>0</v>
          </cell>
          <cell r="DF32">
            <v>0</v>
          </cell>
          <cell r="DG32">
            <v>0</v>
          </cell>
          <cell r="DH32">
            <v>0</v>
          </cell>
          <cell r="DI32">
            <v>0</v>
          </cell>
          <cell r="DJ32">
            <v>0</v>
          </cell>
          <cell r="DK32">
            <v>0</v>
          </cell>
          <cell r="DL32">
            <v>0</v>
          </cell>
        </row>
        <row r="33">
          <cell r="A33">
            <v>79</v>
          </cell>
          <cell r="B33" t="str">
            <v>Kollumerland en Nwkruisl</v>
          </cell>
          <cell r="C33">
            <v>2</v>
          </cell>
          <cell r="D33">
            <v>-3246</v>
          </cell>
          <cell r="E33">
            <v>-1623</v>
          </cell>
          <cell r="F33">
            <v>0</v>
          </cell>
          <cell r="G33">
            <v>0</v>
          </cell>
          <cell r="H33">
            <v>0</v>
          </cell>
          <cell r="I33">
            <v>0</v>
          </cell>
          <cell r="K33">
            <v>0</v>
          </cell>
          <cell r="L33">
            <v>58017</v>
          </cell>
          <cell r="M33">
            <v>60423</v>
          </cell>
          <cell r="N33">
            <v>0</v>
          </cell>
          <cell r="O33">
            <v>0</v>
          </cell>
          <cell r="P33">
            <v>0</v>
          </cell>
          <cell r="Q33">
            <v>0</v>
          </cell>
          <cell r="R33">
            <v>0</v>
          </cell>
          <cell r="S33">
            <v>0</v>
          </cell>
          <cell r="T33">
            <v>0</v>
          </cell>
          <cell r="U33">
            <v>0</v>
          </cell>
          <cell r="V33">
            <v>3000</v>
          </cell>
          <cell r="W33">
            <v>55592</v>
          </cell>
          <cell r="X33">
            <v>0</v>
          </cell>
          <cell r="Z33">
            <v>0</v>
          </cell>
          <cell r="AA33">
            <v>0</v>
          </cell>
          <cell r="AB33">
            <v>0</v>
          </cell>
          <cell r="AD33">
            <v>36178</v>
          </cell>
          <cell r="AE33">
            <v>0</v>
          </cell>
          <cell r="AF33">
            <v>0</v>
          </cell>
          <cell r="AG33">
            <v>0</v>
          </cell>
          <cell r="AH33">
            <v>0</v>
          </cell>
          <cell r="AI33">
            <v>0</v>
          </cell>
          <cell r="AJ33">
            <v>0</v>
          </cell>
          <cell r="AK33">
            <v>0</v>
          </cell>
          <cell r="AM33">
            <v>0</v>
          </cell>
          <cell r="AN33">
            <v>0</v>
          </cell>
          <cell r="AO33">
            <v>0</v>
          </cell>
          <cell r="AP33">
            <v>0</v>
          </cell>
          <cell r="AQ33">
            <v>0</v>
          </cell>
          <cell r="AR33">
            <v>0</v>
          </cell>
          <cell r="AS33">
            <v>0</v>
          </cell>
          <cell r="AT33">
            <v>0</v>
          </cell>
          <cell r="AU33">
            <v>0</v>
          </cell>
          <cell r="AV33">
            <v>0</v>
          </cell>
          <cell r="AW33">
            <v>0</v>
          </cell>
          <cell r="AX33">
            <v>0</v>
          </cell>
          <cell r="BA33">
            <v>0</v>
          </cell>
          <cell r="BC33">
            <v>0</v>
          </cell>
          <cell r="BD33">
            <v>22583</v>
          </cell>
          <cell r="BF33">
            <v>0</v>
          </cell>
          <cell r="BG33">
            <v>0</v>
          </cell>
          <cell r="BH33">
            <v>0</v>
          </cell>
          <cell r="BI33">
            <v>23438</v>
          </cell>
          <cell r="BJ33">
            <v>19293</v>
          </cell>
          <cell r="BK33">
            <v>19293</v>
          </cell>
          <cell r="BL33">
            <v>0</v>
          </cell>
          <cell r="BM33">
            <v>0</v>
          </cell>
          <cell r="BN33">
            <v>0</v>
          </cell>
          <cell r="BO33">
            <v>26267</v>
          </cell>
          <cell r="BP33">
            <v>7907</v>
          </cell>
          <cell r="BQ33">
            <v>14244.186046511601</v>
          </cell>
          <cell r="BR33">
            <v>0</v>
          </cell>
          <cell r="BS33">
            <v>0</v>
          </cell>
          <cell r="BT33">
            <v>30856</v>
          </cell>
          <cell r="BY33">
            <v>0</v>
          </cell>
          <cell r="BZ33">
            <v>0</v>
          </cell>
          <cell r="CA33">
            <v>0</v>
          </cell>
          <cell r="CB33">
            <v>0</v>
          </cell>
          <cell r="CC33">
            <v>1102380</v>
          </cell>
          <cell r="CD33">
            <v>9036110</v>
          </cell>
          <cell r="CE33">
            <v>524013</v>
          </cell>
          <cell r="CF33">
            <v>-56570</v>
          </cell>
          <cell r="CG33">
            <v>524013</v>
          </cell>
          <cell r="CH33">
            <v>524013</v>
          </cell>
          <cell r="CI33">
            <v>524013</v>
          </cell>
          <cell r="CJ33">
            <v>524013</v>
          </cell>
          <cell r="CK33">
            <v>0</v>
          </cell>
          <cell r="CL33">
            <v>0</v>
          </cell>
          <cell r="CM33">
            <v>0</v>
          </cell>
          <cell r="CN33">
            <v>0</v>
          </cell>
          <cell r="CO33">
            <v>0</v>
          </cell>
          <cell r="CP33">
            <v>193170</v>
          </cell>
          <cell r="CQ33">
            <v>2520056</v>
          </cell>
          <cell r="CR33">
            <v>2404558</v>
          </cell>
          <cell r="CS33">
            <v>2347838</v>
          </cell>
          <cell r="CT33">
            <v>2275695</v>
          </cell>
          <cell r="CU33">
            <v>2199638</v>
          </cell>
          <cell r="CV33">
            <v>-1583</v>
          </cell>
          <cell r="CW33">
            <v>0</v>
          </cell>
          <cell r="CX33">
            <v>0</v>
          </cell>
          <cell r="CY33">
            <v>0</v>
          </cell>
          <cell r="CZ33">
            <v>0</v>
          </cell>
          <cell r="DA33">
            <v>0</v>
          </cell>
          <cell r="DC33">
            <v>0</v>
          </cell>
          <cell r="DD33">
            <v>0</v>
          </cell>
          <cell r="DE33">
            <v>0</v>
          </cell>
          <cell r="DF33">
            <v>0</v>
          </cell>
          <cell r="DG33">
            <v>0</v>
          </cell>
          <cell r="DH33">
            <v>0</v>
          </cell>
          <cell r="DI33">
            <v>0</v>
          </cell>
          <cell r="DJ33">
            <v>0</v>
          </cell>
          <cell r="DK33">
            <v>0</v>
          </cell>
          <cell r="DL33">
            <v>0</v>
          </cell>
        </row>
        <row r="34">
          <cell r="A34">
            <v>80</v>
          </cell>
          <cell r="B34" t="str">
            <v>Leeuwarden</v>
          </cell>
          <cell r="C34">
            <v>2</v>
          </cell>
          <cell r="D34">
            <v>512839.24</v>
          </cell>
          <cell r="E34">
            <v>256420.12</v>
          </cell>
          <cell r="F34">
            <v>0</v>
          </cell>
          <cell r="G34">
            <v>0</v>
          </cell>
          <cell r="H34">
            <v>367668.16</v>
          </cell>
          <cell r="I34">
            <v>-4187.4399999999996</v>
          </cell>
          <cell r="K34">
            <v>11536</v>
          </cell>
          <cell r="L34">
            <v>717872.48</v>
          </cell>
          <cell r="M34">
            <v>725736</v>
          </cell>
          <cell r="N34">
            <v>0</v>
          </cell>
          <cell r="O34">
            <v>0</v>
          </cell>
          <cell r="P34">
            <v>150000</v>
          </cell>
          <cell r="Q34">
            <v>385000</v>
          </cell>
          <cell r="R34">
            <v>0</v>
          </cell>
          <cell r="S34">
            <v>642099</v>
          </cell>
          <cell r="T34">
            <v>642099</v>
          </cell>
          <cell r="U34">
            <v>642099</v>
          </cell>
          <cell r="V34">
            <v>33000</v>
          </cell>
          <cell r="W34">
            <v>424716</v>
          </cell>
          <cell r="X34">
            <v>0</v>
          </cell>
          <cell r="Z34">
            <v>0</v>
          </cell>
          <cell r="AA34">
            <v>40000</v>
          </cell>
          <cell r="AB34">
            <v>0</v>
          </cell>
          <cell r="AD34">
            <v>231294</v>
          </cell>
          <cell r="AE34">
            <v>0</v>
          </cell>
          <cell r="AF34">
            <v>0</v>
          </cell>
          <cell r="AG34">
            <v>0</v>
          </cell>
          <cell r="AH34">
            <v>0</v>
          </cell>
          <cell r="AI34">
            <v>297554</v>
          </cell>
          <cell r="AJ34">
            <v>0</v>
          </cell>
          <cell r="AK34">
            <v>142644</v>
          </cell>
          <cell r="AM34">
            <v>0</v>
          </cell>
          <cell r="AN34">
            <v>0</v>
          </cell>
          <cell r="AO34">
            <v>0</v>
          </cell>
          <cell r="AP34">
            <v>0</v>
          </cell>
          <cell r="AQ34">
            <v>0</v>
          </cell>
          <cell r="AR34">
            <v>0</v>
          </cell>
          <cell r="AS34">
            <v>2066000</v>
          </cell>
          <cell r="AT34">
            <v>20000</v>
          </cell>
          <cell r="AU34">
            <v>14220</v>
          </cell>
          <cell r="AV34">
            <v>14715134.0419576</v>
          </cell>
          <cell r="AW34">
            <v>80000</v>
          </cell>
          <cell r="AX34">
            <v>0</v>
          </cell>
          <cell r="BA34">
            <v>0</v>
          </cell>
          <cell r="BC34">
            <v>0</v>
          </cell>
          <cell r="BD34">
            <v>214416</v>
          </cell>
          <cell r="BF34">
            <v>0</v>
          </cell>
          <cell r="BG34">
            <v>0</v>
          </cell>
          <cell r="BH34">
            <v>0</v>
          </cell>
          <cell r="BI34">
            <v>255418</v>
          </cell>
          <cell r="BJ34">
            <v>210247</v>
          </cell>
          <cell r="BK34">
            <v>210247</v>
          </cell>
          <cell r="BL34">
            <v>0</v>
          </cell>
          <cell r="BM34">
            <v>0</v>
          </cell>
          <cell r="BN34">
            <v>271040</v>
          </cell>
          <cell r="BO34">
            <v>381574</v>
          </cell>
          <cell r="BP34">
            <v>36372.199999999997</v>
          </cell>
          <cell r="BQ34">
            <v>65523.255813953503</v>
          </cell>
          <cell r="BR34">
            <v>0</v>
          </cell>
          <cell r="BS34">
            <v>0</v>
          </cell>
          <cell r="BT34">
            <v>258949</v>
          </cell>
          <cell r="BY34">
            <v>3803697.48562465</v>
          </cell>
          <cell r="BZ34">
            <v>7193675.3741356404</v>
          </cell>
          <cell r="CA34">
            <v>7244005.44501347</v>
          </cell>
          <cell r="CB34">
            <v>7386113.8804331999</v>
          </cell>
          <cell r="CC34">
            <v>10328137</v>
          </cell>
          <cell r="CD34">
            <v>130178129</v>
          </cell>
          <cell r="CE34">
            <v>6535106</v>
          </cell>
          <cell r="CF34">
            <v>-9664</v>
          </cell>
          <cell r="CG34">
            <v>6445106</v>
          </cell>
          <cell r="CH34">
            <v>6445106</v>
          </cell>
          <cell r="CI34">
            <v>6445106</v>
          </cell>
          <cell r="CJ34">
            <v>6445106</v>
          </cell>
          <cell r="CK34">
            <v>57359547</v>
          </cell>
          <cell r="CL34">
            <v>57330789</v>
          </cell>
          <cell r="CM34">
            <v>57330323</v>
          </cell>
          <cell r="CN34">
            <v>57329301</v>
          </cell>
          <cell r="CO34">
            <v>57330718</v>
          </cell>
          <cell r="CP34">
            <v>-76</v>
          </cell>
          <cell r="CQ34">
            <v>13951569</v>
          </cell>
          <cell r="CR34">
            <v>13327397</v>
          </cell>
          <cell r="CS34">
            <v>13059888</v>
          </cell>
          <cell r="CT34">
            <v>12784305</v>
          </cell>
          <cell r="CU34">
            <v>12455938</v>
          </cell>
          <cell r="CV34">
            <v>351248</v>
          </cell>
          <cell r="CW34">
            <v>0</v>
          </cell>
          <cell r="CX34">
            <v>0</v>
          </cell>
          <cell r="CY34">
            <v>0</v>
          </cell>
          <cell r="CZ34">
            <v>0</v>
          </cell>
          <cell r="DA34">
            <v>0</v>
          </cell>
          <cell r="DC34">
            <v>0</v>
          </cell>
          <cell r="DD34">
            <v>0</v>
          </cell>
          <cell r="DE34">
            <v>0</v>
          </cell>
          <cell r="DF34">
            <v>0</v>
          </cell>
          <cell r="DG34">
            <v>0</v>
          </cell>
          <cell r="DH34">
            <v>0</v>
          </cell>
          <cell r="DI34">
            <v>0</v>
          </cell>
          <cell r="DJ34">
            <v>0</v>
          </cell>
          <cell r="DK34">
            <v>0</v>
          </cell>
          <cell r="DL34">
            <v>0</v>
          </cell>
        </row>
        <row r="35">
          <cell r="A35">
            <v>85</v>
          </cell>
          <cell r="B35" t="str">
            <v>Ooststellingwerf</v>
          </cell>
          <cell r="C35">
            <v>2</v>
          </cell>
          <cell r="D35">
            <v>-18959</v>
          </cell>
          <cell r="E35">
            <v>-9480</v>
          </cell>
          <cell r="F35">
            <v>0</v>
          </cell>
          <cell r="G35">
            <v>0</v>
          </cell>
          <cell r="H35">
            <v>-34517</v>
          </cell>
          <cell r="I35">
            <v>-5511</v>
          </cell>
          <cell r="K35">
            <v>0</v>
          </cell>
          <cell r="L35">
            <v>116014</v>
          </cell>
          <cell r="M35">
            <v>111990</v>
          </cell>
          <cell r="N35">
            <v>0</v>
          </cell>
          <cell r="O35">
            <v>0</v>
          </cell>
          <cell r="P35">
            <v>0</v>
          </cell>
          <cell r="Q35">
            <v>0</v>
          </cell>
          <cell r="R35">
            <v>0</v>
          </cell>
          <cell r="S35">
            <v>0</v>
          </cell>
          <cell r="T35">
            <v>0</v>
          </cell>
          <cell r="U35">
            <v>0</v>
          </cell>
          <cell r="V35">
            <v>0</v>
          </cell>
          <cell r="W35">
            <v>93341</v>
          </cell>
          <cell r="X35">
            <v>0</v>
          </cell>
          <cell r="Z35">
            <v>0</v>
          </cell>
          <cell r="AA35">
            <v>0</v>
          </cell>
          <cell r="AB35">
            <v>0</v>
          </cell>
          <cell r="AD35">
            <v>94846</v>
          </cell>
          <cell r="AE35">
            <v>0</v>
          </cell>
          <cell r="AF35">
            <v>0</v>
          </cell>
          <cell r="AG35">
            <v>0</v>
          </cell>
          <cell r="AH35">
            <v>0</v>
          </cell>
          <cell r="AI35">
            <v>0</v>
          </cell>
          <cell r="AJ35">
            <v>0</v>
          </cell>
          <cell r="AK35">
            <v>0</v>
          </cell>
          <cell r="AM35">
            <v>0</v>
          </cell>
          <cell r="AN35">
            <v>0</v>
          </cell>
          <cell r="AO35">
            <v>0</v>
          </cell>
          <cell r="AP35">
            <v>0</v>
          </cell>
          <cell r="AQ35">
            <v>0</v>
          </cell>
          <cell r="AR35">
            <v>0</v>
          </cell>
          <cell r="AS35">
            <v>0</v>
          </cell>
          <cell r="AT35">
            <v>0</v>
          </cell>
          <cell r="AU35">
            <v>2370</v>
          </cell>
          <cell r="AV35">
            <v>0</v>
          </cell>
          <cell r="AW35">
            <v>0</v>
          </cell>
          <cell r="AX35">
            <v>0</v>
          </cell>
          <cell r="BA35">
            <v>0</v>
          </cell>
          <cell r="BC35">
            <v>0</v>
          </cell>
          <cell r="BD35">
            <v>8965</v>
          </cell>
          <cell r="BF35">
            <v>0</v>
          </cell>
          <cell r="BG35">
            <v>0</v>
          </cell>
          <cell r="BH35">
            <v>0</v>
          </cell>
          <cell r="BI35">
            <v>46808</v>
          </cell>
          <cell r="BJ35">
            <v>38530</v>
          </cell>
          <cell r="BK35">
            <v>38530</v>
          </cell>
          <cell r="BL35">
            <v>0</v>
          </cell>
          <cell r="BM35">
            <v>0</v>
          </cell>
          <cell r="BN35">
            <v>0</v>
          </cell>
          <cell r="BO35">
            <v>78315</v>
          </cell>
          <cell r="BP35">
            <v>4744.2</v>
          </cell>
          <cell r="BQ35">
            <v>8546.5116279069807</v>
          </cell>
          <cell r="BR35">
            <v>0</v>
          </cell>
          <cell r="BS35">
            <v>0</v>
          </cell>
          <cell r="BT35">
            <v>53597</v>
          </cell>
          <cell r="BY35">
            <v>0</v>
          </cell>
          <cell r="BZ35">
            <v>0</v>
          </cell>
          <cell r="CA35">
            <v>0</v>
          </cell>
          <cell r="CB35">
            <v>0</v>
          </cell>
          <cell r="CC35">
            <v>2456321</v>
          </cell>
          <cell r="CD35">
            <v>14569879</v>
          </cell>
          <cell r="CE35">
            <v>1094179</v>
          </cell>
          <cell r="CF35">
            <v>-13355</v>
          </cell>
          <cell r="CG35">
            <v>1094179</v>
          </cell>
          <cell r="CH35">
            <v>1094179</v>
          </cell>
          <cell r="CI35">
            <v>1094179</v>
          </cell>
          <cell r="CJ35">
            <v>1094179</v>
          </cell>
          <cell r="CK35">
            <v>0</v>
          </cell>
          <cell r="CL35">
            <v>0</v>
          </cell>
          <cell r="CM35">
            <v>0</v>
          </cell>
          <cell r="CN35">
            <v>0</v>
          </cell>
          <cell r="CO35">
            <v>0</v>
          </cell>
          <cell r="CP35">
            <v>0</v>
          </cell>
          <cell r="CQ35">
            <v>3203840</v>
          </cell>
          <cell r="CR35">
            <v>3043718</v>
          </cell>
          <cell r="CS35">
            <v>2974842</v>
          </cell>
          <cell r="CT35">
            <v>2814325</v>
          </cell>
          <cell r="CU35">
            <v>2657437</v>
          </cell>
          <cell r="CV35">
            <v>28797</v>
          </cell>
          <cell r="CW35">
            <v>0</v>
          </cell>
          <cell r="CX35">
            <v>0</v>
          </cell>
          <cell r="CY35">
            <v>0</v>
          </cell>
          <cell r="CZ35">
            <v>0</v>
          </cell>
          <cell r="DA35">
            <v>0</v>
          </cell>
          <cell r="DC35">
            <v>0</v>
          </cell>
          <cell r="DD35">
            <v>0</v>
          </cell>
          <cell r="DE35">
            <v>0</v>
          </cell>
          <cell r="DF35">
            <v>0</v>
          </cell>
          <cell r="DG35">
            <v>0</v>
          </cell>
          <cell r="DH35">
            <v>0</v>
          </cell>
          <cell r="DI35">
            <v>0</v>
          </cell>
          <cell r="DJ35">
            <v>0</v>
          </cell>
          <cell r="DK35">
            <v>0</v>
          </cell>
          <cell r="DL35">
            <v>0</v>
          </cell>
        </row>
        <row r="36">
          <cell r="A36">
            <v>86</v>
          </cell>
          <cell r="B36" t="str">
            <v>Opsterland</v>
          </cell>
          <cell r="C36">
            <v>2</v>
          </cell>
          <cell r="D36">
            <v>21223</v>
          </cell>
          <cell r="E36">
            <v>10611</v>
          </cell>
          <cell r="F36">
            <v>0</v>
          </cell>
          <cell r="G36">
            <v>0</v>
          </cell>
          <cell r="H36">
            <v>-37064</v>
          </cell>
          <cell r="I36">
            <v>-14057</v>
          </cell>
          <cell r="K36">
            <v>0</v>
          </cell>
          <cell r="L36">
            <v>122839</v>
          </cell>
          <cell r="M36">
            <v>126464</v>
          </cell>
          <cell r="N36">
            <v>0</v>
          </cell>
          <cell r="O36">
            <v>0</v>
          </cell>
          <cell r="P36">
            <v>0</v>
          </cell>
          <cell r="Q36">
            <v>0</v>
          </cell>
          <cell r="R36">
            <v>0</v>
          </cell>
          <cell r="S36">
            <v>0</v>
          </cell>
          <cell r="T36">
            <v>0</v>
          </cell>
          <cell r="U36">
            <v>0</v>
          </cell>
          <cell r="V36">
            <v>0</v>
          </cell>
          <cell r="W36">
            <v>127901</v>
          </cell>
          <cell r="X36">
            <v>0</v>
          </cell>
          <cell r="Z36">
            <v>0</v>
          </cell>
          <cell r="AA36">
            <v>0</v>
          </cell>
          <cell r="AB36">
            <v>0</v>
          </cell>
          <cell r="AD36">
            <v>35200</v>
          </cell>
          <cell r="AE36">
            <v>0</v>
          </cell>
          <cell r="AF36">
            <v>0</v>
          </cell>
          <cell r="AG36">
            <v>0</v>
          </cell>
          <cell r="AH36">
            <v>0</v>
          </cell>
          <cell r="AI36">
            <v>0</v>
          </cell>
          <cell r="AJ36">
            <v>0</v>
          </cell>
          <cell r="AK36">
            <v>0</v>
          </cell>
          <cell r="AM36">
            <v>0</v>
          </cell>
          <cell r="AN36">
            <v>0</v>
          </cell>
          <cell r="AO36">
            <v>0</v>
          </cell>
          <cell r="AP36">
            <v>0</v>
          </cell>
          <cell r="AQ36">
            <v>0</v>
          </cell>
          <cell r="AR36">
            <v>0</v>
          </cell>
          <cell r="AS36">
            <v>0</v>
          </cell>
          <cell r="AT36">
            <v>0</v>
          </cell>
          <cell r="AU36">
            <v>2370</v>
          </cell>
          <cell r="AV36">
            <v>0</v>
          </cell>
          <cell r="AW36">
            <v>0</v>
          </cell>
          <cell r="AX36">
            <v>0</v>
          </cell>
          <cell r="BA36">
            <v>0</v>
          </cell>
          <cell r="BC36">
            <v>0</v>
          </cell>
          <cell r="BD36">
            <v>10432</v>
          </cell>
          <cell r="BF36">
            <v>0</v>
          </cell>
          <cell r="BG36">
            <v>0</v>
          </cell>
          <cell r="BH36">
            <v>0</v>
          </cell>
          <cell r="BI36">
            <v>44583</v>
          </cell>
          <cell r="BJ36">
            <v>36698</v>
          </cell>
          <cell r="BK36">
            <v>36698</v>
          </cell>
          <cell r="BL36">
            <v>0</v>
          </cell>
          <cell r="BM36">
            <v>0</v>
          </cell>
          <cell r="BN36">
            <v>0</v>
          </cell>
          <cell r="BO36">
            <v>142037</v>
          </cell>
          <cell r="BP36">
            <v>4744.2</v>
          </cell>
          <cell r="BQ36">
            <v>8546.5116279069807</v>
          </cell>
          <cell r="BR36">
            <v>0</v>
          </cell>
          <cell r="BS36">
            <v>0</v>
          </cell>
          <cell r="BT36">
            <v>67891</v>
          </cell>
          <cell r="BY36">
            <v>0</v>
          </cell>
          <cell r="BZ36">
            <v>0</v>
          </cell>
          <cell r="CA36">
            <v>0</v>
          </cell>
          <cell r="CB36">
            <v>0</v>
          </cell>
          <cell r="CC36">
            <v>2406734</v>
          </cell>
          <cell r="CD36">
            <v>16393295</v>
          </cell>
          <cell r="CE36">
            <v>2147258</v>
          </cell>
          <cell r="CF36">
            <v>-20713</v>
          </cell>
          <cell r="CG36">
            <v>2147258</v>
          </cell>
          <cell r="CH36">
            <v>2147258</v>
          </cell>
          <cell r="CI36">
            <v>2147258</v>
          </cell>
          <cell r="CJ36">
            <v>2147258</v>
          </cell>
          <cell r="CK36">
            <v>0</v>
          </cell>
          <cell r="CL36">
            <v>0</v>
          </cell>
          <cell r="CM36">
            <v>0</v>
          </cell>
          <cell r="CN36">
            <v>0</v>
          </cell>
          <cell r="CO36">
            <v>0</v>
          </cell>
          <cell r="CP36">
            <v>-1984</v>
          </cell>
          <cell r="CQ36">
            <v>3393643</v>
          </cell>
          <cell r="CR36">
            <v>3219141</v>
          </cell>
          <cell r="CS36">
            <v>3091410</v>
          </cell>
          <cell r="CT36">
            <v>2933672</v>
          </cell>
          <cell r="CU36">
            <v>2794605</v>
          </cell>
          <cell r="CV36">
            <v>-17862</v>
          </cell>
          <cell r="CW36">
            <v>0</v>
          </cell>
          <cell r="CX36">
            <v>0</v>
          </cell>
          <cell r="CY36">
            <v>0</v>
          </cell>
          <cell r="CZ36">
            <v>0</v>
          </cell>
          <cell r="DA36">
            <v>0</v>
          </cell>
          <cell r="DC36">
            <v>0</v>
          </cell>
          <cell r="DD36">
            <v>0</v>
          </cell>
          <cell r="DE36">
            <v>0</v>
          </cell>
          <cell r="DF36">
            <v>0</v>
          </cell>
          <cell r="DG36">
            <v>0</v>
          </cell>
          <cell r="DH36">
            <v>0</v>
          </cell>
          <cell r="DI36">
            <v>0</v>
          </cell>
          <cell r="DJ36">
            <v>0</v>
          </cell>
          <cell r="DK36">
            <v>0</v>
          </cell>
          <cell r="DL36">
            <v>0</v>
          </cell>
        </row>
        <row r="37">
          <cell r="A37">
            <v>88</v>
          </cell>
          <cell r="B37" t="str">
            <v>Schiermonnikoog</v>
          </cell>
          <cell r="C37">
            <v>2</v>
          </cell>
          <cell r="D37">
            <v>2951</v>
          </cell>
          <cell r="E37">
            <v>1476</v>
          </cell>
          <cell r="F37">
            <v>0</v>
          </cell>
          <cell r="G37">
            <v>0</v>
          </cell>
          <cell r="H37">
            <v>-2525</v>
          </cell>
          <cell r="I37">
            <v>-2214</v>
          </cell>
          <cell r="K37">
            <v>0</v>
          </cell>
          <cell r="L37">
            <v>1791</v>
          </cell>
          <cell r="M37">
            <v>2428</v>
          </cell>
          <cell r="N37">
            <v>0</v>
          </cell>
          <cell r="O37">
            <v>0</v>
          </cell>
          <cell r="P37">
            <v>0</v>
          </cell>
          <cell r="Q37">
            <v>0</v>
          </cell>
          <cell r="R37">
            <v>0</v>
          </cell>
          <cell r="S37">
            <v>0</v>
          </cell>
          <cell r="T37">
            <v>0</v>
          </cell>
          <cell r="U37">
            <v>0</v>
          </cell>
          <cell r="V37">
            <v>0</v>
          </cell>
          <cell r="W37">
            <v>20204</v>
          </cell>
          <cell r="X37">
            <v>0</v>
          </cell>
          <cell r="Z37">
            <v>0</v>
          </cell>
          <cell r="AA37">
            <v>0</v>
          </cell>
          <cell r="AB37">
            <v>0</v>
          </cell>
          <cell r="AD37">
            <v>0</v>
          </cell>
          <cell r="AE37">
            <v>0</v>
          </cell>
          <cell r="AF37">
            <v>0</v>
          </cell>
          <cell r="AG37">
            <v>0</v>
          </cell>
          <cell r="AH37">
            <v>0</v>
          </cell>
          <cell r="AI37">
            <v>0</v>
          </cell>
          <cell r="AJ37">
            <v>0</v>
          </cell>
          <cell r="AK37">
            <v>0</v>
          </cell>
          <cell r="AM37">
            <v>0</v>
          </cell>
          <cell r="AN37">
            <v>0</v>
          </cell>
          <cell r="AO37">
            <v>0</v>
          </cell>
          <cell r="AP37">
            <v>0</v>
          </cell>
          <cell r="AQ37">
            <v>0</v>
          </cell>
          <cell r="AR37">
            <v>0</v>
          </cell>
          <cell r="AS37">
            <v>0</v>
          </cell>
          <cell r="AT37">
            <v>0</v>
          </cell>
          <cell r="AU37">
            <v>0</v>
          </cell>
          <cell r="AV37">
            <v>0</v>
          </cell>
          <cell r="AW37">
            <v>0</v>
          </cell>
          <cell r="AX37">
            <v>0</v>
          </cell>
          <cell r="BA37">
            <v>0</v>
          </cell>
          <cell r="BC37">
            <v>0</v>
          </cell>
          <cell r="BD37">
            <v>330</v>
          </cell>
          <cell r="BF37">
            <v>0</v>
          </cell>
          <cell r="BG37">
            <v>0</v>
          </cell>
          <cell r="BH37">
            <v>0</v>
          </cell>
          <cell r="BI37">
            <v>1206</v>
          </cell>
          <cell r="BJ37">
            <v>993</v>
          </cell>
          <cell r="BK37">
            <v>993</v>
          </cell>
          <cell r="BL37">
            <v>0</v>
          </cell>
          <cell r="BM37">
            <v>0</v>
          </cell>
          <cell r="BN37">
            <v>0</v>
          </cell>
          <cell r="BO37">
            <v>12161</v>
          </cell>
          <cell r="BP37">
            <v>0</v>
          </cell>
          <cell r="BQ37">
            <v>0</v>
          </cell>
          <cell r="BR37">
            <v>0</v>
          </cell>
          <cell r="BS37">
            <v>0</v>
          </cell>
          <cell r="BT37">
            <v>1928</v>
          </cell>
          <cell r="BY37">
            <v>0</v>
          </cell>
          <cell r="BZ37">
            <v>0</v>
          </cell>
          <cell r="CA37">
            <v>0</v>
          </cell>
          <cell r="CB37">
            <v>0</v>
          </cell>
          <cell r="CC37">
            <v>102263</v>
          </cell>
          <cell r="CD37">
            <v>267452</v>
          </cell>
          <cell r="CE37">
            <v>4747</v>
          </cell>
          <cell r="CF37">
            <v>-5445</v>
          </cell>
          <cell r="CG37">
            <v>4747</v>
          </cell>
          <cell r="CH37">
            <v>4747</v>
          </cell>
          <cell r="CI37">
            <v>4747</v>
          </cell>
          <cell r="CJ37">
            <v>4747</v>
          </cell>
          <cell r="CK37">
            <v>0</v>
          </cell>
          <cell r="CL37">
            <v>0</v>
          </cell>
          <cell r="CM37">
            <v>0</v>
          </cell>
          <cell r="CN37">
            <v>0</v>
          </cell>
          <cell r="CO37">
            <v>0</v>
          </cell>
          <cell r="CP37">
            <v>0</v>
          </cell>
          <cell r="CQ37">
            <v>8496</v>
          </cell>
          <cell r="CR37">
            <v>8497</v>
          </cell>
          <cell r="CS37">
            <v>7198</v>
          </cell>
          <cell r="CT37">
            <v>7199</v>
          </cell>
          <cell r="CU37">
            <v>7199</v>
          </cell>
          <cell r="CV37">
            <v>-6990</v>
          </cell>
          <cell r="CW37">
            <v>0</v>
          </cell>
          <cell r="CX37">
            <v>0</v>
          </cell>
          <cell r="CY37">
            <v>0</v>
          </cell>
          <cell r="CZ37">
            <v>0</v>
          </cell>
          <cell r="DA37">
            <v>0</v>
          </cell>
          <cell r="DC37">
            <v>0</v>
          </cell>
          <cell r="DD37">
            <v>0</v>
          </cell>
          <cell r="DE37">
            <v>0</v>
          </cell>
          <cell r="DF37">
            <v>0</v>
          </cell>
          <cell r="DG37">
            <v>0</v>
          </cell>
          <cell r="DH37">
            <v>0</v>
          </cell>
          <cell r="DI37">
            <v>0</v>
          </cell>
          <cell r="DJ37">
            <v>0</v>
          </cell>
          <cell r="DK37">
            <v>0</v>
          </cell>
          <cell r="DL37">
            <v>0</v>
          </cell>
        </row>
        <row r="38">
          <cell r="A38">
            <v>90</v>
          </cell>
          <cell r="B38" t="str">
            <v>Smallingerland</v>
          </cell>
          <cell r="C38">
            <v>2</v>
          </cell>
          <cell r="D38">
            <v>137552</v>
          </cell>
          <cell r="E38">
            <v>68776</v>
          </cell>
          <cell r="F38">
            <v>0</v>
          </cell>
          <cell r="G38">
            <v>0</v>
          </cell>
          <cell r="H38">
            <v>-42647</v>
          </cell>
          <cell r="I38">
            <v>0</v>
          </cell>
          <cell r="K38">
            <v>0</v>
          </cell>
          <cell r="L38">
            <v>292274</v>
          </cell>
          <cell r="M38">
            <v>290544</v>
          </cell>
          <cell r="N38">
            <v>0</v>
          </cell>
          <cell r="O38">
            <v>0</v>
          </cell>
          <cell r="P38">
            <v>0</v>
          </cell>
          <cell r="Q38">
            <v>0</v>
          </cell>
          <cell r="R38">
            <v>0</v>
          </cell>
          <cell r="S38">
            <v>0</v>
          </cell>
          <cell r="T38">
            <v>0</v>
          </cell>
          <cell r="U38">
            <v>0</v>
          </cell>
          <cell r="V38">
            <v>6000</v>
          </cell>
          <cell r="W38">
            <v>201026</v>
          </cell>
          <cell r="X38">
            <v>0</v>
          </cell>
          <cell r="Z38">
            <v>0</v>
          </cell>
          <cell r="AA38">
            <v>0</v>
          </cell>
          <cell r="AB38">
            <v>0</v>
          </cell>
          <cell r="AD38">
            <v>129069</v>
          </cell>
          <cell r="AE38">
            <v>0</v>
          </cell>
          <cell r="AF38">
            <v>0</v>
          </cell>
          <cell r="AG38">
            <v>0</v>
          </cell>
          <cell r="AH38">
            <v>0</v>
          </cell>
          <cell r="AI38">
            <v>0</v>
          </cell>
          <cell r="AJ38">
            <v>0</v>
          </cell>
          <cell r="AK38">
            <v>0</v>
          </cell>
          <cell r="AM38">
            <v>0</v>
          </cell>
          <cell r="AN38">
            <v>0</v>
          </cell>
          <cell r="AO38">
            <v>0</v>
          </cell>
          <cell r="AP38">
            <v>0</v>
          </cell>
          <cell r="AQ38">
            <v>0</v>
          </cell>
          <cell r="AR38">
            <v>0</v>
          </cell>
          <cell r="AS38">
            <v>0</v>
          </cell>
          <cell r="AT38">
            <v>0</v>
          </cell>
          <cell r="AU38">
            <v>2370</v>
          </cell>
          <cell r="AV38">
            <v>0</v>
          </cell>
          <cell r="AW38">
            <v>0</v>
          </cell>
          <cell r="AX38">
            <v>0</v>
          </cell>
          <cell r="BA38">
            <v>0</v>
          </cell>
          <cell r="BC38">
            <v>0</v>
          </cell>
          <cell r="BD38">
            <v>19551</v>
          </cell>
          <cell r="BF38">
            <v>0</v>
          </cell>
          <cell r="BG38">
            <v>0</v>
          </cell>
          <cell r="BH38">
            <v>0</v>
          </cell>
          <cell r="BI38">
            <v>105471</v>
          </cell>
          <cell r="BJ38">
            <v>86818</v>
          </cell>
          <cell r="BK38">
            <v>86818</v>
          </cell>
          <cell r="BL38">
            <v>0</v>
          </cell>
          <cell r="BM38">
            <v>0</v>
          </cell>
          <cell r="BN38">
            <v>0</v>
          </cell>
          <cell r="BO38">
            <v>177060</v>
          </cell>
          <cell r="BP38">
            <v>23721</v>
          </cell>
          <cell r="BQ38">
            <v>42732.5581395349</v>
          </cell>
          <cell r="BR38">
            <v>0</v>
          </cell>
          <cell r="BS38">
            <v>0</v>
          </cell>
          <cell r="BT38">
            <v>110466</v>
          </cell>
          <cell r="BY38">
            <v>0</v>
          </cell>
          <cell r="BZ38">
            <v>0</v>
          </cell>
          <cell r="CA38">
            <v>0</v>
          </cell>
          <cell r="CB38">
            <v>0</v>
          </cell>
          <cell r="CC38">
            <v>5197941</v>
          </cell>
          <cell r="CD38">
            <v>40756337</v>
          </cell>
          <cell r="CE38">
            <v>6443359</v>
          </cell>
          <cell r="CF38">
            <v>0</v>
          </cell>
          <cell r="CG38">
            <v>6443359</v>
          </cell>
          <cell r="CH38">
            <v>6443359</v>
          </cell>
          <cell r="CI38">
            <v>6443359</v>
          </cell>
          <cell r="CJ38">
            <v>6443359</v>
          </cell>
          <cell r="CK38">
            <v>0</v>
          </cell>
          <cell r="CL38">
            <v>0</v>
          </cell>
          <cell r="CM38">
            <v>0</v>
          </cell>
          <cell r="CN38">
            <v>0</v>
          </cell>
          <cell r="CO38">
            <v>0</v>
          </cell>
          <cell r="CP38">
            <v>0</v>
          </cell>
          <cell r="CQ38">
            <v>10679509</v>
          </cell>
          <cell r="CR38">
            <v>10196646</v>
          </cell>
          <cell r="CS38">
            <v>9951031</v>
          </cell>
          <cell r="CT38">
            <v>9782131</v>
          </cell>
          <cell r="CU38">
            <v>9538554</v>
          </cell>
          <cell r="CV38">
            <v>-25145</v>
          </cell>
          <cell r="CW38">
            <v>0</v>
          </cell>
          <cell r="CX38">
            <v>0</v>
          </cell>
          <cell r="CY38">
            <v>0</v>
          </cell>
          <cell r="CZ38">
            <v>0</v>
          </cell>
          <cell r="DA38">
            <v>0</v>
          </cell>
          <cell r="DC38">
            <v>0</v>
          </cell>
          <cell r="DD38">
            <v>0</v>
          </cell>
          <cell r="DE38">
            <v>0</v>
          </cell>
          <cell r="DF38">
            <v>0</v>
          </cell>
          <cell r="DG38">
            <v>0</v>
          </cell>
          <cell r="DH38">
            <v>0</v>
          </cell>
          <cell r="DI38">
            <v>0</v>
          </cell>
          <cell r="DJ38">
            <v>0</v>
          </cell>
          <cell r="DK38">
            <v>0</v>
          </cell>
          <cell r="DL38">
            <v>0</v>
          </cell>
        </row>
        <row r="39">
          <cell r="A39">
            <v>1900</v>
          </cell>
          <cell r="B39" t="str">
            <v>Sudwest Fryslan</v>
          </cell>
          <cell r="C39">
            <v>2</v>
          </cell>
          <cell r="D39">
            <v>82392.320000000007</v>
          </cell>
          <cell r="E39">
            <v>41196.660000000003</v>
          </cell>
          <cell r="F39">
            <v>0</v>
          </cell>
          <cell r="G39">
            <v>0</v>
          </cell>
          <cell r="H39">
            <v>-34808.370000000003</v>
          </cell>
          <cell r="I39">
            <v>-41387.42</v>
          </cell>
          <cell r="K39">
            <v>0</v>
          </cell>
          <cell r="L39">
            <v>423001.89</v>
          </cell>
          <cell r="M39">
            <v>450368</v>
          </cell>
          <cell r="N39">
            <v>0</v>
          </cell>
          <cell r="O39">
            <v>0</v>
          </cell>
          <cell r="P39">
            <v>0</v>
          </cell>
          <cell r="Q39">
            <v>0</v>
          </cell>
          <cell r="R39">
            <v>0</v>
          </cell>
          <cell r="S39">
            <v>0</v>
          </cell>
          <cell r="T39">
            <v>0</v>
          </cell>
          <cell r="U39">
            <v>0</v>
          </cell>
          <cell r="V39">
            <v>24000</v>
          </cell>
          <cell r="W39">
            <v>340431</v>
          </cell>
          <cell r="X39">
            <v>0</v>
          </cell>
          <cell r="Z39">
            <v>0</v>
          </cell>
          <cell r="AA39">
            <v>0</v>
          </cell>
          <cell r="AB39">
            <v>0</v>
          </cell>
          <cell r="AD39">
            <v>161759</v>
          </cell>
          <cell r="AE39">
            <v>0</v>
          </cell>
          <cell r="AF39">
            <v>0</v>
          </cell>
          <cell r="AG39">
            <v>0</v>
          </cell>
          <cell r="AH39">
            <v>0</v>
          </cell>
          <cell r="AI39">
            <v>0</v>
          </cell>
          <cell r="AJ39">
            <v>0</v>
          </cell>
          <cell r="AK39">
            <v>0</v>
          </cell>
          <cell r="AM39">
            <v>0</v>
          </cell>
          <cell r="AN39">
            <v>0</v>
          </cell>
          <cell r="AO39">
            <v>0</v>
          </cell>
          <cell r="AP39">
            <v>0</v>
          </cell>
          <cell r="AQ39">
            <v>0</v>
          </cell>
          <cell r="AR39">
            <v>0</v>
          </cell>
          <cell r="AS39">
            <v>0</v>
          </cell>
          <cell r="AT39">
            <v>20000</v>
          </cell>
          <cell r="AU39">
            <v>9480</v>
          </cell>
          <cell r="AV39">
            <v>0</v>
          </cell>
          <cell r="AW39">
            <v>0</v>
          </cell>
          <cell r="AX39">
            <v>0</v>
          </cell>
          <cell r="BA39">
            <v>0</v>
          </cell>
          <cell r="BC39">
            <v>0</v>
          </cell>
          <cell r="BD39">
            <v>157264</v>
          </cell>
          <cell r="BF39">
            <v>0</v>
          </cell>
          <cell r="BG39">
            <v>0</v>
          </cell>
          <cell r="BH39">
            <v>0</v>
          </cell>
          <cell r="BI39">
            <v>153576</v>
          </cell>
          <cell r="BJ39">
            <v>126416</v>
          </cell>
          <cell r="BK39">
            <v>126416</v>
          </cell>
          <cell r="BL39">
            <v>0</v>
          </cell>
          <cell r="BM39">
            <v>0</v>
          </cell>
          <cell r="BN39">
            <v>0</v>
          </cell>
          <cell r="BO39">
            <v>344114</v>
          </cell>
          <cell r="BP39">
            <v>31628</v>
          </cell>
          <cell r="BQ39">
            <v>56976.744186046497</v>
          </cell>
          <cell r="BR39">
            <v>0</v>
          </cell>
          <cell r="BS39">
            <v>0</v>
          </cell>
          <cell r="BT39">
            <v>215766</v>
          </cell>
          <cell r="BY39">
            <v>0</v>
          </cell>
          <cell r="BZ39">
            <v>0</v>
          </cell>
          <cell r="CA39">
            <v>0</v>
          </cell>
          <cell r="CB39">
            <v>0</v>
          </cell>
          <cell r="CC39">
            <v>7456758</v>
          </cell>
          <cell r="CD39">
            <v>49240943</v>
          </cell>
          <cell r="CE39">
            <v>2843008</v>
          </cell>
          <cell r="CF39">
            <v>-100141</v>
          </cell>
          <cell r="CG39">
            <v>2843008</v>
          </cell>
          <cell r="CH39">
            <v>2843008</v>
          </cell>
          <cell r="CI39">
            <v>2843008</v>
          </cell>
          <cell r="CJ39">
            <v>2843008</v>
          </cell>
          <cell r="CK39">
            <v>0</v>
          </cell>
          <cell r="CL39">
            <v>0</v>
          </cell>
          <cell r="CM39">
            <v>0</v>
          </cell>
          <cell r="CN39">
            <v>0</v>
          </cell>
          <cell r="CO39">
            <v>0</v>
          </cell>
          <cell r="CP39">
            <v>0</v>
          </cell>
          <cell r="CQ39">
            <v>13771126</v>
          </cell>
          <cell r="CR39">
            <v>13132185</v>
          </cell>
          <cell r="CS39">
            <v>12764484</v>
          </cell>
          <cell r="CT39">
            <v>12428365</v>
          </cell>
          <cell r="CU39">
            <v>12019328</v>
          </cell>
          <cell r="CV39">
            <v>218157</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row>
        <row r="40">
          <cell r="A40">
            <v>93</v>
          </cell>
          <cell r="B40" t="str">
            <v>Terschelling</v>
          </cell>
          <cell r="C40">
            <v>2</v>
          </cell>
          <cell r="D40">
            <v>-10463</v>
          </cell>
          <cell r="E40">
            <v>-5232</v>
          </cell>
          <cell r="F40">
            <v>0</v>
          </cell>
          <cell r="G40">
            <v>0</v>
          </cell>
          <cell r="H40">
            <v>0</v>
          </cell>
          <cell r="I40">
            <v>0</v>
          </cell>
          <cell r="K40">
            <v>0</v>
          </cell>
          <cell r="L40">
            <v>12256</v>
          </cell>
          <cell r="M40">
            <v>11428</v>
          </cell>
          <cell r="N40">
            <v>0</v>
          </cell>
          <cell r="O40">
            <v>0</v>
          </cell>
          <cell r="P40">
            <v>0</v>
          </cell>
          <cell r="Q40">
            <v>0</v>
          </cell>
          <cell r="R40">
            <v>0</v>
          </cell>
          <cell r="S40">
            <v>0</v>
          </cell>
          <cell r="T40">
            <v>0</v>
          </cell>
          <cell r="U40">
            <v>0</v>
          </cell>
          <cell r="V40">
            <v>0</v>
          </cell>
          <cell r="W40">
            <v>27213</v>
          </cell>
          <cell r="X40">
            <v>0</v>
          </cell>
          <cell r="Z40">
            <v>0</v>
          </cell>
          <cell r="AA40">
            <v>0</v>
          </cell>
          <cell r="AB40">
            <v>0</v>
          </cell>
          <cell r="AD40">
            <v>0</v>
          </cell>
          <cell r="AE40">
            <v>0</v>
          </cell>
          <cell r="AF40">
            <v>0</v>
          </cell>
          <cell r="AG40">
            <v>0</v>
          </cell>
          <cell r="AH40">
            <v>0</v>
          </cell>
          <cell r="AI40">
            <v>0</v>
          </cell>
          <cell r="AJ40">
            <v>0</v>
          </cell>
          <cell r="AK40">
            <v>0</v>
          </cell>
          <cell r="AM40">
            <v>0</v>
          </cell>
          <cell r="AN40">
            <v>0</v>
          </cell>
          <cell r="AO40">
            <v>0</v>
          </cell>
          <cell r="AP40">
            <v>0</v>
          </cell>
          <cell r="AQ40">
            <v>0</v>
          </cell>
          <cell r="AR40">
            <v>0</v>
          </cell>
          <cell r="AS40">
            <v>0</v>
          </cell>
          <cell r="AT40">
            <v>0</v>
          </cell>
          <cell r="AU40">
            <v>0</v>
          </cell>
          <cell r="AV40">
            <v>0</v>
          </cell>
          <cell r="AW40">
            <v>0</v>
          </cell>
          <cell r="AX40">
            <v>0</v>
          </cell>
          <cell r="BA40">
            <v>0</v>
          </cell>
          <cell r="BC40">
            <v>0</v>
          </cell>
          <cell r="BD40">
            <v>1706</v>
          </cell>
          <cell r="BF40">
            <v>0</v>
          </cell>
          <cell r="BG40">
            <v>0</v>
          </cell>
          <cell r="BH40">
            <v>0</v>
          </cell>
          <cell r="BI40">
            <v>4004</v>
          </cell>
          <cell r="BJ40">
            <v>3296</v>
          </cell>
          <cell r="BK40">
            <v>3296</v>
          </cell>
          <cell r="BL40">
            <v>0</v>
          </cell>
          <cell r="BM40">
            <v>0</v>
          </cell>
          <cell r="BN40">
            <v>0</v>
          </cell>
          <cell r="BO40">
            <v>10215</v>
          </cell>
          <cell r="BP40">
            <v>0</v>
          </cell>
          <cell r="BQ40">
            <v>0</v>
          </cell>
          <cell r="BR40">
            <v>0</v>
          </cell>
          <cell r="BS40">
            <v>0</v>
          </cell>
          <cell r="BT40">
            <v>15485</v>
          </cell>
          <cell r="BY40">
            <v>0</v>
          </cell>
          <cell r="BZ40">
            <v>0</v>
          </cell>
          <cell r="CA40">
            <v>0</v>
          </cell>
          <cell r="CB40">
            <v>0</v>
          </cell>
          <cell r="CC40">
            <v>305146</v>
          </cell>
          <cell r="CD40">
            <v>1326192</v>
          </cell>
          <cell r="CE40">
            <v>4747</v>
          </cell>
          <cell r="CF40">
            <v>283317</v>
          </cell>
          <cell r="CG40">
            <v>4747</v>
          </cell>
          <cell r="CH40">
            <v>4747</v>
          </cell>
          <cell r="CI40">
            <v>4747</v>
          </cell>
          <cell r="CJ40">
            <v>4747</v>
          </cell>
          <cell r="CK40">
            <v>0</v>
          </cell>
          <cell r="CL40">
            <v>0</v>
          </cell>
          <cell r="CM40">
            <v>0</v>
          </cell>
          <cell r="CN40">
            <v>0</v>
          </cell>
          <cell r="CO40">
            <v>0</v>
          </cell>
          <cell r="CP40">
            <v>-847</v>
          </cell>
          <cell r="CQ40">
            <v>226069</v>
          </cell>
          <cell r="CR40">
            <v>219413</v>
          </cell>
          <cell r="CS40">
            <v>217808</v>
          </cell>
          <cell r="CT40">
            <v>216925</v>
          </cell>
          <cell r="CU40">
            <v>216303</v>
          </cell>
          <cell r="CV40">
            <v>17736</v>
          </cell>
          <cell r="CW40">
            <v>0</v>
          </cell>
          <cell r="CX40">
            <v>0</v>
          </cell>
          <cell r="CY40">
            <v>0</v>
          </cell>
          <cell r="CZ40">
            <v>0</v>
          </cell>
          <cell r="DA40">
            <v>0</v>
          </cell>
          <cell r="DC40">
            <v>0</v>
          </cell>
          <cell r="DD40">
            <v>0</v>
          </cell>
          <cell r="DE40">
            <v>0</v>
          </cell>
          <cell r="DF40">
            <v>0</v>
          </cell>
          <cell r="DG40">
            <v>0</v>
          </cell>
          <cell r="DH40">
            <v>0</v>
          </cell>
          <cell r="DI40">
            <v>0</v>
          </cell>
          <cell r="DJ40">
            <v>0</v>
          </cell>
          <cell r="DK40">
            <v>0</v>
          </cell>
          <cell r="DL40">
            <v>0</v>
          </cell>
        </row>
        <row r="41">
          <cell r="A41">
            <v>737</v>
          </cell>
          <cell r="B41" t="str">
            <v>Tytsjerksteradiel</v>
          </cell>
          <cell r="C41">
            <v>2</v>
          </cell>
          <cell r="D41">
            <v>76575</v>
          </cell>
          <cell r="E41">
            <v>38287</v>
          </cell>
          <cell r="F41">
            <v>0</v>
          </cell>
          <cell r="G41">
            <v>0</v>
          </cell>
          <cell r="H41">
            <v>-39182</v>
          </cell>
          <cell r="I41">
            <v>-6875</v>
          </cell>
          <cell r="K41">
            <v>0</v>
          </cell>
          <cell r="L41">
            <v>113806</v>
          </cell>
          <cell r="M41">
            <v>111561</v>
          </cell>
          <cell r="N41">
            <v>0</v>
          </cell>
          <cell r="O41">
            <v>0</v>
          </cell>
          <cell r="P41">
            <v>0</v>
          </cell>
          <cell r="Q41">
            <v>0</v>
          </cell>
          <cell r="R41">
            <v>0</v>
          </cell>
          <cell r="S41">
            <v>0</v>
          </cell>
          <cell r="T41">
            <v>0</v>
          </cell>
          <cell r="U41">
            <v>0</v>
          </cell>
          <cell r="V41">
            <v>0</v>
          </cell>
          <cell r="W41">
            <v>133343</v>
          </cell>
          <cell r="X41">
            <v>0</v>
          </cell>
          <cell r="Z41">
            <v>0</v>
          </cell>
          <cell r="AA41">
            <v>0</v>
          </cell>
          <cell r="AB41">
            <v>0</v>
          </cell>
          <cell r="AD41">
            <v>47912</v>
          </cell>
          <cell r="AE41">
            <v>0</v>
          </cell>
          <cell r="AF41">
            <v>0</v>
          </cell>
          <cell r="AG41">
            <v>0</v>
          </cell>
          <cell r="AH41">
            <v>0</v>
          </cell>
          <cell r="AI41">
            <v>0</v>
          </cell>
          <cell r="AJ41">
            <v>0</v>
          </cell>
          <cell r="AK41">
            <v>0</v>
          </cell>
          <cell r="AM41">
            <v>0</v>
          </cell>
          <cell r="AN41">
            <v>0</v>
          </cell>
          <cell r="AO41">
            <v>0</v>
          </cell>
          <cell r="AP41">
            <v>0</v>
          </cell>
          <cell r="AQ41">
            <v>0</v>
          </cell>
          <cell r="AR41">
            <v>0</v>
          </cell>
          <cell r="AS41">
            <v>0</v>
          </cell>
          <cell r="AT41">
            <v>0</v>
          </cell>
          <cell r="AU41">
            <v>2370</v>
          </cell>
          <cell r="AV41">
            <v>0</v>
          </cell>
          <cell r="AW41">
            <v>0</v>
          </cell>
          <cell r="AX41">
            <v>0</v>
          </cell>
          <cell r="BA41">
            <v>0</v>
          </cell>
          <cell r="BC41">
            <v>0</v>
          </cell>
          <cell r="BD41">
            <v>11220</v>
          </cell>
          <cell r="BF41">
            <v>0</v>
          </cell>
          <cell r="BG41">
            <v>0</v>
          </cell>
          <cell r="BH41">
            <v>0</v>
          </cell>
          <cell r="BI41">
            <v>46270</v>
          </cell>
          <cell r="BJ41">
            <v>38087</v>
          </cell>
          <cell r="BK41">
            <v>38087</v>
          </cell>
          <cell r="BL41">
            <v>0</v>
          </cell>
          <cell r="BM41">
            <v>0</v>
          </cell>
          <cell r="BN41">
            <v>0</v>
          </cell>
          <cell r="BO41">
            <v>154198</v>
          </cell>
          <cell r="BP41">
            <v>14232.6</v>
          </cell>
          <cell r="BQ41">
            <v>25639.534883720899</v>
          </cell>
          <cell r="BR41">
            <v>0</v>
          </cell>
          <cell r="BS41">
            <v>0</v>
          </cell>
          <cell r="BT41">
            <v>71107</v>
          </cell>
          <cell r="BY41">
            <v>0</v>
          </cell>
          <cell r="BZ41">
            <v>0</v>
          </cell>
          <cell r="CA41">
            <v>0</v>
          </cell>
          <cell r="CB41">
            <v>0</v>
          </cell>
          <cell r="CC41">
            <v>2725854</v>
          </cell>
          <cell r="CD41">
            <v>16906384</v>
          </cell>
          <cell r="CE41">
            <v>1909788</v>
          </cell>
          <cell r="CF41">
            <v>-16632</v>
          </cell>
          <cell r="CG41">
            <v>1909788</v>
          </cell>
          <cell r="CH41">
            <v>1909788</v>
          </cell>
          <cell r="CI41">
            <v>1909788</v>
          </cell>
          <cell r="CJ41">
            <v>1909788</v>
          </cell>
          <cell r="CK41">
            <v>0</v>
          </cell>
          <cell r="CL41">
            <v>0</v>
          </cell>
          <cell r="CM41">
            <v>0</v>
          </cell>
          <cell r="CN41">
            <v>0</v>
          </cell>
          <cell r="CO41">
            <v>0</v>
          </cell>
          <cell r="CP41">
            <v>0</v>
          </cell>
          <cell r="CQ41">
            <v>3571588</v>
          </cell>
          <cell r="CR41">
            <v>3413904</v>
          </cell>
          <cell r="CS41">
            <v>3335881</v>
          </cell>
          <cell r="CT41">
            <v>3293879</v>
          </cell>
          <cell r="CU41">
            <v>3189854</v>
          </cell>
          <cell r="CV41">
            <v>-88644</v>
          </cell>
          <cell r="CW41">
            <v>0</v>
          </cell>
          <cell r="CX41">
            <v>0</v>
          </cell>
          <cell r="CY41">
            <v>0</v>
          </cell>
          <cell r="CZ41">
            <v>0</v>
          </cell>
          <cell r="DA41">
            <v>0</v>
          </cell>
          <cell r="DC41">
            <v>0</v>
          </cell>
          <cell r="DD41">
            <v>0</v>
          </cell>
          <cell r="DE41">
            <v>0</v>
          </cell>
          <cell r="DF41">
            <v>0</v>
          </cell>
          <cell r="DG41">
            <v>0</v>
          </cell>
          <cell r="DH41">
            <v>0</v>
          </cell>
          <cell r="DI41">
            <v>0</v>
          </cell>
          <cell r="DJ41">
            <v>0</v>
          </cell>
          <cell r="DK41">
            <v>0</v>
          </cell>
          <cell r="DL41">
            <v>0</v>
          </cell>
        </row>
        <row r="42">
          <cell r="A42">
            <v>96</v>
          </cell>
          <cell r="B42" t="str">
            <v>Vlieland</v>
          </cell>
          <cell r="C42">
            <v>2</v>
          </cell>
          <cell r="D42">
            <v>2856</v>
          </cell>
          <cell r="E42">
            <v>1428</v>
          </cell>
          <cell r="F42">
            <v>0</v>
          </cell>
          <cell r="G42">
            <v>0</v>
          </cell>
          <cell r="H42">
            <v>-418</v>
          </cell>
          <cell r="I42">
            <v>-789</v>
          </cell>
          <cell r="K42">
            <v>0</v>
          </cell>
          <cell r="L42">
            <v>3223</v>
          </cell>
          <cell r="M42">
            <v>5238</v>
          </cell>
          <cell r="N42">
            <v>0</v>
          </cell>
          <cell r="O42">
            <v>0</v>
          </cell>
          <cell r="P42">
            <v>0</v>
          </cell>
          <cell r="Q42">
            <v>0</v>
          </cell>
          <cell r="R42">
            <v>0</v>
          </cell>
          <cell r="S42">
            <v>0</v>
          </cell>
          <cell r="T42">
            <v>0</v>
          </cell>
          <cell r="U42">
            <v>0</v>
          </cell>
          <cell r="V42">
            <v>0</v>
          </cell>
          <cell r="W42">
            <v>20204</v>
          </cell>
          <cell r="X42">
            <v>0</v>
          </cell>
          <cell r="Z42">
            <v>0</v>
          </cell>
          <cell r="AA42">
            <v>0</v>
          </cell>
          <cell r="AB42">
            <v>0</v>
          </cell>
          <cell r="AD42">
            <v>0</v>
          </cell>
          <cell r="AE42">
            <v>0</v>
          </cell>
          <cell r="AF42">
            <v>0</v>
          </cell>
          <cell r="AG42">
            <v>0</v>
          </cell>
          <cell r="AH42">
            <v>0</v>
          </cell>
          <cell r="AI42">
            <v>0</v>
          </cell>
          <cell r="AJ42">
            <v>0</v>
          </cell>
          <cell r="AK42">
            <v>0</v>
          </cell>
          <cell r="AM42">
            <v>0</v>
          </cell>
          <cell r="AN42">
            <v>0</v>
          </cell>
          <cell r="AO42">
            <v>0</v>
          </cell>
          <cell r="AP42">
            <v>0</v>
          </cell>
          <cell r="AQ42">
            <v>0</v>
          </cell>
          <cell r="AR42">
            <v>0</v>
          </cell>
          <cell r="AS42">
            <v>0</v>
          </cell>
          <cell r="AT42">
            <v>0</v>
          </cell>
          <cell r="AU42">
            <v>0</v>
          </cell>
          <cell r="AV42">
            <v>0</v>
          </cell>
          <cell r="AW42">
            <v>0</v>
          </cell>
          <cell r="AX42">
            <v>0</v>
          </cell>
          <cell r="BA42">
            <v>0</v>
          </cell>
          <cell r="BC42">
            <v>0</v>
          </cell>
          <cell r="BD42">
            <v>381</v>
          </cell>
          <cell r="BF42">
            <v>0</v>
          </cell>
          <cell r="BG42">
            <v>0</v>
          </cell>
          <cell r="BH42">
            <v>0</v>
          </cell>
          <cell r="BI42">
            <v>1486</v>
          </cell>
          <cell r="BJ42">
            <v>1224</v>
          </cell>
          <cell r="BK42">
            <v>1224</v>
          </cell>
          <cell r="BL42">
            <v>0</v>
          </cell>
          <cell r="BM42">
            <v>0</v>
          </cell>
          <cell r="BN42">
            <v>0</v>
          </cell>
          <cell r="BO42">
            <v>10215</v>
          </cell>
          <cell r="BP42">
            <v>0</v>
          </cell>
          <cell r="BQ42">
            <v>0</v>
          </cell>
          <cell r="BR42">
            <v>0</v>
          </cell>
          <cell r="BS42">
            <v>0</v>
          </cell>
          <cell r="BT42">
            <v>2872</v>
          </cell>
          <cell r="BY42">
            <v>0</v>
          </cell>
          <cell r="BZ42">
            <v>0</v>
          </cell>
          <cell r="CA42">
            <v>0</v>
          </cell>
          <cell r="CB42">
            <v>0</v>
          </cell>
          <cell r="CC42">
            <v>88702</v>
          </cell>
          <cell r="CD42">
            <v>298379</v>
          </cell>
          <cell r="CE42">
            <v>4747</v>
          </cell>
          <cell r="CF42">
            <v>0</v>
          </cell>
          <cell r="CG42">
            <v>4747</v>
          </cell>
          <cell r="CH42">
            <v>4747</v>
          </cell>
          <cell r="CI42">
            <v>4747</v>
          </cell>
          <cell r="CJ42">
            <v>4747</v>
          </cell>
          <cell r="CK42">
            <v>0</v>
          </cell>
          <cell r="CL42">
            <v>0</v>
          </cell>
          <cell r="CM42">
            <v>0</v>
          </cell>
          <cell r="CN42">
            <v>0</v>
          </cell>
          <cell r="CO42">
            <v>0</v>
          </cell>
          <cell r="CP42">
            <v>-287</v>
          </cell>
          <cell r="CQ42">
            <v>8496</v>
          </cell>
          <cell r="CR42">
            <v>8497</v>
          </cell>
          <cell r="CS42">
            <v>7198</v>
          </cell>
          <cell r="CT42">
            <v>7199</v>
          </cell>
          <cell r="CU42">
            <v>7199</v>
          </cell>
          <cell r="CV42">
            <v>639</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row>
        <row r="43">
          <cell r="A43">
            <v>1949</v>
          </cell>
          <cell r="B43" t="str">
            <v>Waadhoeke</v>
          </cell>
          <cell r="C43">
            <v>2</v>
          </cell>
          <cell r="D43">
            <v>105956.44</v>
          </cell>
          <cell r="E43">
            <v>52979.22</v>
          </cell>
          <cell r="F43">
            <v>0</v>
          </cell>
          <cell r="G43">
            <v>0</v>
          </cell>
          <cell r="H43">
            <v>-16134.79</v>
          </cell>
          <cell r="I43">
            <v>-6930.14</v>
          </cell>
          <cell r="K43">
            <v>0</v>
          </cell>
          <cell r="L43">
            <v>190614.63</v>
          </cell>
          <cell r="M43">
            <v>184794</v>
          </cell>
          <cell r="N43">
            <v>0</v>
          </cell>
          <cell r="O43">
            <v>0</v>
          </cell>
          <cell r="P43">
            <v>0</v>
          </cell>
          <cell r="Q43">
            <v>0</v>
          </cell>
          <cell r="R43">
            <v>0</v>
          </cell>
          <cell r="S43">
            <v>0</v>
          </cell>
          <cell r="T43">
            <v>0</v>
          </cell>
          <cell r="U43">
            <v>0</v>
          </cell>
          <cell r="V43">
            <v>9000</v>
          </cell>
          <cell r="W43">
            <v>201453</v>
          </cell>
          <cell r="X43">
            <v>0</v>
          </cell>
          <cell r="Z43">
            <v>0</v>
          </cell>
          <cell r="AA43">
            <v>0</v>
          </cell>
          <cell r="AB43">
            <v>0</v>
          </cell>
          <cell r="AD43">
            <v>110424</v>
          </cell>
          <cell r="AE43">
            <v>0</v>
          </cell>
          <cell r="AF43">
            <v>0</v>
          </cell>
          <cell r="AG43">
            <v>0</v>
          </cell>
          <cell r="AH43">
            <v>0</v>
          </cell>
          <cell r="AI43">
            <v>0</v>
          </cell>
          <cell r="AJ43">
            <v>0</v>
          </cell>
          <cell r="AK43">
            <v>0</v>
          </cell>
          <cell r="AM43">
            <v>0</v>
          </cell>
          <cell r="AN43">
            <v>0</v>
          </cell>
          <cell r="AO43">
            <v>0</v>
          </cell>
          <cell r="AP43">
            <v>0</v>
          </cell>
          <cell r="AQ43">
            <v>0</v>
          </cell>
          <cell r="AR43">
            <v>0</v>
          </cell>
          <cell r="AS43">
            <v>0</v>
          </cell>
          <cell r="AT43">
            <v>0</v>
          </cell>
          <cell r="AU43">
            <v>0</v>
          </cell>
          <cell r="AV43">
            <v>0</v>
          </cell>
          <cell r="AW43">
            <v>0</v>
          </cell>
          <cell r="AX43">
            <v>0</v>
          </cell>
          <cell r="BA43">
            <v>0</v>
          </cell>
          <cell r="BC43">
            <v>0</v>
          </cell>
          <cell r="BD43">
            <v>80685</v>
          </cell>
          <cell r="BF43">
            <v>0</v>
          </cell>
          <cell r="BG43">
            <v>0</v>
          </cell>
          <cell r="BH43">
            <v>0</v>
          </cell>
          <cell r="BI43">
            <v>78615</v>
          </cell>
          <cell r="BJ43">
            <v>64712</v>
          </cell>
          <cell r="BK43">
            <v>64712</v>
          </cell>
          <cell r="BL43">
            <v>0</v>
          </cell>
          <cell r="BM43">
            <v>0</v>
          </cell>
          <cell r="BN43">
            <v>0</v>
          </cell>
          <cell r="BO43">
            <v>230611</v>
          </cell>
          <cell r="BP43">
            <v>1581.4</v>
          </cell>
          <cell r="BQ43">
            <v>2848.8372093023299</v>
          </cell>
          <cell r="BR43">
            <v>0</v>
          </cell>
          <cell r="BS43">
            <v>0</v>
          </cell>
          <cell r="BT43">
            <v>105386</v>
          </cell>
          <cell r="BY43">
            <v>0</v>
          </cell>
          <cell r="BZ43">
            <v>0</v>
          </cell>
          <cell r="CA43">
            <v>0</v>
          </cell>
          <cell r="CB43">
            <v>0</v>
          </cell>
          <cell r="CC43">
            <v>3925066</v>
          </cell>
          <cell r="CD43">
            <v>25420945</v>
          </cell>
          <cell r="CE43">
            <v>1579616</v>
          </cell>
          <cell r="CF43">
            <v>46886</v>
          </cell>
          <cell r="CG43">
            <v>1579616</v>
          </cell>
          <cell r="CH43">
            <v>1579616</v>
          </cell>
          <cell r="CI43">
            <v>1579616</v>
          </cell>
          <cell r="CJ43">
            <v>1579616</v>
          </cell>
          <cell r="CK43">
            <v>0</v>
          </cell>
          <cell r="CL43">
            <v>0</v>
          </cell>
          <cell r="CM43">
            <v>0</v>
          </cell>
          <cell r="CN43">
            <v>0</v>
          </cell>
          <cell r="CO43">
            <v>0</v>
          </cell>
          <cell r="CP43">
            <v>-863</v>
          </cell>
          <cell r="CQ43">
            <v>5773523</v>
          </cell>
          <cell r="CR43">
            <v>5526417</v>
          </cell>
          <cell r="CS43">
            <v>5375101</v>
          </cell>
          <cell r="CT43">
            <v>5211602</v>
          </cell>
          <cell r="CU43">
            <v>5061282</v>
          </cell>
          <cell r="CV43">
            <v>-69479</v>
          </cell>
          <cell r="CW43">
            <v>0</v>
          </cell>
          <cell r="CX43">
            <v>0</v>
          </cell>
          <cell r="CY43">
            <v>0</v>
          </cell>
          <cell r="CZ43">
            <v>0</v>
          </cell>
          <cell r="DA43">
            <v>0</v>
          </cell>
          <cell r="DC43">
            <v>0</v>
          </cell>
          <cell r="DD43">
            <v>0</v>
          </cell>
          <cell r="DE43">
            <v>0</v>
          </cell>
          <cell r="DF43">
            <v>0</v>
          </cell>
          <cell r="DG43">
            <v>0</v>
          </cell>
          <cell r="DH43">
            <v>0</v>
          </cell>
          <cell r="DI43">
            <v>0</v>
          </cell>
          <cell r="DJ43">
            <v>0</v>
          </cell>
          <cell r="DK43">
            <v>0</v>
          </cell>
          <cell r="DL43">
            <v>0</v>
          </cell>
        </row>
        <row r="44">
          <cell r="A44">
            <v>98</v>
          </cell>
          <cell r="B44" t="str">
            <v>Weststellingwerf</v>
          </cell>
          <cell r="C44">
            <v>2</v>
          </cell>
          <cell r="D44">
            <v>34728</v>
          </cell>
          <cell r="E44">
            <v>17364</v>
          </cell>
          <cell r="F44">
            <v>0</v>
          </cell>
          <cell r="G44">
            <v>0</v>
          </cell>
          <cell r="H44">
            <v>-19841</v>
          </cell>
          <cell r="I44">
            <v>0</v>
          </cell>
          <cell r="K44">
            <v>0</v>
          </cell>
          <cell r="L44">
            <v>116989</v>
          </cell>
          <cell r="M44">
            <v>114323</v>
          </cell>
          <cell r="N44">
            <v>0</v>
          </cell>
          <cell r="O44">
            <v>0</v>
          </cell>
          <cell r="P44">
            <v>0</v>
          </cell>
          <cell r="Q44">
            <v>0</v>
          </cell>
          <cell r="R44">
            <v>0</v>
          </cell>
          <cell r="S44">
            <v>0</v>
          </cell>
          <cell r="T44">
            <v>0</v>
          </cell>
          <cell r="U44">
            <v>0</v>
          </cell>
          <cell r="V44">
            <v>0</v>
          </cell>
          <cell r="W44">
            <v>87280</v>
          </cell>
          <cell r="X44">
            <v>0</v>
          </cell>
          <cell r="Z44">
            <v>0</v>
          </cell>
          <cell r="AA44">
            <v>0</v>
          </cell>
          <cell r="AB44">
            <v>0</v>
          </cell>
          <cell r="AD44">
            <v>90935</v>
          </cell>
          <cell r="AE44">
            <v>0</v>
          </cell>
          <cell r="AF44">
            <v>0</v>
          </cell>
          <cell r="AG44">
            <v>0</v>
          </cell>
          <cell r="AH44">
            <v>0</v>
          </cell>
          <cell r="AI44">
            <v>0</v>
          </cell>
          <cell r="AJ44">
            <v>0</v>
          </cell>
          <cell r="AK44">
            <v>0</v>
          </cell>
          <cell r="AM44">
            <v>0</v>
          </cell>
          <cell r="AN44">
            <v>0</v>
          </cell>
          <cell r="AO44">
            <v>0</v>
          </cell>
          <cell r="AP44">
            <v>0</v>
          </cell>
          <cell r="AQ44">
            <v>0</v>
          </cell>
          <cell r="AR44">
            <v>0</v>
          </cell>
          <cell r="AS44">
            <v>0</v>
          </cell>
          <cell r="AT44">
            <v>0</v>
          </cell>
          <cell r="AU44">
            <v>0</v>
          </cell>
          <cell r="AV44">
            <v>0</v>
          </cell>
          <cell r="AW44">
            <v>0</v>
          </cell>
          <cell r="AX44">
            <v>0</v>
          </cell>
          <cell r="BA44">
            <v>0</v>
          </cell>
          <cell r="BC44">
            <v>0</v>
          </cell>
          <cell r="BD44">
            <v>8989</v>
          </cell>
          <cell r="BF44">
            <v>0</v>
          </cell>
          <cell r="BG44">
            <v>0</v>
          </cell>
          <cell r="BH44">
            <v>0</v>
          </cell>
          <cell r="BI44">
            <v>47425</v>
          </cell>
          <cell r="BJ44">
            <v>39038</v>
          </cell>
          <cell r="BK44">
            <v>39038</v>
          </cell>
          <cell r="BL44">
            <v>0</v>
          </cell>
          <cell r="BM44">
            <v>0</v>
          </cell>
          <cell r="BN44">
            <v>0</v>
          </cell>
          <cell r="BO44">
            <v>146901</v>
          </cell>
          <cell r="BP44">
            <v>0</v>
          </cell>
          <cell r="BQ44">
            <v>0</v>
          </cell>
          <cell r="BR44">
            <v>0</v>
          </cell>
          <cell r="BS44">
            <v>0</v>
          </cell>
          <cell r="BT44">
            <v>54890</v>
          </cell>
          <cell r="BY44">
            <v>0</v>
          </cell>
          <cell r="BZ44">
            <v>0</v>
          </cell>
          <cell r="CA44">
            <v>0</v>
          </cell>
          <cell r="CB44">
            <v>0</v>
          </cell>
          <cell r="CC44">
            <v>2461141</v>
          </cell>
          <cell r="CD44">
            <v>14936022</v>
          </cell>
          <cell r="CE44">
            <v>801288</v>
          </cell>
          <cell r="CF44">
            <v>0</v>
          </cell>
          <cell r="CG44">
            <v>801288</v>
          </cell>
          <cell r="CH44">
            <v>801288</v>
          </cell>
          <cell r="CI44">
            <v>801288</v>
          </cell>
          <cell r="CJ44">
            <v>801288</v>
          </cell>
          <cell r="CK44">
            <v>0</v>
          </cell>
          <cell r="CL44">
            <v>0</v>
          </cell>
          <cell r="CM44">
            <v>0</v>
          </cell>
          <cell r="CN44">
            <v>0</v>
          </cell>
          <cell r="CO44">
            <v>0</v>
          </cell>
          <cell r="CP44">
            <v>0</v>
          </cell>
          <cell r="CQ44">
            <v>4520433</v>
          </cell>
          <cell r="CR44">
            <v>4261068</v>
          </cell>
          <cell r="CS44">
            <v>4091136</v>
          </cell>
          <cell r="CT44">
            <v>4007813</v>
          </cell>
          <cell r="CU44">
            <v>3952189</v>
          </cell>
          <cell r="CV44">
            <v>42872</v>
          </cell>
          <cell r="CW44">
            <v>0</v>
          </cell>
          <cell r="CX44">
            <v>0</v>
          </cell>
          <cell r="CY44">
            <v>0</v>
          </cell>
          <cell r="CZ44">
            <v>0</v>
          </cell>
          <cell r="DA44">
            <v>0</v>
          </cell>
          <cell r="DC44">
            <v>0</v>
          </cell>
          <cell r="DD44">
            <v>0</v>
          </cell>
          <cell r="DE44">
            <v>0</v>
          </cell>
          <cell r="DF44">
            <v>0</v>
          </cell>
          <cell r="DG44">
            <v>0</v>
          </cell>
          <cell r="DH44">
            <v>0</v>
          </cell>
          <cell r="DI44">
            <v>0</v>
          </cell>
          <cell r="DJ44">
            <v>0</v>
          </cell>
          <cell r="DK44">
            <v>0</v>
          </cell>
          <cell r="DL44">
            <v>0</v>
          </cell>
        </row>
        <row r="45">
          <cell r="A45">
            <v>1680</v>
          </cell>
          <cell r="B45" t="str">
            <v>Aa en Hunze</v>
          </cell>
          <cell r="C45">
            <v>3</v>
          </cell>
          <cell r="D45">
            <v>-404</v>
          </cell>
          <cell r="E45">
            <v>-202</v>
          </cell>
          <cell r="F45">
            <v>0</v>
          </cell>
          <cell r="G45">
            <v>0</v>
          </cell>
          <cell r="H45">
            <v>-15182</v>
          </cell>
          <cell r="I45">
            <v>-1545</v>
          </cell>
          <cell r="K45">
            <v>0</v>
          </cell>
          <cell r="L45">
            <v>71387</v>
          </cell>
          <cell r="M45">
            <v>67898</v>
          </cell>
          <cell r="N45">
            <v>0</v>
          </cell>
          <cell r="O45">
            <v>0</v>
          </cell>
          <cell r="P45">
            <v>0</v>
          </cell>
          <cell r="Q45">
            <v>0</v>
          </cell>
          <cell r="R45">
            <v>0</v>
          </cell>
          <cell r="S45">
            <v>0</v>
          </cell>
          <cell r="T45">
            <v>0</v>
          </cell>
          <cell r="U45">
            <v>0</v>
          </cell>
          <cell r="V45">
            <v>6000</v>
          </cell>
          <cell r="W45">
            <v>98744</v>
          </cell>
          <cell r="X45">
            <v>0</v>
          </cell>
          <cell r="Z45">
            <v>0</v>
          </cell>
          <cell r="AA45">
            <v>0</v>
          </cell>
          <cell r="AB45">
            <v>0</v>
          </cell>
          <cell r="AD45">
            <v>0</v>
          </cell>
          <cell r="AE45">
            <v>0</v>
          </cell>
          <cell r="AF45">
            <v>0</v>
          </cell>
          <cell r="AG45">
            <v>0</v>
          </cell>
          <cell r="AH45">
            <v>0</v>
          </cell>
          <cell r="AI45">
            <v>0</v>
          </cell>
          <cell r="AJ45">
            <v>0</v>
          </cell>
          <cell r="AK45">
            <v>0</v>
          </cell>
          <cell r="AM45">
            <v>0</v>
          </cell>
          <cell r="AN45">
            <v>0</v>
          </cell>
          <cell r="AO45">
            <v>0</v>
          </cell>
          <cell r="AP45">
            <v>0</v>
          </cell>
          <cell r="AQ45">
            <v>0</v>
          </cell>
          <cell r="AR45">
            <v>0</v>
          </cell>
          <cell r="AS45">
            <v>0</v>
          </cell>
          <cell r="AT45">
            <v>0</v>
          </cell>
          <cell r="AU45">
            <v>0</v>
          </cell>
          <cell r="AV45">
            <v>0</v>
          </cell>
          <cell r="AW45">
            <v>0</v>
          </cell>
          <cell r="AX45">
            <v>0</v>
          </cell>
          <cell r="BA45">
            <v>0</v>
          </cell>
          <cell r="BC45">
            <v>0</v>
          </cell>
          <cell r="BD45">
            <v>8876</v>
          </cell>
          <cell r="BF45">
            <v>0</v>
          </cell>
          <cell r="BG45">
            <v>0</v>
          </cell>
          <cell r="BH45">
            <v>0</v>
          </cell>
          <cell r="BI45">
            <v>31523</v>
          </cell>
          <cell r="BJ45">
            <v>25948</v>
          </cell>
          <cell r="BK45">
            <v>25948</v>
          </cell>
          <cell r="BL45">
            <v>0</v>
          </cell>
          <cell r="BM45">
            <v>0</v>
          </cell>
          <cell r="BN45">
            <v>0</v>
          </cell>
          <cell r="BO45">
            <v>57398</v>
          </cell>
          <cell r="BP45">
            <v>4744.2</v>
          </cell>
          <cell r="BQ45">
            <v>8546.5116279069807</v>
          </cell>
          <cell r="BR45">
            <v>0</v>
          </cell>
          <cell r="BS45">
            <v>0</v>
          </cell>
          <cell r="BT45">
            <v>64826</v>
          </cell>
          <cell r="BY45">
            <v>0</v>
          </cell>
          <cell r="BZ45">
            <v>0</v>
          </cell>
          <cell r="CA45">
            <v>0</v>
          </cell>
          <cell r="CB45">
            <v>0</v>
          </cell>
          <cell r="CC45">
            <v>2107819</v>
          </cell>
          <cell r="CD45">
            <v>9452633</v>
          </cell>
          <cell r="CE45">
            <v>2336901</v>
          </cell>
          <cell r="CF45">
            <v>0</v>
          </cell>
          <cell r="CG45">
            <v>2336901</v>
          </cell>
          <cell r="CH45">
            <v>2336901</v>
          </cell>
          <cell r="CI45">
            <v>2336901</v>
          </cell>
          <cell r="CJ45">
            <v>2336901</v>
          </cell>
          <cell r="CK45">
            <v>0</v>
          </cell>
          <cell r="CL45">
            <v>0</v>
          </cell>
          <cell r="CM45">
            <v>0</v>
          </cell>
          <cell r="CN45">
            <v>0</v>
          </cell>
          <cell r="CO45">
            <v>0</v>
          </cell>
          <cell r="CP45">
            <v>-562</v>
          </cell>
          <cell r="CQ45">
            <v>101149</v>
          </cell>
          <cell r="CR45">
            <v>113634</v>
          </cell>
          <cell r="CS45">
            <v>117125</v>
          </cell>
          <cell r="CT45">
            <v>128402</v>
          </cell>
          <cell r="CU45">
            <v>139647</v>
          </cell>
          <cell r="CV45">
            <v>81949</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row>
        <row r="46">
          <cell r="A46">
            <v>106</v>
          </cell>
          <cell r="B46" t="str">
            <v>Assen</v>
          </cell>
          <cell r="C46">
            <v>3</v>
          </cell>
          <cell r="D46">
            <v>58488</v>
          </cell>
          <cell r="E46">
            <v>29244</v>
          </cell>
          <cell r="F46">
            <v>0</v>
          </cell>
          <cell r="G46">
            <v>137488</v>
          </cell>
          <cell r="H46">
            <v>1686784</v>
          </cell>
          <cell r="I46">
            <v>679309</v>
          </cell>
          <cell r="K46">
            <v>0</v>
          </cell>
          <cell r="L46">
            <v>387059</v>
          </cell>
          <cell r="M46">
            <v>371870</v>
          </cell>
          <cell r="N46">
            <v>0</v>
          </cell>
          <cell r="O46">
            <v>0</v>
          </cell>
          <cell r="P46">
            <v>150000</v>
          </cell>
          <cell r="Q46">
            <v>0</v>
          </cell>
          <cell r="R46">
            <v>0</v>
          </cell>
          <cell r="S46">
            <v>0</v>
          </cell>
          <cell r="T46">
            <v>0</v>
          </cell>
          <cell r="U46">
            <v>0</v>
          </cell>
          <cell r="V46">
            <v>49500</v>
          </cell>
          <cell r="W46">
            <v>273490</v>
          </cell>
          <cell r="X46">
            <v>0</v>
          </cell>
          <cell r="Z46">
            <v>0</v>
          </cell>
          <cell r="AA46">
            <v>0</v>
          </cell>
          <cell r="AB46">
            <v>0</v>
          </cell>
          <cell r="AD46">
            <v>118313</v>
          </cell>
          <cell r="AE46">
            <v>0</v>
          </cell>
          <cell r="AF46">
            <v>0</v>
          </cell>
          <cell r="AG46">
            <v>0</v>
          </cell>
          <cell r="AH46">
            <v>0</v>
          </cell>
          <cell r="AI46">
            <v>148777</v>
          </cell>
          <cell r="AJ46">
            <v>0</v>
          </cell>
          <cell r="AK46">
            <v>0</v>
          </cell>
          <cell r="AM46">
            <v>0</v>
          </cell>
          <cell r="AN46">
            <v>0</v>
          </cell>
          <cell r="AO46">
            <v>0</v>
          </cell>
          <cell r="AP46">
            <v>0</v>
          </cell>
          <cell r="AQ46">
            <v>0</v>
          </cell>
          <cell r="AR46">
            <v>0</v>
          </cell>
          <cell r="AS46">
            <v>0</v>
          </cell>
          <cell r="AT46">
            <v>20000</v>
          </cell>
          <cell r="AU46">
            <v>4740</v>
          </cell>
          <cell r="AV46">
            <v>4684217.1786038904</v>
          </cell>
          <cell r="AW46">
            <v>0</v>
          </cell>
          <cell r="AX46">
            <v>0</v>
          </cell>
          <cell r="BA46">
            <v>0</v>
          </cell>
          <cell r="BC46">
            <v>0</v>
          </cell>
          <cell r="BD46">
            <v>23713</v>
          </cell>
          <cell r="BF46">
            <v>0</v>
          </cell>
          <cell r="BG46">
            <v>0</v>
          </cell>
          <cell r="BH46">
            <v>0</v>
          </cell>
          <cell r="BI46">
            <v>122981</v>
          </cell>
          <cell r="BJ46">
            <v>101232</v>
          </cell>
          <cell r="BK46">
            <v>101232</v>
          </cell>
          <cell r="BL46">
            <v>0</v>
          </cell>
          <cell r="BM46">
            <v>0</v>
          </cell>
          <cell r="BN46">
            <v>197890</v>
          </cell>
          <cell r="BO46">
            <v>217433</v>
          </cell>
          <cell r="BP46">
            <v>23721</v>
          </cell>
          <cell r="BQ46">
            <v>42732.5581395349</v>
          </cell>
          <cell r="BR46">
            <v>0</v>
          </cell>
          <cell r="BS46">
            <v>0</v>
          </cell>
          <cell r="BT46">
            <v>123179</v>
          </cell>
          <cell r="BY46">
            <v>0</v>
          </cell>
          <cell r="BZ46">
            <v>0</v>
          </cell>
          <cell r="CA46">
            <v>0</v>
          </cell>
          <cell r="CB46">
            <v>0</v>
          </cell>
          <cell r="CC46">
            <v>5913676</v>
          </cell>
          <cell r="CD46">
            <v>73726450</v>
          </cell>
          <cell r="CE46">
            <v>4703499</v>
          </cell>
          <cell r="CF46">
            <v>0</v>
          </cell>
          <cell r="CG46">
            <v>4703499</v>
          </cell>
          <cell r="CH46">
            <v>4703499</v>
          </cell>
          <cell r="CI46">
            <v>4703499</v>
          </cell>
          <cell r="CJ46">
            <v>4703499</v>
          </cell>
          <cell r="CK46">
            <v>40999033</v>
          </cell>
          <cell r="CL46">
            <v>40978516</v>
          </cell>
          <cell r="CM46">
            <v>40978184</v>
          </cell>
          <cell r="CN46">
            <v>40977454</v>
          </cell>
          <cell r="CO46">
            <v>40978466</v>
          </cell>
          <cell r="CP46">
            <v>0</v>
          </cell>
          <cell r="CQ46">
            <v>738799</v>
          </cell>
          <cell r="CR46">
            <v>826120</v>
          </cell>
          <cell r="CS46">
            <v>852464</v>
          </cell>
          <cell r="CT46">
            <v>931601</v>
          </cell>
          <cell r="CU46">
            <v>1010466</v>
          </cell>
          <cell r="CV46">
            <v>73863</v>
          </cell>
          <cell r="CW46">
            <v>0</v>
          </cell>
          <cell r="CX46">
            <v>0</v>
          </cell>
          <cell r="CY46">
            <v>0</v>
          </cell>
          <cell r="CZ46">
            <v>0</v>
          </cell>
          <cell r="DA46">
            <v>0</v>
          </cell>
          <cell r="DC46">
            <v>0</v>
          </cell>
          <cell r="DD46">
            <v>0</v>
          </cell>
          <cell r="DE46">
            <v>0</v>
          </cell>
          <cell r="DF46">
            <v>0</v>
          </cell>
          <cell r="DG46">
            <v>0</v>
          </cell>
          <cell r="DH46">
            <v>0</v>
          </cell>
          <cell r="DI46">
            <v>0</v>
          </cell>
          <cell r="DJ46">
            <v>0</v>
          </cell>
          <cell r="DK46">
            <v>0</v>
          </cell>
          <cell r="DL46">
            <v>0</v>
          </cell>
        </row>
        <row r="47">
          <cell r="A47">
            <v>1681</v>
          </cell>
          <cell r="B47" t="str">
            <v>Borger-Odoorn</v>
          </cell>
          <cell r="C47">
            <v>3</v>
          </cell>
          <cell r="D47">
            <v>65108</v>
          </cell>
          <cell r="E47">
            <v>32554</v>
          </cell>
          <cell r="F47">
            <v>0</v>
          </cell>
          <cell r="G47">
            <v>0</v>
          </cell>
          <cell r="H47">
            <v>-43029</v>
          </cell>
          <cell r="I47">
            <v>-16678</v>
          </cell>
          <cell r="K47">
            <v>0</v>
          </cell>
          <cell r="L47">
            <v>100993</v>
          </cell>
          <cell r="M47">
            <v>92872</v>
          </cell>
          <cell r="N47">
            <v>0</v>
          </cell>
          <cell r="O47">
            <v>0</v>
          </cell>
          <cell r="P47">
            <v>0</v>
          </cell>
          <cell r="Q47">
            <v>0</v>
          </cell>
          <cell r="R47">
            <v>0</v>
          </cell>
          <cell r="S47">
            <v>0</v>
          </cell>
          <cell r="T47">
            <v>0</v>
          </cell>
          <cell r="U47">
            <v>0</v>
          </cell>
          <cell r="V47">
            <v>6000</v>
          </cell>
          <cell r="W47">
            <v>102048</v>
          </cell>
          <cell r="X47">
            <v>0</v>
          </cell>
          <cell r="Z47">
            <v>0</v>
          </cell>
          <cell r="AA47">
            <v>0</v>
          </cell>
          <cell r="AB47">
            <v>0</v>
          </cell>
          <cell r="AD47">
            <v>85068</v>
          </cell>
          <cell r="AE47">
            <v>0</v>
          </cell>
          <cell r="AF47">
            <v>0</v>
          </cell>
          <cell r="AG47">
            <v>0</v>
          </cell>
          <cell r="AH47">
            <v>0</v>
          </cell>
          <cell r="AI47">
            <v>0</v>
          </cell>
          <cell r="AJ47">
            <v>0</v>
          </cell>
          <cell r="AK47">
            <v>0</v>
          </cell>
          <cell r="AM47">
            <v>0</v>
          </cell>
          <cell r="AN47">
            <v>0</v>
          </cell>
          <cell r="AO47">
            <v>0</v>
          </cell>
          <cell r="AP47">
            <v>0</v>
          </cell>
          <cell r="AQ47">
            <v>0</v>
          </cell>
          <cell r="AR47">
            <v>0</v>
          </cell>
          <cell r="AS47">
            <v>0</v>
          </cell>
          <cell r="AT47">
            <v>0</v>
          </cell>
          <cell r="AU47">
            <v>2370</v>
          </cell>
          <cell r="AV47">
            <v>0</v>
          </cell>
          <cell r="AW47">
            <v>0</v>
          </cell>
          <cell r="AX47">
            <v>0</v>
          </cell>
          <cell r="BA47">
            <v>0</v>
          </cell>
          <cell r="BC47">
            <v>0</v>
          </cell>
          <cell r="BD47">
            <v>8901</v>
          </cell>
          <cell r="BF47">
            <v>0</v>
          </cell>
          <cell r="BG47">
            <v>0</v>
          </cell>
          <cell r="BH47">
            <v>0</v>
          </cell>
          <cell r="BI47">
            <v>38139</v>
          </cell>
          <cell r="BJ47">
            <v>31394</v>
          </cell>
          <cell r="BK47">
            <v>31394</v>
          </cell>
          <cell r="BL47">
            <v>0</v>
          </cell>
          <cell r="BM47">
            <v>0</v>
          </cell>
          <cell r="BN47">
            <v>0</v>
          </cell>
          <cell r="BO47">
            <v>74423</v>
          </cell>
          <cell r="BP47">
            <v>4744.2</v>
          </cell>
          <cell r="BQ47">
            <v>8546.5116279069807</v>
          </cell>
          <cell r="BR47">
            <v>0</v>
          </cell>
          <cell r="BS47">
            <v>0</v>
          </cell>
          <cell r="BT47">
            <v>68946</v>
          </cell>
          <cell r="BY47">
            <v>0</v>
          </cell>
          <cell r="BZ47">
            <v>0</v>
          </cell>
          <cell r="CA47">
            <v>0</v>
          </cell>
          <cell r="CB47">
            <v>0</v>
          </cell>
          <cell r="CC47">
            <v>2241392</v>
          </cell>
          <cell r="CD47">
            <v>15158707</v>
          </cell>
          <cell r="CE47">
            <v>1516965</v>
          </cell>
          <cell r="CF47">
            <v>0</v>
          </cell>
          <cell r="CG47">
            <v>1516965</v>
          </cell>
          <cell r="CH47">
            <v>1516965</v>
          </cell>
          <cell r="CI47">
            <v>1516965</v>
          </cell>
          <cell r="CJ47">
            <v>1516965</v>
          </cell>
          <cell r="CK47">
            <v>0</v>
          </cell>
          <cell r="CL47">
            <v>0</v>
          </cell>
          <cell r="CM47">
            <v>0</v>
          </cell>
          <cell r="CN47">
            <v>0</v>
          </cell>
          <cell r="CO47">
            <v>0</v>
          </cell>
          <cell r="CP47">
            <v>-6054</v>
          </cell>
          <cell r="CQ47">
            <v>4638091</v>
          </cell>
          <cell r="CR47">
            <v>4379441</v>
          </cell>
          <cell r="CS47">
            <v>4312300</v>
          </cell>
          <cell r="CT47">
            <v>4229353</v>
          </cell>
          <cell r="CU47">
            <v>4112668</v>
          </cell>
          <cell r="CV47">
            <v>46439</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row>
        <row r="48">
          <cell r="A48">
            <v>109</v>
          </cell>
          <cell r="B48" t="str">
            <v>Coevorden</v>
          </cell>
          <cell r="C48">
            <v>3</v>
          </cell>
          <cell r="D48">
            <v>74921</v>
          </cell>
          <cell r="E48">
            <v>37461</v>
          </cell>
          <cell r="F48">
            <v>0</v>
          </cell>
          <cell r="G48">
            <v>0</v>
          </cell>
          <cell r="H48">
            <v>-44248</v>
          </cell>
          <cell r="I48">
            <v>0</v>
          </cell>
          <cell r="K48">
            <v>0</v>
          </cell>
          <cell r="L48">
            <v>178588</v>
          </cell>
          <cell r="M48">
            <v>176460</v>
          </cell>
          <cell r="N48">
            <v>0</v>
          </cell>
          <cell r="O48">
            <v>0</v>
          </cell>
          <cell r="P48">
            <v>0</v>
          </cell>
          <cell r="Q48">
            <v>0</v>
          </cell>
          <cell r="R48">
            <v>0</v>
          </cell>
          <cell r="S48">
            <v>0</v>
          </cell>
          <cell r="T48">
            <v>0</v>
          </cell>
          <cell r="U48">
            <v>0</v>
          </cell>
          <cell r="V48">
            <v>0</v>
          </cell>
          <cell r="W48">
            <v>62227</v>
          </cell>
          <cell r="X48">
            <v>0</v>
          </cell>
          <cell r="Z48">
            <v>0</v>
          </cell>
          <cell r="AA48">
            <v>0</v>
          </cell>
          <cell r="AB48">
            <v>0</v>
          </cell>
          <cell r="AD48">
            <v>96802</v>
          </cell>
          <cell r="AE48">
            <v>0</v>
          </cell>
          <cell r="AF48">
            <v>0</v>
          </cell>
          <cell r="AG48">
            <v>0</v>
          </cell>
          <cell r="AH48">
            <v>0</v>
          </cell>
          <cell r="AI48">
            <v>0</v>
          </cell>
          <cell r="AJ48">
            <v>0</v>
          </cell>
          <cell r="AK48">
            <v>0</v>
          </cell>
          <cell r="AM48">
            <v>0</v>
          </cell>
          <cell r="AN48">
            <v>0</v>
          </cell>
          <cell r="AO48">
            <v>0</v>
          </cell>
          <cell r="AP48">
            <v>0</v>
          </cell>
          <cell r="AQ48">
            <v>0</v>
          </cell>
          <cell r="AR48">
            <v>0</v>
          </cell>
          <cell r="AS48">
            <v>0</v>
          </cell>
          <cell r="AT48">
            <v>0</v>
          </cell>
          <cell r="AU48">
            <v>11850</v>
          </cell>
          <cell r="AV48">
            <v>0</v>
          </cell>
          <cell r="AW48">
            <v>0</v>
          </cell>
          <cell r="AX48">
            <v>0</v>
          </cell>
          <cell r="BA48">
            <v>0</v>
          </cell>
          <cell r="BC48">
            <v>0</v>
          </cell>
          <cell r="BD48">
            <v>12387</v>
          </cell>
          <cell r="BF48">
            <v>0</v>
          </cell>
          <cell r="BG48">
            <v>0</v>
          </cell>
          <cell r="BH48">
            <v>0</v>
          </cell>
          <cell r="BI48">
            <v>57620</v>
          </cell>
          <cell r="BJ48">
            <v>47430</v>
          </cell>
          <cell r="BK48">
            <v>47430</v>
          </cell>
          <cell r="BL48">
            <v>0</v>
          </cell>
          <cell r="BM48">
            <v>0</v>
          </cell>
          <cell r="BN48">
            <v>0</v>
          </cell>
          <cell r="BO48">
            <v>189220</v>
          </cell>
          <cell r="BP48">
            <v>22139.599999999999</v>
          </cell>
          <cell r="BQ48">
            <v>39883.720930232601</v>
          </cell>
          <cell r="BR48">
            <v>0</v>
          </cell>
          <cell r="BS48">
            <v>0</v>
          </cell>
          <cell r="BT48">
            <v>80388</v>
          </cell>
          <cell r="BY48">
            <v>0</v>
          </cell>
          <cell r="BZ48">
            <v>0</v>
          </cell>
          <cell r="CA48">
            <v>0</v>
          </cell>
          <cell r="CB48">
            <v>0</v>
          </cell>
          <cell r="CC48">
            <v>3248208</v>
          </cell>
          <cell r="CD48">
            <v>18575151</v>
          </cell>
          <cell r="CE48">
            <v>926968</v>
          </cell>
          <cell r="CF48">
            <v>0</v>
          </cell>
          <cell r="CG48">
            <v>926968</v>
          </cell>
          <cell r="CH48">
            <v>926968</v>
          </cell>
          <cell r="CI48">
            <v>926968</v>
          </cell>
          <cell r="CJ48">
            <v>926968</v>
          </cell>
          <cell r="CK48">
            <v>0</v>
          </cell>
          <cell r="CL48">
            <v>0</v>
          </cell>
          <cell r="CM48">
            <v>0</v>
          </cell>
          <cell r="CN48">
            <v>0</v>
          </cell>
          <cell r="CO48">
            <v>0</v>
          </cell>
          <cell r="CP48">
            <v>0</v>
          </cell>
          <cell r="CQ48">
            <v>4078561</v>
          </cell>
          <cell r="CR48">
            <v>3848121</v>
          </cell>
          <cell r="CS48">
            <v>3766728</v>
          </cell>
          <cell r="CT48">
            <v>3654643</v>
          </cell>
          <cell r="CU48">
            <v>3615290</v>
          </cell>
          <cell r="CV48">
            <v>-9775</v>
          </cell>
          <cell r="CW48">
            <v>0</v>
          </cell>
          <cell r="CX48">
            <v>0</v>
          </cell>
          <cell r="CY48">
            <v>0</v>
          </cell>
          <cell r="CZ48">
            <v>0</v>
          </cell>
          <cell r="DA48">
            <v>0</v>
          </cell>
          <cell r="DC48">
            <v>0</v>
          </cell>
          <cell r="DD48">
            <v>0</v>
          </cell>
          <cell r="DE48">
            <v>0</v>
          </cell>
          <cell r="DF48">
            <v>0</v>
          </cell>
          <cell r="DG48">
            <v>0</v>
          </cell>
          <cell r="DH48">
            <v>0</v>
          </cell>
          <cell r="DI48">
            <v>0</v>
          </cell>
          <cell r="DJ48">
            <v>0</v>
          </cell>
          <cell r="DK48">
            <v>0</v>
          </cell>
          <cell r="DL48">
            <v>0</v>
          </cell>
        </row>
        <row r="49">
          <cell r="A49">
            <v>1690</v>
          </cell>
          <cell r="B49" t="str">
            <v>De Wolden</v>
          </cell>
          <cell r="C49">
            <v>3</v>
          </cell>
          <cell r="D49">
            <v>19716</v>
          </cell>
          <cell r="E49">
            <v>9858</v>
          </cell>
          <cell r="F49">
            <v>0</v>
          </cell>
          <cell r="G49">
            <v>0</v>
          </cell>
          <cell r="H49">
            <v>-23149</v>
          </cell>
          <cell r="I49">
            <v>-7353</v>
          </cell>
          <cell r="K49">
            <v>0</v>
          </cell>
          <cell r="L49">
            <v>72004</v>
          </cell>
          <cell r="M49">
            <v>74969</v>
          </cell>
          <cell r="N49">
            <v>0</v>
          </cell>
          <cell r="O49">
            <v>0</v>
          </cell>
          <cell r="P49">
            <v>0</v>
          </cell>
          <cell r="Q49">
            <v>0</v>
          </cell>
          <cell r="R49">
            <v>0</v>
          </cell>
          <cell r="S49">
            <v>0</v>
          </cell>
          <cell r="T49">
            <v>0</v>
          </cell>
          <cell r="U49">
            <v>0</v>
          </cell>
          <cell r="V49">
            <v>6000</v>
          </cell>
          <cell r="W49">
            <v>98161</v>
          </cell>
          <cell r="X49">
            <v>0</v>
          </cell>
          <cell r="Z49">
            <v>0</v>
          </cell>
          <cell r="AA49">
            <v>0</v>
          </cell>
          <cell r="AB49">
            <v>0</v>
          </cell>
          <cell r="AD49">
            <v>20000</v>
          </cell>
          <cell r="AE49">
            <v>0</v>
          </cell>
          <cell r="AF49">
            <v>0</v>
          </cell>
          <cell r="AG49">
            <v>0</v>
          </cell>
          <cell r="AH49">
            <v>0</v>
          </cell>
          <cell r="AI49">
            <v>0</v>
          </cell>
          <cell r="AJ49">
            <v>0</v>
          </cell>
          <cell r="AK49">
            <v>0</v>
          </cell>
          <cell r="AM49">
            <v>0</v>
          </cell>
          <cell r="AN49">
            <v>0</v>
          </cell>
          <cell r="AO49">
            <v>0</v>
          </cell>
          <cell r="AP49">
            <v>0</v>
          </cell>
          <cell r="AQ49">
            <v>0</v>
          </cell>
          <cell r="AR49">
            <v>0</v>
          </cell>
          <cell r="AS49">
            <v>0</v>
          </cell>
          <cell r="AT49">
            <v>0</v>
          </cell>
          <cell r="AU49">
            <v>0</v>
          </cell>
          <cell r="AV49">
            <v>0</v>
          </cell>
          <cell r="AW49">
            <v>0</v>
          </cell>
          <cell r="AX49">
            <v>0</v>
          </cell>
          <cell r="BA49">
            <v>0</v>
          </cell>
          <cell r="BC49">
            <v>0</v>
          </cell>
          <cell r="BD49">
            <v>8335</v>
          </cell>
          <cell r="BF49">
            <v>0</v>
          </cell>
          <cell r="BG49">
            <v>0</v>
          </cell>
          <cell r="BH49">
            <v>0</v>
          </cell>
          <cell r="BI49">
            <v>28463</v>
          </cell>
          <cell r="BJ49">
            <v>23429</v>
          </cell>
          <cell r="BK49">
            <v>23429</v>
          </cell>
          <cell r="BL49">
            <v>0</v>
          </cell>
          <cell r="BM49">
            <v>0</v>
          </cell>
          <cell r="BN49">
            <v>0</v>
          </cell>
          <cell r="BO49">
            <v>128903</v>
          </cell>
          <cell r="BP49">
            <v>0</v>
          </cell>
          <cell r="BQ49">
            <v>0</v>
          </cell>
          <cell r="BR49">
            <v>0</v>
          </cell>
          <cell r="BS49">
            <v>0</v>
          </cell>
          <cell r="BT49">
            <v>51128</v>
          </cell>
          <cell r="BY49">
            <v>0</v>
          </cell>
          <cell r="BZ49">
            <v>0</v>
          </cell>
          <cell r="CA49">
            <v>0</v>
          </cell>
          <cell r="CB49">
            <v>0</v>
          </cell>
          <cell r="CC49">
            <v>1900624</v>
          </cell>
          <cell r="CD49">
            <v>8128449</v>
          </cell>
          <cell r="CE49">
            <v>510448</v>
          </cell>
          <cell r="CF49">
            <v>-17720</v>
          </cell>
          <cell r="CG49">
            <v>510448</v>
          </cell>
          <cell r="CH49">
            <v>510448</v>
          </cell>
          <cell r="CI49">
            <v>510448</v>
          </cell>
          <cell r="CJ49">
            <v>510448</v>
          </cell>
          <cell r="CK49">
            <v>0</v>
          </cell>
          <cell r="CL49">
            <v>0</v>
          </cell>
          <cell r="CM49">
            <v>0</v>
          </cell>
          <cell r="CN49">
            <v>0</v>
          </cell>
          <cell r="CO49">
            <v>0</v>
          </cell>
          <cell r="CP49">
            <v>0</v>
          </cell>
          <cell r="CQ49">
            <v>1145072</v>
          </cell>
          <cell r="CR49">
            <v>1094280</v>
          </cell>
          <cell r="CS49">
            <v>1023288</v>
          </cell>
          <cell r="CT49">
            <v>966172</v>
          </cell>
          <cell r="CU49">
            <v>922333</v>
          </cell>
          <cell r="CV49">
            <v>24002</v>
          </cell>
          <cell r="CW49">
            <v>0</v>
          </cell>
          <cell r="CX49">
            <v>0</v>
          </cell>
          <cell r="CY49">
            <v>0</v>
          </cell>
          <cell r="CZ49">
            <v>0</v>
          </cell>
          <cell r="DA49">
            <v>0</v>
          </cell>
          <cell r="DC49">
            <v>0</v>
          </cell>
          <cell r="DD49">
            <v>0</v>
          </cell>
          <cell r="DE49">
            <v>0</v>
          </cell>
          <cell r="DF49">
            <v>0</v>
          </cell>
          <cell r="DG49">
            <v>0</v>
          </cell>
          <cell r="DH49">
            <v>0</v>
          </cell>
          <cell r="DI49">
            <v>0</v>
          </cell>
          <cell r="DJ49">
            <v>0</v>
          </cell>
          <cell r="DK49">
            <v>0</v>
          </cell>
          <cell r="DL49">
            <v>0</v>
          </cell>
        </row>
        <row r="50">
          <cell r="A50">
            <v>114</v>
          </cell>
          <cell r="B50" t="str">
            <v>Emmen</v>
          </cell>
          <cell r="C50">
            <v>3</v>
          </cell>
          <cell r="D50">
            <v>417459</v>
          </cell>
          <cell r="E50">
            <v>208730</v>
          </cell>
          <cell r="F50">
            <v>0</v>
          </cell>
          <cell r="G50">
            <v>0</v>
          </cell>
          <cell r="H50">
            <v>-152203</v>
          </cell>
          <cell r="I50">
            <v>-2576</v>
          </cell>
          <cell r="K50">
            <v>7500</v>
          </cell>
          <cell r="L50">
            <v>663138</v>
          </cell>
          <cell r="M50">
            <v>637941</v>
          </cell>
          <cell r="N50">
            <v>0</v>
          </cell>
          <cell r="O50">
            <v>0</v>
          </cell>
          <cell r="P50">
            <v>150000</v>
          </cell>
          <cell r="Q50">
            <v>0</v>
          </cell>
          <cell r="R50">
            <v>0</v>
          </cell>
          <cell r="S50">
            <v>1805019</v>
          </cell>
          <cell r="T50">
            <v>1805019</v>
          </cell>
          <cell r="U50">
            <v>1805019</v>
          </cell>
          <cell r="V50">
            <v>72000</v>
          </cell>
          <cell r="W50">
            <v>415580</v>
          </cell>
          <cell r="X50">
            <v>0</v>
          </cell>
          <cell r="Z50">
            <v>0</v>
          </cell>
          <cell r="AA50">
            <v>40000</v>
          </cell>
          <cell r="AB50">
            <v>0</v>
          </cell>
          <cell r="AD50">
            <v>402853</v>
          </cell>
          <cell r="AE50">
            <v>0</v>
          </cell>
          <cell r="AF50">
            <v>0</v>
          </cell>
          <cell r="AG50">
            <v>0</v>
          </cell>
          <cell r="AH50">
            <v>0</v>
          </cell>
          <cell r="AI50">
            <v>0</v>
          </cell>
          <cell r="AJ50">
            <v>0</v>
          </cell>
          <cell r="AK50">
            <v>82888</v>
          </cell>
          <cell r="AM50">
            <v>0</v>
          </cell>
          <cell r="AN50">
            <v>0</v>
          </cell>
          <cell r="AO50">
            <v>0</v>
          </cell>
          <cell r="AP50">
            <v>0</v>
          </cell>
          <cell r="AQ50">
            <v>0</v>
          </cell>
          <cell r="AR50">
            <v>0</v>
          </cell>
          <cell r="AS50">
            <v>0</v>
          </cell>
          <cell r="AT50">
            <v>0</v>
          </cell>
          <cell r="AU50">
            <v>11850</v>
          </cell>
          <cell r="AV50">
            <v>3228341.69270535</v>
          </cell>
          <cell r="AW50">
            <v>80000</v>
          </cell>
          <cell r="AX50">
            <v>0</v>
          </cell>
          <cell r="BA50">
            <v>0</v>
          </cell>
          <cell r="BC50">
            <v>0</v>
          </cell>
          <cell r="BD50">
            <v>37733</v>
          </cell>
          <cell r="BF50">
            <v>0</v>
          </cell>
          <cell r="BG50">
            <v>0</v>
          </cell>
          <cell r="BH50">
            <v>0</v>
          </cell>
          <cell r="BI50">
            <v>217747</v>
          </cell>
          <cell r="BJ50">
            <v>179238</v>
          </cell>
          <cell r="BK50">
            <v>179238</v>
          </cell>
          <cell r="BL50">
            <v>0</v>
          </cell>
          <cell r="BM50">
            <v>0</v>
          </cell>
          <cell r="BN50">
            <v>0</v>
          </cell>
          <cell r="BO50">
            <v>810875</v>
          </cell>
          <cell r="BP50">
            <v>39535</v>
          </cell>
          <cell r="BQ50">
            <v>71220.930232558094</v>
          </cell>
          <cell r="BR50">
            <v>0</v>
          </cell>
          <cell r="BS50">
            <v>0</v>
          </cell>
          <cell r="BT50">
            <v>215514</v>
          </cell>
          <cell r="BY50">
            <v>2831539.0244533899</v>
          </cell>
          <cell r="BZ50">
            <v>3261677.1421955898</v>
          </cell>
          <cell r="CA50">
            <v>3298422.6095404001</v>
          </cell>
          <cell r="CB50">
            <v>3402174.5173375099</v>
          </cell>
          <cell r="CC50">
            <v>11104184</v>
          </cell>
          <cell r="CD50">
            <v>101149084</v>
          </cell>
          <cell r="CE50">
            <v>5970966</v>
          </cell>
          <cell r="CF50">
            <v>-6245</v>
          </cell>
          <cell r="CG50">
            <v>5970966</v>
          </cell>
          <cell r="CH50">
            <v>5970966</v>
          </cell>
          <cell r="CI50">
            <v>5970966</v>
          </cell>
          <cell r="CJ50">
            <v>5970966</v>
          </cell>
          <cell r="CK50">
            <v>21889294</v>
          </cell>
          <cell r="CL50">
            <v>21878308</v>
          </cell>
          <cell r="CM50">
            <v>21878130</v>
          </cell>
          <cell r="CN50">
            <v>21877739</v>
          </cell>
          <cell r="CO50">
            <v>21878281</v>
          </cell>
          <cell r="CP50">
            <v>0</v>
          </cell>
          <cell r="CQ50">
            <v>24753727</v>
          </cell>
          <cell r="CR50">
            <v>23291987</v>
          </cell>
          <cell r="CS50">
            <v>22436038</v>
          </cell>
          <cell r="CT50">
            <v>21604410</v>
          </cell>
          <cell r="CU50">
            <v>20900312</v>
          </cell>
          <cell r="CV50">
            <v>-105933</v>
          </cell>
          <cell r="CW50">
            <v>0</v>
          </cell>
          <cell r="CX50">
            <v>0</v>
          </cell>
          <cell r="CY50">
            <v>0</v>
          </cell>
          <cell r="CZ50">
            <v>0</v>
          </cell>
          <cell r="DA50">
            <v>0</v>
          </cell>
          <cell r="DC50">
            <v>0</v>
          </cell>
          <cell r="DD50">
            <v>0</v>
          </cell>
          <cell r="DE50">
            <v>0</v>
          </cell>
          <cell r="DF50">
            <v>0</v>
          </cell>
          <cell r="DG50">
            <v>0</v>
          </cell>
          <cell r="DH50">
            <v>0</v>
          </cell>
          <cell r="DI50">
            <v>0</v>
          </cell>
          <cell r="DJ50">
            <v>0</v>
          </cell>
          <cell r="DK50">
            <v>0</v>
          </cell>
          <cell r="DL50">
            <v>0</v>
          </cell>
        </row>
        <row r="51">
          <cell r="A51">
            <v>118</v>
          </cell>
          <cell r="B51" t="str">
            <v>Hoogeveen</v>
          </cell>
          <cell r="C51">
            <v>3</v>
          </cell>
          <cell r="D51">
            <v>86899</v>
          </cell>
          <cell r="E51">
            <v>43450</v>
          </cell>
          <cell r="F51">
            <v>0</v>
          </cell>
          <cell r="G51">
            <v>0</v>
          </cell>
          <cell r="H51">
            <v>461540</v>
          </cell>
          <cell r="I51">
            <v>0</v>
          </cell>
          <cell r="K51">
            <v>0</v>
          </cell>
          <cell r="L51">
            <v>297129</v>
          </cell>
          <cell r="M51">
            <v>290402</v>
          </cell>
          <cell r="N51">
            <v>0</v>
          </cell>
          <cell r="O51">
            <v>0</v>
          </cell>
          <cell r="P51">
            <v>0</v>
          </cell>
          <cell r="Q51">
            <v>0</v>
          </cell>
          <cell r="R51">
            <v>0</v>
          </cell>
          <cell r="S51">
            <v>0</v>
          </cell>
          <cell r="T51">
            <v>0</v>
          </cell>
          <cell r="U51">
            <v>0</v>
          </cell>
          <cell r="V51">
            <v>9000</v>
          </cell>
          <cell r="W51">
            <v>216926</v>
          </cell>
          <cell r="X51">
            <v>0</v>
          </cell>
          <cell r="Z51">
            <v>0</v>
          </cell>
          <cell r="AA51">
            <v>0</v>
          </cell>
          <cell r="AB51">
            <v>0</v>
          </cell>
          <cell r="AD51">
            <v>173070</v>
          </cell>
          <cell r="AE51">
            <v>0</v>
          </cell>
          <cell r="AF51">
            <v>0</v>
          </cell>
          <cell r="AG51">
            <v>0</v>
          </cell>
          <cell r="AH51">
            <v>0</v>
          </cell>
          <cell r="AI51">
            <v>0</v>
          </cell>
          <cell r="AJ51">
            <v>0</v>
          </cell>
          <cell r="AK51">
            <v>0</v>
          </cell>
          <cell r="AM51">
            <v>0</v>
          </cell>
          <cell r="AN51">
            <v>0</v>
          </cell>
          <cell r="AO51">
            <v>0</v>
          </cell>
          <cell r="AP51">
            <v>0</v>
          </cell>
          <cell r="AQ51">
            <v>0</v>
          </cell>
          <cell r="AR51">
            <v>0</v>
          </cell>
          <cell r="AS51">
            <v>0</v>
          </cell>
          <cell r="AT51">
            <v>0</v>
          </cell>
          <cell r="AU51">
            <v>0</v>
          </cell>
          <cell r="AV51">
            <v>0</v>
          </cell>
          <cell r="AW51">
            <v>0</v>
          </cell>
          <cell r="AX51">
            <v>0</v>
          </cell>
          <cell r="BA51">
            <v>0</v>
          </cell>
          <cell r="BC51">
            <v>0</v>
          </cell>
          <cell r="BD51">
            <v>19416</v>
          </cell>
          <cell r="BF51">
            <v>0</v>
          </cell>
          <cell r="BG51">
            <v>0</v>
          </cell>
          <cell r="BH51">
            <v>0</v>
          </cell>
          <cell r="BI51">
            <v>105121</v>
          </cell>
          <cell r="BJ51">
            <v>86530</v>
          </cell>
          <cell r="BK51">
            <v>86530</v>
          </cell>
          <cell r="BL51">
            <v>0</v>
          </cell>
          <cell r="BM51">
            <v>0</v>
          </cell>
          <cell r="BN51">
            <v>0</v>
          </cell>
          <cell r="BO51">
            <v>177060</v>
          </cell>
          <cell r="BP51">
            <v>34790.800000000003</v>
          </cell>
          <cell r="BQ51">
            <v>62674.418604651197</v>
          </cell>
          <cell r="BR51">
            <v>0</v>
          </cell>
          <cell r="BS51">
            <v>0</v>
          </cell>
          <cell r="BT51">
            <v>104642</v>
          </cell>
          <cell r="BY51">
            <v>0</v>
          </cell>
          <cell r="BZ51">
            <v>0</v>
          </cell>
          <cell r="CA51">
            <v>0</v>
          </cell>
          <cell r="CB51">
            <v>0</v>
          </cell>
          <cell r="CC51">
            <v>5528813</v>
          </cell>
          <cell r="CD51">
            <v>65735511</v>
          </cell>
          <cell r="CE51">
            <v>3554295</v>
          </cell>
          <cell r="CF51">
            <v>0</v>
          </cell>
          <cell r="CG51">
            <v>3554295</v>
          </cell>
          <cell r="CH51">
            <v>3554295</v>
          </cell>
          <cell r="CI51">
            <v>3554295</v>
          </cell>
          <cell r="CJ51">
            <v>3554295</v>
          </cell>
          <cell r="CK51">
            <v>0</v>
          </cell>
          <cell r="CL51">
            <v>0</v>
          </cell>
          <cell r="CM51">
            <v>0</v>
          </cell>
          <cell r="CN51">
            <v>0</v>
          </cell>
          <cell r="CO51">
            <v>0</v>
          </cell>
          <cell r="CP51">
            <v>0</v>
          </cell>
          <cell r="CQ51">
            <v>36519300</v>
          </cell>
          <cell r="CR51">
            <v>34443132</v>
          </cell>
          <cell r="CS51">
            <v>33387371</v>
          </cell>
          <cell r="CT51">
            <v>32397822</v>
          </cell>
          <cell r="CU51">
            <v>31367071</v>
          </cell>
          <cell r="CV51">
            <v>-175320</v>
          </cell>
          <cell r="CW51">
            <v>0</v>
          </cell>
          <cell r="CX51">
            <v>0</v>
          </cell>
          <cell r="CY51">
            <v>0</v>
          </cell>
          <cell r="CZ51">
            <v>0</v>
          </cell>
          <cell r="DA51">
            <v>0</v>
          </cell>
          <cell r="DC51">
            <v>0</v>
          </cell>
          <cell r="DD51">
            <v>0</v>
          </cell>
          <cell r="DE51">
            <v>0</v>
          </cell>
          <cell r="DF51">
            <v>0</v>
          </cell>
          <cell r="DG51">
            <v>0</v>
          </cell>
          <cell r="DH51">
            <v>0</v>
          </cell>
          <cell r="DI51">
            <v>0</v>
          </cell>
          <cell r="DJ51">
            <v>0</v>
          </cell>
          <cell r="DK51">
            <v>0</v>
          </cell>
          <cell r="DL51">
            <v>0</v>
          </cell>
        </row>
        <row r="52">
          <cell r="A52">
            <v>119</v>
          </cell>
          <cell r="B52" t="str">
            <v>Meppel</v>
          </cell>
          <cell r="C52">
            <v>3</v>
          </cell>
          <cell r="D52">
            <v>-6158</v>
          </cell>
          <cell r="E52">
            <v>-3079</v>
          </cell>
          <cell r="F52">
            <v>0</v>
          </cell>
          <cell r="G52">
            <v>0</v>
          </cell>
          <cell r="H52">
            <v>-40227</v>
          </cell>
          <cell r="I52">
            <v>-21953</v>
          </cell>
          <cell r="K52">
            <v>0</v>
          </cell>
          <cell r="L52">
            <v>151808</v>
          </cell>
          <cell r="M52">
            <v>138321</v>
          </cell>
          <cell r="N52">
            <v>0</v>
          </cell>
          <cell r="O52">
            <v>0</v>
          </cell>
          <cell r="P52">
            <v>0</v>
          </cell>
          <cell r="Q52">
            <v>0</v>
          </cell>
          <cell r="R52">
            <v>0</v>
          </cell>
          <cell r="S52">
            <v>0</v>
          </cell>
          <cell r="T52">
            <v>0</v>
          </cell>
          <cell r="U52">
            <v>0</v>
          </cell>
          <cell r="V52">
            <v>0</v>
          </cell>
          <cell r="W52">
            <v>124985</v>
          </cell>
          <cell r="X52">
            <v>0</v>
          </cell>
          <cell r="Z52">
            <v>0</v>
          </cell>
          <cell r="AA52">
            <v>0</v>
          </cell>
          <cell r="AB52">
            <v>0</v>
          </cell>
          <cell r="AD52">
            <v>22489</v>
          </cell>
          <cell r="AE52">
            <v>0</v>
          </cell>
          <cell r="AF52">
            <v>0</v>
          </cell>
          <cell r="AG52">
            <v>0</v>
          </cell>
          <cell r="AH52">
            <v>0</v>
          </cell>
          <cell r="AI52">
            <v>0</v>
          </cell>
          <cell r="AJ52">
            <v>0</v>
          </cell>
          <cell r="AK52">
            <v>0</v>
          </cell>
          <cell r="AM52">
            <v>0</v>
          </cell>
          <cell r="AN52">
            <v>0</v>
          </cell>
          <cell r="AO52">
            <v>0</v>
          </cell>
          <cell r="AP52">
            <v>0</v>
          </cell>
          <cell r="AQ52">
            <v>0</v>
          </cell>
          <cell r="AR52">
            <v>0</v>
          </cell>
          <cell r="AS52">
            <v>0</v>
          </cell>
          <cell r="AT52">
            <v>0</v>
          </cell>
          <cell r="AU52">
            <v>0</v>
          </cell>
          <cell r="AV52">
            <v>0</v>
          </cell>
          <cell r="AW52">
            <v>0</v>
          </cell>
          <cell r="AX52">
            <v>0</v>
          </cell>
          <cell r="BA52">
            <v>0</v>
          </cell>
          <cell r="BC52">
            <v>0</v>
          </cell>
          <cell r="BD52">
            <v>11593</v>
          </cell>
          <cell r="BF52">
            <v>0</v>
          </cell>
          <cell r="BG52">
            <v>0</v>
          </cell>
          <cell r="BH52">
            <v>0</v>
          </cell>
          <cell r="BI52">
            <v>53522</v>
          </cell>
          <cell r="BJ52">
            <v>44056</v>
          </cell>
          <cell r="BK52">
            <v>44056</v>
          </cell>
          <cell r="BL52">
            <v>0</v>
          </cell>
          <cell r="BM52">
            <v>0</v>
          </cell>
          <cell r="BN52">
            <v>0</v>
          </cell>
          <cell r="BO52">
            <v>218893</v>
          </cell>
          <cell r="BP52">
            <v>3162.8</v>
          </cell>
          <cell r="BQ52">
            <v>5697.6744186046499</v>
          </cell>
          <cell r="BR52">
            <v>0</v>
          </cell>
          <cell r="BS52">
            <v>0</v>
          </cell>
          <cell r="BT52">
            <v>57727</v>
          </cell>
          <cell r="BY52">
            <v>0</v>
          </cell>
          <cell r="BZ52">
            <v>0</v>
          </cell>
          <cell r="CA52">
            <v>0</v>
          </cell>
          <cell r="CB52">
            <v>0</v>
          </cell>
          <cell r="CC52">
            <v>2778375</v>
          </cell>
          <cell r="CD52">
            <v>21327724</v>
          </cell>
          <cell r="CE52">
            <v>1422303</v>
          </cell>
          <cell r="CF52">
            <v>-53192</v>
          </cell>
          <cell r="CG52">
            <v>1422303</v>
          </cell>
          <cell r="CH52">
            <v>1422303</v>
          </cell>
          <cell r="CI52">
            <v>1422303</v>
          </cell>
          <cell r="CJ52">
            <v>1422303</v>
          </cell>
          <cell r="CK52">
            <v>0</v>
          </cell>
          <cell r="CL52">
            <v>0</v>
          </cell>
          <cell r="CM52">
            <v>0</v>
          </cell>
          <cell r="CN52">
            <v>0</v>
          </cell>
          <cell r="CO52">
            <v>0</v>
          </cell>
          <cell r="CP52">
            <v>0</v>
          </cell>
          <cell r="CQ52">
            <v>6851403</v>
          </cell>
          <cell r="CR52">
            <v>6543505</v>
          </cell>
          <cell r="CS52">
            <v>6362656</v>
          </cell>
          <cell r="CT52">
            <v>6178804</v>
          </cell>
          <cell r="CU52">
            <v>6010292</v>
          </cell>
          <cell r="CV52">
            <v>46597</v>
          </cell>
          <cell r="CW52">
            <v>0</v>
          </cell>
          <cell r="CX52">
            <v>0</v>
          </cell>
          <cell r="CY52">
            <v>0</v>
          </cell>
          <cell r="CZ52">
            <v>0</v>
          </cell>
          <cell r="DA52">
            <v>0</v>
          </cell>
          <cell r="DC52">
            <v>250000</v>
          </cell>
          <cell r="DD52">
            <v>0</v>
          </cell>
          <cell r="DE52">
            <v>0</v>
          </cell>
          <cell r="DF52">
            <v>0</v>
          </cell>
          <cell r="DG52">
            <v>0</v>
          </cell>
          <cell r="DH52">
            <v>0</v>
          </cell>
          <cell r="DI52">
            <v>0</v>
          </cell>
          <cell r="DJ52">
            <v>0</v>
          </cell>
          <cell r="DK52">
            <v>0</v>
          </cell>
          <cell r="DL52">
            <v>0</v>
          </cell>
        </row>
        <row r="53">
          <cell r="A53">
            <v>1731</v>
          </cell>
          <cell r="B53" t="str">
            <v>Midden Drenthe</v>
          </cell>
          <cell r="C53">
            <v>3</v>
          </cell>
          <cell r="D53">
            <v>6088</v>
          </cell>
          <cell r="E53">
            <v>3044</v>
          </cell>
          <cell r="F53">
            <v>0</v>
          </cell>
          <cell r="G53">
            <v>0</v>
          </cell>
          <cell r="H53">
            <v>-14382</v>
          </cell>
          <cell r="I53">
            <v>-3978</v>
          </cell>
          <cell r="K53">
            <v>0</v>
          </cell>
          <cell r="L53">
            <v>120272</v>
          </cell>
          <cell r="M53">
            <v>112966</v>
          </cell>
          <cell r="N53">
            <v>0</v>
          </cell>
          <cell r="O53">
            <v>0</v>
          </cell>
          <cell r="P53">
            <v>0</v>
          </cell>
          <cell r="Q53">
            <v>0</v>
          </cell>
          <cell r="R53">
            <v>0</v>
          </cell>
          <cell r="S53">
            <v>0</v>
          </cell>
          <cell r="T53">
            <v>0</v>
          </cell>
          <cell r="U53">
            <v>0</v>
          </cell>
          <cell r="V53">
            <v>6000</v>
          </cell>
          <cell r="W53">
            <v>134121</v>
          </cell>
          <cell r="X53">
            <v>0</v>
          </cell>
          <cell r="Z53">
            <v>0</v>
          </cell>
          <cell r="AA53">
            <v>0</v>
          </cell>
          <cell r="AB53">
            <v>0</v>
          </cell>
          <cell r="AD53">
            <v>44001</v>
          </cell>
          <cell r="AE53">
            <v>0</v>
          </cell>
          <cell r="AF53">
            <v>0</v>
          </cell>
          <cell r="AG53">
            <v>0</v>
          </cell>
          <cell r="AH53">
            <v>0</v>
          </cell>
          <cell r="AI53">
            <v>0</v>
          </cell>
          <cell r="AJ53">
            <v>0</v>
          </cell>
          <cell r="AK53">
            <v>0</v>
          </cell>
          <cell r="AM53">
            <v>0</v>
          </cell>
          <cell r="AN53">
            <v>0</v>
          </cell>
          <cell r="AO53">
            <v>0</v>
          </cell>
          <cell r="AP53">
            <v>0</v>
          </cell>
          <cell r="AQ53">
            <v>0</v>
          </cell>
          <cell r="AR53">
            <v>0</v>
          </cell>
          <cell r="AS53">
            <v>0</v>
          </cell>
          <cell r="AT53">
            <v>0</v>
          </cell>
          <cell r="AU53">
            <v>0</v>
          </cell>
          <cell r="AV53">
            <v>0</v>
          </cell>
          <cell r="AW53">
            <v>0</v>
          </cell>
          <cell r="AX53">
            <v>0</v>
          </cell>
          <cell r="BA53">
            <v>0</v>
          </cell>
          <cell r="BC53">
            <v>0</v>
          </cell>
          <cell r="BD53">
            <v>11724</v>
          </cell>
          <cell r="BF53">
            <v>0</v>
          </cell>
          <cell r="BG53">
            <v>0</v>
          </cell>
          <cell r="BH53">
            <v>0</v>
          </cell>
          <cell r="BI53">
            <v>43191</v>
          </cell>
          <cell r="BJ53">
            <v>35553</v>
          </cell>
          <cell r="BK53">
            <v>35553</v>
          </cell>
          <cell r="BL53">
            <v>0</v>
          </cell>
          <cell r="BM53">
            <v>0</v>
          </cell>
          <cell r="BN53">
            <v>0</v>
          </cell>
          <cell r="BO53">
            <v>122093</v>
          </cell>
          <cell r="BP53">
            <v>3162.8</v>
          </cell>
          <cell r="BQ53">
            <v>5697.6744186046499</v>
          </cell>
          <cell r="BR53">
            <v>0</v>
          </cell>
          <cell r="BS53">
            <v>0</v>
          </cell>
          <cell r="BT53">
            <v>73455</v>
          </cell>
          <cell r="BY53">
            <v>0</v>
          </cell>
          <cell r="BZ53">
            <v>0</v>
          </cell>
          <cell r="CA53">
            <v>0</v>
          </cell>
          <cell r="CB53">
            <v>0</v>
          </cell>
          <cell r="CC53">
            <v>2638693</v>
          </cell>
          <cell r="CD53">
            <v>12202899</v>
          </cell>
          <cell r="CE53">
            <v>2236989</v>
          </cell>
          <cell r="CF53">
            <v>-9643</v>
          </cell>
          <cell r="CG53">
            <v>2236989</v>
          </cell>
          <cell r="CH53">
            <v>2236989</v>
          </cell>
          <cell r="CI53">
            <v>2236989</v>
          </cell>
          <cell r="CJ53">
            <v>2236989</v>
          </cell>
          <cell r="CK53">
            <v>0</v>
          </cell>
          <cell r="CL53">
            <v>0</v>
          </cell>
          <cell r="CM53">
            <v>0</v>
          </cell>
          <cell r="CN53">
            <v>0</v>
          </cell>
          <cell r="CO53">
            <v>0</v>
          </cell>
          <cell r="CP53">
            <v>0</v>
          </cell>
          <cell r="CQ53">
            <v>182180</v>
          </cell>
          <cell r="CR53">
            <v>204461</v>
          </cell>
          <cell r="CS53">
            <v>210793</v>
          </cell>
          <cell r="CT53">
            <v>230931</v>
          </cell>
          <cell r="CU53">
            <v>251011</v>
          </cell>
          <cell r="CV53">
            <v>-109404</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row>
        <row r="54">
          <cell r="A54">
            <v>1699</v>
          </cell>
          <cell r="B54" t="str">
            <v>Noordenveld</v>
          </cell>
          <cell r="C54">
            <v>3</v>
          </cell>
          <cell r="D54">
            <v>-3778</v>
          </cell>
          <cell r="E54">
            <v>-1889</v>
          </cell>
          <cell r="F54">
            <v>0</v>
          </cell>
          <cell r="G54">
            <v>0</v>
          </cell>
          <cell r="H54">
            <v>-20303</v>
          </cell>
          <cell r="I54">
            <v>-1489</v>
          </cell>
          <cell r="K54">
            <v>0</v>
          </cell>
          <cell r="L54">
            <v>129126</v>
          </cell>
          <cell r="M54">
            <v>115180</v>
          </cell>
          <cell r="N54">
            <v>0</v>
          </cell>
          <cell r="O54">
            <v>0</v>
          </cell>
          <cell r="P54">
            <v>0</v>
          </cell>
          <cell r="Q54">
            <v>0</v>
          </cell>
          <cell r="R54">
            <v>0</v>
          </cell>
          <cell r="S54">
            <v>0</v>
          </cell>
          <cell r="T54">
            <v>0</v>
          </cell>
          <cell r="U54">
            <v>0</v>
          </cell>
          <cell r="V54">
            <v>9000</v>
          </cell>
          <cell r="W54">
            <v>91522</v>
          </cell>
          <cell r="X54">
            <v>348128</v>
          </cell>
          <cell r="Z54">
            <v>0</v>
          </cell>
          <cell r="AA54">
            <v>0</v>
          </cell>
          <cell r="AB54">
            <v>0</v>
          </cell>
          <cell r="AD54">
            <v>0</v>
          </cell>
          <cell r="AE54">
            <v>0</v>
          </cell>
          <cell r="AF54">
            <v>0</v>
          </cell>
          <cell r="AG54">
            <v>0</v>
          </cell>
          <cell r="AH54">
            <v>0</v>
          </cell>
          <cell r="AI54">
            <v>0</v>
          </cell>
          <cell r="AJ54">
            <v>0</v>
          </cell>
          <cell r="AK54">
            <v>0</v>
          </cell>
          <cell r="AM54">
            <v>0</v>
          </cell>
          <cell r="AN54">
            <v>0</v>
          </cell>
          <cell r="AO54">
            <v>0</v>
          </cell>
          <cell r="AP54">
            <v>0</v>
          </cell>
          <cell r="AQ54">
            <v>0</v>
          </cell>
          <cell r="AR54">
            <v>0</v>
          </cell>
          <cell r="AS54">
            <v>0</v>
          </cell>
          <cell r="AT54">
            <v>0</v>
          </cell>
          <cell r="AU54">
            <v>4740</v>
          </cell>
          <cell r="AV54">
            <v>0</v>
          </cell>
          <cell r="AW54">
            <v>0</v>
          </cell>
          <cell r="AX54">
            <v>0</v>
          </cell>
          <cell r="BA54">
            <v>0</v>
          </cell>
          <cell r="BC54">
            <v>0</v>
          </cell>
          <cell r="BD54">
            <v>11578</v>
          </cell>
          <cell r="BF54">
            <v>0</v>
          </cell>
          <cell r="BG54">
            <v>0</v>
          </cell>
          <cell r="BH54">
            <v>0</v>
          </cell>
          <cell r="BI54">
            <v>52351</v>
          </cell>
          <cell r="BJ54">
            <v>43093</v>
          </cell>
          <cell r="BK54">
            <v>43093</v>
          </cell>
          <cell r="BL54">
            <v>0</v>
          </cell>
          <cell r="BM54">
            <v>0</v>
          </cell>
          <cell r="BN54">
            <v>0</v>
          </cell>
          <cell r="BO54">
            <v>125985</v>
          </cell>
          <cell r="BP54">
            <v>11069.8</v>
          </cell>
          <cell r="BQ54">
            <v>19941.8604651163</v>
          </cell>
          <cell r="BR54">
            <v>0</v>
          </cell>
          <cell r="BS54">
            <v>0</v>
          </cell>
          <cell r="BT54">
            <v>56890</v>
          </cell>
          <cell r="BY54">
            <v>0</v>
          </cell>
          <cell r="BZ54">
            <v>0</v>
          </cell>
          <cell r="CA54">
            <v>0</v>
          </cell>
          <cell r="CB54">
            <v>0</v>
          </cell>
          <cell r="CC54">
            <v>2918898</v>
          </cell>
          <cell r="CD54">
            <v>13886554</v>
          </cell>
          <cell r="CE54">
            <v>1142153</v>
          </cell>
          <cell r="CF54">
            <v>-3594</v>
          </cell>
          <cell r="CG54">
            <v>1142153</v>
          </cell>
          <cell r="CH54">
            <v>1142153</v>
          </cell>
          <cell r="CI54">
            <v>1142153</v>
          </cell>
          <cell r="CJ54">
            <v>1142153</v>
          </cell>
          <cell r="CK54">
            <v>0</v>
          </cell>
          <cell r="CL54">
            <v>0</v>
          </cell>
          <cell r="CM54">
            <v>0</v>
          </cell>
          <cell r="CN54">
            <v>0</v>
          </cell>
          <cell r="CO54">
            <v>0</v>
          </cell>
          <cell r="CP54">
            <v>0</v>
          </cell>
          <cell r="CQ54">
            <v>3113096</v>
          </cell>
          <cell r="CR54">
            <v>2986761</v>
          </cell>
          <cell r="CS54">
            <v>2933629</v>
          </cell>
          <cell r="CT54">
            <v>2876839</v>
          </cell>
          <cell r="CU54">
            <v>2814401</v>
          </cell>
          <cell r="CV54">
            <v>35312</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row>
        <row r="55">
          <cell r="A55">
            <v>1730</v>
          </cell>
          <cell r="B55" t="str">
            <v>Tynaarlo</v>
          </cell>
          <cell r="C55">
            <v>3</v>
          </cell>
          <cell r="D55">
            <v>-22914</v>
          </cell>
          <cell r="E55">
            <v>-11457</v>
          </cell>
          <cell r="F55">
            <v>0</v>
          </cell>
          <cell r="G55">
            <v>0</v>
          </cell>
          <cell r="H55">
            <v>-36336</v>
          </cell>
          <cell r="I55">
            <v>-11981</v>
          </cell>
          <cell r="K55">
            <v>0</v>
          </cell>
          <cell r="L55">
            <v>95979</v>
          </cell>
          <cell r="M55">
            <v>90920</v>
          </cell>
          <cell r="N55">
            <v>0</v>
          </cell>
          <cell r="O55">
            <v>0</v>
          </cell>
          <cell r="P55">
            <v>0</v>
          </cell>
          <cell r="Q55">
            <v>0</v>
          </cell>
          <cell r="R55">
            <v>0</v>
          </cell>
          <cell r="S55">
            <v>0</v>
          </cell>
          <cell r="T55">
            <v>0</v>
          </cell>
          <cell r="U55">
            <v>0</v>
          </cell>
          <cell r="V55">
            <v>9000</v>
          </cell>
          <cell r="W55">
            <v>125957</v>
          </cell>
          <cell r="X55">
            <v>0</v>
          </cell>
          <cell r="Z55">
            <v>0</v>
          </cell>
          <cell r="AA55">
            <v>0</v>
          </cell>
          <cell r="AB55">
            <v>0</v>
          </cell>
          <cell r="AD55">
            <v>0</v>
          </cell>
          <cell r="AE55">
            <v>0</v>
          </cell>
          <cell r="AF55">
            <v>0</v>
          </cell>
          <cell r="AG55">
            <v>0</v>
          </cell>
          <cell r="AH55">
            <v>0</v>
          </cell>
          <cell r="AI55">
            <v>0</v>
          </cell>
          <cell r="AJ55">
            <v>0</v>
          </cell>
          <cell r="AK55">
            <v>0</v>
          </cell>
          <cell r="AM55">
            <v>0</v>
          </cell>
          <cell r="AN55">
            <v>0</v>
          </cell>
          <cell r="AO55">
            <v>0</v>
          </cell>
          <cell r="AP55">
            <v>0</v>
          </cell>
          <cell r="AQ55">
            <v>0</v>
          </cell>
          <cell r="AR55">
            <v>0</v>
          </cell>
          <cell r="AS55">
            <v>0</v>
          </cell>
          <cell r="AT55">
            <v>0</v>
          </cell>
          <cell r="AU55">
            <v>0</v>
          </cell>
          <cell r="AV55">
            <v>0</v>
          </cell>
          <cell r="AW55">
            <v>0</v>
          </cell>
          <cell r="AX55">
            <v>0</v>
          </cell>
          <cell r="BA55">
            <v>0</v>
          </cell>
          <cell r="BC55">
            <v>0</v>
          </cell>
          <cell r="BD55">
            <v>11682</v>
          </cell>
          <cell r="BF55">
            <v>0</v>
          </cell>
          <cell r="BG55">
            <v>0</v>
          </cell>
          <cell r="BH55">
            <v>0</v>
          </cell>
          <cell r="BI55">
            <v>36670</v>
          </cell>
          <cell r="BJ55">
            <v>30185</v>
          </cell>
          <cell r="BK55">
            <v>30185</v>
          </cell>
          <cell r="BL55">
            <v>0</v>
          </cell>
          <cell r="BM55">
            <v>0</v>
          </cell>
          <cell r="BN55">
            <v>0</v>
          </cell>
          <cell r="BO55">
            <v>50589</v>
          </cell>
          <cell r="BP55">
            <v>17395.400000000001</v>
          </cell>
          <cell r="BQ55">
            <v>31337.209302325598</v>
          </cell>
          <cell r="BR55">
            <v>0</v>
          </cell>
          <cell r="BS55">
            <v>0</v>
          </cell>
          <cell r="BT55">
            <v>61467</v>
          </cell>
          <cell r="BY55">
            <v>0</v>
          </cell>
          <cell r="BZ55">
            <v>0</v>
          </cell>
          <cell r="CA55">
            <v>0</v>
          </cell>
          <cell r="CB55">
            <v>0</v>
          </cell>
          <cell r="CC55">
            <v>2544414</v>
          </cell>
          <cell r="CD55">
            <v>10749906</v>
          </cell>
          <cell r="CE55">
            <v>1365729</v>
          </cell>
          <cell r="CF55">
            <v>0</v>
          </cell>
          <cell r="CG55">
            <v>1365729</v>
          </cell>
          <cell r="CH55">
            <v>1365729</v>
          </cell>
          <cell r="CI55">
            <v>1365729</v>
          </cell>
          <cell r="CJ55">
            <v>1365729</v>
          </cell>
          <cell r="CK55">
            <v>0</v>
          </cell>
          <cell r="CL55">
            <v>0</v>
          </cell>
          <cell r="CM55">
            <v>0</v>
          </cell>
          <cell r="CN55">
            <v>0</v>
          </cell>
          <cell r="CO55">
            <v>0</v>
          </cell>
          <cell r="CP55">
            <v>-4318</v>
          </cell>
          <cell r="CQ55">
            <v>205079</v>
          </cell>
          <cell r="CR55">
            <v>228370</v>
          </cell>
          <cell r="CS55">
            <v>235891</v>
          </cell>
          <cell r="CT55">
            <v>257067</v>
          </cell>
          <cell r="CU55">
            <v>278158</v>
          </cell>
          <cell r="CV55">
            <v>40181</v>
          </cell>
          <cell r="CW55">
            <v>0</v>
          </cell>
          <cell r="CX55">
            <v>0</v>
          </cell>
          <cell r="CY55">
            <v>0</v>
          </cell>
          <cell r="CZ55">
            <v>0</v>
          </cell>
          <cell r="DA55">
            <v>0</v>
          </cell>
          <cell r="DC55">
            <v>0</v>
          </cell>
          <cell r="DD55">
            <v>0</v>
          </cell>
          <cell r="DE55">
            <v>0</v>
          </cell>
          <cell r="DF55">
            <v>0</v>
          </cell>
          <cell r="DG55">
            <v>525262</v>
          </cell>
          <cell r="DH55">
            <v>0</v>
          </cell>
          <cell r="DI55">
            <v>0</v>
          </cell>
          <cell r="DJ55">
            <v>0</v>
          </cell>
          <cell r="DK55">
            <v>0</v>
          </cell>
          <cell r="DL55">
            <v>0</v>
          </cell>
        </row>
        <row r="56">
          <cell r="A56">
            <v>1701</v>
          </cell>
          <cell r="B56" t="str">
            <v>Westerveld</v>
          </cell>
          <cell r="C56">
            <v>3</v>
          </cell>
          <cell r="D56">
            <v>-10259</v>
          </cell>
          <cell r="E56">
            <v>-5129</v>
          </cell>
          <cell r="F56">
            <v>0</v>
          </cell>
          <cell r="G56">
            <v>0</v>
          </cell>
          <cell r="H56">
            <v>-21652</v>
          </cell>
          <cell r="I56">
            <v>0</v>
          </cell>
          <cell r="K56">
            <v>0</v>
          </cell>
          <cell r="L56">
            <v>64265</v>
          </cell>
          <cell r="M56">
            <v>67184</v>
          </cell>
          <cell r="N56">
            <v>0</v>
          </cell>
          <cell r="O56">
            <v>0</v>
          </cell>
          <cell r="P56">
            <v>0</v>
          </cell>
          <cell r="Q56">
            <v>0</v>
          </cell>
          <cell r="R56">
            <v>0</v>
          </cell>
          <cell r="S56">
            <v>0</v>
          </cell>
          <cell r="T56">
            <v>0</v>
          </cell>
          <cell r="U56">
            <v>0</v>
          </cell>
          <cell r="V56">
            <v>0</v>
          </cell>
          <cell r="W56">
            <v>62833</v>
          </cell>
          <cell r="X56">
            <v>0</v>
          </cell>
          <cell r="Z56">
            <v>0</v>
          </cell>
          <cell r="AA56">
            <v>0</v>
          </cell>
          <cell r="AB56">
            <v>0</v>
          </cell>
          <cell r="AD56">
            <v>20000</v>
          </cell>
          <cell r="AE56">
            <v>0</v>
          </cell>
          <cell r="AF56">
            <v>0</v>
          </cell>
          <cell r="AG56">
            <v>0</v>
          </cell>
          <cell r="AH56">
            <v>0</v>
          </cell>
          <cell r="AI56">
            <v>0</v>
          </cell>
          <cell r="AJ56">
            <v>0</v>
          </cell>
          <cell r="AK56">
            <v>0</v>
          </cell>
          <cell r="AM56">
            <v>0</v>
          </cell>
          <cell r="AN56">
            <v>0</v>
          </cell>
          <cell r="AO56">
            <v>0</v>
          </cell>
          <cell r="AP56">
            <v>0</v>
          </cell>
          <cell r="AQ56">
            <v>0</v>
          </cell>
          <cell r="AR56">
            <v>0</v>
          </cell>
          <cell r="AS56">
            <v>0</v>
          </cell>
          <cell r="AT56">
            <v>0</v>
          </cell>
          <cell r="AU56">
            <v>0</v>
          </cell>
          <cell r="AV56">
            <v>0</v>
          </cell>
          <cell r="AW56">
            <v>0</v>
          </cell>
          <cell r="AX56">
            <v>0</v>
          </cell>
          <cell r="BA56">
            <v>0</v>
          </cell>
          <cell r="BC56">
            <v>0</v>
          </cell>
          <cell r="BD56">
            <v>6699</v>
          </cell>
          <cell r="BF56">
            <v>0</v>
          </cell>
          <cell r="BG56">
            <v>0</v>
          </cell>
          <cell r="BH56">
            <v>0</v>
          </cell>
          <cell r="BI56">
            <v>26420</v>
          </cell>
          <cell r="BJ56">
            <v>21747</v>
          </cell>
          <cell r="BK56">
            <v>21747</v>
          </cell>
          <cell r="BL56">
            <v>0</v>
          </cell>
          <cell r="BM56">
            <v>0</v>
          </cell>
          <cell r="BN56">
            <v>0</v>
          </cell>
          <cell r="BO56">
            <v>39887</v>
          </cell>
          <cell r="BP56">
            <v>15814</v>
          </cell>
          <cell r="BQ56">
            <v>28488.372093023299</v>
          </cell>
          <cell r="BR56">
            <v>0</v>
          </cell>
          <cell r="BS56">
            <v>0</v>
          </cell>
          <cell r="BT56">
            <v>51133</v>
          </cell>
          <cell r="BY56">
            <v>0</v>
          </cell>
          <cell r="BZ56">
            <v>0</v>
          </cell>
          <cell r="CA56">
            <v>0</v>
          </cell>
          <cell r="CB56">
            <v>0</v>
          </cell>
          <cell r="CC56">
            <v>1752594</v>
          </cell>
          <cell r="CD56">
            <v>9372883</v>
          </cell>
          <cell r="CE56">
            <v>484802</v>
          </cell>
          <cell r="CF56">
            <v>0</v>
          </cell>
          <cell r="CG56">
            <v>484802</v>
          </cell>
          <cell r="CH56">
            <v>484802</v>
          </cell>
          <cell r="CI56">
            <v>484802</v>
          </cell>
          <cell r="CJ56">
            <v>484802</v>
          </cell>
          <cell r="CK56">
            <v>0</v>
          </cell>
          <cell r="CL56">
            <v>0</v>
          </cell>
          <cell r="CM56">
            <v>0</v>
          </cell>
          <cell r="CN56">
            <v>0</v>
          </cell>
          <cell r="CO56">
            <v>0</v>
          </cell>
          <cell r="CP56">
            <v>0</v>
          </cell>
          <cell r="CQ56">
            <v>2790027</v>
          </cell>
          <cell r="CR56">
            <v>2608462</v>
          </cell>
          <cell r="CS56">
            <v>2549472</v>
          </cell>
          <cell r="CT56">
            <v>2470260</v>
          </cell>
          <cell r="CU56">
            <v>2368912</v>
          </cell>
          <cell r="CV56">
            <v>11492</v>
          </cell>
          <cell r="CW56">
            <v>0</v>
          </cell>
          <cell r="CX56">
            <v>0</v>
          </cell>
          <cell r="CY56">
            <v>0</v>
          </cell>
          <cell r="CZ56">
            <v>0</v>
          </cell>
          <cell r="DA56">
            <v>0</v>
          </cell>
          <cell r="DC56">
            <v>0</v>
          </cell>
          <cell r="DD56">
            <v>0</v>
          </cell>
          <cell r="DE56">
            <v>0</v>
          </cell>
          <cell r="DF56">
            <v>0</v>
          </cell>
          <cell r="DG56">
            <v>0</v>
          </cell>
          <cell r="DH56">
            <v>0</v>
          </cell>
          <cell r="DI56">
            <v>0</v>
          </cell>
          <cell r="DJ56">
            <v>0</v>
          </cell>
          <cell r="DK56">
            <v>0</v>
          </cell>
          <cell r="DL56">
            <v>0</v>
          </cell>
        </row>
        <row r="57">
          <cell r="A57">
            <v>141</v>
          </cell>
          <cell r="B57" t="str">
            <v>Almelo</v>
          </cell>
          <cell r="C57">
            <v>4</v>
          </cell>
          <cell r="D57">
            <v>131058</v>
          </cell>
          <cell r="E57">
            <v>65529</v>
          </cell>
          <cell r="F57">
            <v>0</v>
          </cell>
          <cell r="G57">
            <v>0</v>
          </cell>
          <cell r="H57">
            <v>1401035</v>
          </cell>
          <cell r="I57">
            <v>533543</v>
          </cell>
          <cell r="K57">
            <v>0</v>
          </cell>
          <cell r="L57">
            <v>515310</v>
          </cell>
          <cell r="M57">
            <v>517952</v>
          </cell>
          <cell r="N57">
            <v>0</v>
          </cell>
          <cell r="O57">
            <v>0</v>
          </cell>
          <cell r="P57">
            <v>0</v>
          </cell>
          <cell r="Q57">
            <v>0</v>
          </cell>
          <cell r="R57">
            <v>0</v>
          </cell>
          <cell r="S57">
            <v>664785</v>
          </cell>
          <cell r="T57">
            <v>664785</v>
          </cell>
          <cell r="U57">
            <v>664785</v>
          </cell>
          <cell r="V57">
            <v>3000</v>
          </cell>
          <cell r="W57">
            <v>295260</v>
          </cell>
          <cell r="X57">
            <v>0</v>
          </cell>
          <cell r="Z57">
            <v>0</v>
          </cell>
          <cell r="AA57">
            <v>0</v>
          </cell>
          <cell r="AB57">
            <v>0</v>
          </cell>
          <cell r="AD57">
            <v>239561</v>
          </cell>
          <cell r="AE57">
            <v>0</v>
          </cell>
          <cell r="AF57">
            <v>0</v>
          </cell>
          <cell r="AG57">
            <v>0</v>
          </cell>
          <cell r="AH57">
            <v>0</v>
          </cell>
          <cell r="AI57">
            <v>0</v>
          </cell>
          <cell r="AJ57">
            <v>0</v>
          </cell>
          <cell r="AK57">
            <v>296468</v>
          </cell>
          <cell r="AM57">
            <v>0</v>
          </cell>
          <cell r="AN57">
            <v>0</v>
          </cell>
          <cell r="AO57">
            <v>0</v>
          </cell>
          <cell r="AP57">
            <v>0</v>
          </cell>
          <cell r="AQ57">
            <v>0</v>
          </cell>
          <cell r="AR57">
            <v>0</v>
          </cell>
          <cell r="AS57">
            <v>0</v>
          </cell>
          <cell r="AT57">
            <v>0</v>
          </cell>
          <cell r="AU57">
            <v>7110</v>
          </cell>
          <cell r="AV57">
            <v>3090266.81796304</v>
          </cell>
          <cell r="AW57">
            <v>0</v>
          </cell>
          <cell r="AX57">
            <v>0</v>
          </cell>
          <cell r="BA57">
            <v>0</v>
          </cell>
          <cell r="BC57">
            <v>0</v>
          </cell>
          <cell r="BD57">
            <v>25443</v>
          </cell>
          <cell r="BF57">
            <v>0</v>
          </cell>
          <cell r="BG57">
            <v>0</v>
          </cell>
          <cell r="BH57">
            <v>0</v>
          </cell>
          <cell r="BI57">
            <v>147744</v>
          </cell>
          <cell r="BJ57">
            <v>121616</v>
          </cell>
          <cell r="BK57">
            <v>121616</v>
          </cell>
          <cell r="BL57">
            <v>0</v>
          </cell>
          <cell r="BM57">
            <v>0</v>
          </cell>
          <cell r="BN57">
            <v>0</v>
          </cell>
          <cell r="BO57">
            <v>256348</v>
          </cell>
          <cell r="BP57">
            <v>20558.2</v>
          </cell>
          <cell r="BQ57">
            <v>37034.8837209302</v>
          </cell>
          <cell r="BR57">
            <v>0</v>
          </cell>
          <cell r="BS57">
            <v>0</v>
          </cell>
          <cell r="BT57">
            <v>136787</v>
          </cell>
          <cell r="BY57">
            <v>0</v>
          </cell>
          <cell r="BZ57">
            <v>0</v>
          </cell>
          <cell r="CA57">
            <v>0</v>
          </cell>
          <cell r="CB57">
            <v>0</v>
          </cell>
          <cell r="CC57">
            <v>6975292</v>
          </cell>
          <cell r="CD57">
            <v>67512519</v>
          </cell>
          <cell r="CE57">
            <v>3116570</v>
          </cell>
          <cell r="CF57">
            <v>0</v>
          </cell>
          <cell r="CG57">
            <v>3116570</v>
          </cell>
          <cell r="CH57">
            <v>3116570</v>
          </cell>
          <cell r="CI57">
            <v>3116570</v>
          </cell>
          <cell r="CJ57">
            <v>3116570</v>
          </cell>
          <cell r="CK57">
            <v>16664548</v>
          </cell>
          <cell r="CL57">
            <v>16656184</v>
          </cell>
          <cell r="CM57">
            <v>16656049</v>
          </cell>
          <cell r="CN57">
            <v>16655751</v>
          </cell>
          <cell r="CO57">
            <v>16656164</v>
          </cell>
          <cell r="CP57">
            <v>0</v>
          </cell>
          <cell r="CQ57">
            <v>12361944</v>
          </cell>
          <cell r="CR57">
            <v>11731371</v>
          </cell>
          <cell r="CS57">
            <v>11305697</v>
          </cell>
          <cell r="CT57">
            <v>10957137</v>
          </cell>
          <cell r="CU57">
            <v>10553548</v>
          </cell>
          <cell r="CV57">
            <v>-35358</v>
          </cell>
          <cell r="CW57">
            <v>0</v>
          </cell>
          <cell r="CX57">
            <v>0</v>
          </cell>
          <cell r="CY57">
            <v>0</v>
          </cell>
          <cell r="CZ57">
            <v>0</v>
          </cell>
          <cell r="DA57">
            <v>0</v>
          </cell>
          <cell r="DC57">
            <v>0</v>
          </cell>
          <cell r="DD57">
            <v>0</v>
          </cell>
          <cell r="DE57">
            <v>0</v>
          </cell>
          <cell r="DF57">
            <v>0</v>
          </cell>
          <cell r="DG57">
            <v>0</v>
          </cell>
          <cell r="DH57">
            <v>0</v>
          </cell>
          <cell r="DI57">
            <v>0</v>
          </cell>
          <cell r="DJ57">
            <v>0</v>
          </cell>
          <cell r="DK57">
            <v>0</v>
          </cell>
          <cell r="DL57">
            <v>0</v>
          </cell>
        </row>
        <row r="58">
          <cell r="A58">
            <v>147</v>
          </cell>
          <cell r="B58" t="str">
            <v>Borne</v>
          </cell>
          <cell r="C58">
            <v>4</v>
          </cell>
          <cell r="D58">
            <v>15534</v>
          </cell>
          <cell r="E58">
            <v>7767</v>
          </cell>
          <cell r="F58">
            <v>0</v>
          </cell>
          <cell r="G58">
            <v>0</v>
          </cell>
          <cell r="H58">
            <v>0</v>
          </cell>
          <cell r="I58">
            <v>0</v>
          </cell>
          <cell r="K58">
            <v>0</v>
          </cell>
          <cell r="L58">
            <v>77794</v>
          </cell>
          <cell r="M58">
            <v>79945</v>
          </cell>
          <cell r="N58">
            <v>0</v>
          </cell>
          <cell r="O58">
            <v>0</v>
          </cell>
          <cell r="P58">
            <v>0</v>
          </cell>
          <cell r="Q58">
            <v>0</v>
          </cell>
          <cell r="R58">
            <v>0</v>
          </cell>
          <cell r="S58">
            <v>0</v>
          </cell>
          <cell r="T58">
            <v>0</v>
          </cell>
          <cell r="U58">
            <v>0</v>
          </cell>
          <cell r="V58">
            <v>0</v>
          </cell>
          <cell r="W58">
            <v>89220</v>
          </cell>
          <cell r="X58">
            <v>0</v>
          </cell>
          <cell r="Z58">
            <v>0</v>
          </cell>
          <cell r="AA58">
            <v>0</v>
          </cell>
          <cell r="AB58">
            <v>0</v>
          </cell>
          <cell r="AD58">
            <v>0</v>
          </cell>
          <cell r="AE58">
            <v>0</v>
          </cell>
          <cell r="AF58">
            <v>0</v>
          </cell>
          <cell r="AG58">
            <v>0</v>
          </cell>
          <cell r="AH58">
            <v>0</v>
          </cell>
          <cell r="AI58">
            <v>0</v>
          </cell>
          <cell r="AJ58">
            <v>0</v>
          </cell>
          <cell r="AK58">
            <v>0</v>
          </cell>
          <cell r="AM58">
            <v>0</v>
          </cell>
          <cell r="AN58">
            <v>0</v>
          </cell>
          <cell r="AO58">
            <v>0</v>
          </cell>
          <cell r="AP58">
            <v>0</v>
          </cell>
          <cell r="AQ58">
            <v>0</v>
          </cell>
          <cell r="AR58">
            <v>0</v>
          </cell>
          <cell r="AS58">
            <v>0</v>
          </cell>
          <cell r="AT58">
            <v>0</v>
          </cell>
          <cell r="AU58">
            <v>0</v>
          </cell>
          <cell r="AV58">
            <v>0</v>
          </cell>
          <cell r="AW58">
            <v>0</v>
          </cell>
          <cell r="AX58">
            <v>0</v>
          </cell>
          <cell r="BA58">
            <v>0</v>
          </cell>
          <cell r="BC58">
            <v>0</v>
          </cell>
          <cell r="BD58">
            <v>8002</v>
          </cell>
          <cell r="BF58">
            <v>0</v>
          </cell>
          <cell r="BG58">
            <v>0</v>
          </cell>
          <cell r="BH58">
            <v>0</v>
          </cell>
          <cell r="BI58">
            <v>28021</v>
          </cell>
          <cell r="BJ58">
            <v>23066</v>
          </cell>
          <cell r="BK58">
            <v>23066</v>
          </cell>
          <cell r="BL58">
            <v>0</v>
          </cell>
          <cell r="BM58">
            <v>0</v>
          </cell>
          <cell r="BN58">
            <v>0</v>
          </cell>
          <cell r="BO58">
            <v>0</v>
          </cell>
          <cell r="BP58">
            <v>0</v>
          </cell>
          <cell r="BQ58">
            <v>0</v>
          </cell>
          <cell r="BR58">
            <v>0</v>
          </cell>
          <cell r="BS58">
            <v>0</v>
          </cell>
          <cell r="BT58">
            <v>34964</v>
          </cell>
          <cell r="BY58">
            <v>0</v>
          </cell>
          <cell r="BZ58">
            <v>0</v>
          </cell>
          <cell r="CA58">
            <v>0</v>
          </cell>
          <cell r="CB58">
            <v>0</v>
          </cell>
          <cell r="CC58">
            <v>1776844</v>
          </cell>
          <cell r="CD58">
            <v>10516386</v>
          </cell>
          <cell r="CE58">
            <v>802124</v>
          </cell>
          <cell r="CF58">
            <v>-1265</v>
          </cell>
          <cell r="CG58">
            <v>802124</v>
          </cell>
          <cell r="CH58">
            <v>802124</v>
          </cell>
          <cell r="CI58">
            <v>802124</v>
          </cell>
          <cell r="CJ58">
            <v>802124</v>
          </cell>
          <cell r="CK58">
            <v>0</v>
          </cell>
          <cell r="CL58">
            <v>0</v>
          </cell>
          <cell r="CM58">
            <v>0</v>
          </cell>
          <cell r="CN58">
            <v>0</v>
          </cell>
          <cell r="CO58">
            <v>0</v>
          </cell>
          <cell r="CP58">
            <v>0</v>
          </cell>
          <cell r="CQ58">
            <v>2573874</v>
          </cell>
          <cell r="CR58">
            <v>2451084</v>
          </cell>
          <cell r="CS58">
            <v>2395726</v>
          </cell>
          <cell r="CT58">
            <v>2344834</v>
          </cell>
          <cell r="CU58">
            <v>2234051</v>
          </cell>
          <cell r="CV58">
            <v>-48344</v>
          </cell>
          <cell r="CW58">
            <v>0</v>
          </cell>
          <cell r="CX58">
            <v>0</v>
          </cell>
          <cell r="CY58">
            <v>0</v>
          </cell>
          <cell r="CZ58">
            <v>0</v>
          </cell>
          <cell r="DA58">
            <v>0</v>
          </cell>
          <cell r="DC58">
            <v>0</v>
          </cell>
          <cell r="DD58">
            <v>0</v>
          </cell>
          <cell r="DE58">
            <v>0</v>
          </cell>
          <cell r="DF58">
            <v>0</v>
          </cell>
          <cell r="DG58">
            <v>0</v>
          </cell>
          <cell r="DH58">
            <v>0</v>
          </cell>
          <cell r="DI58">
            <v>0</v>
          </cell>
          <cell r="DJ58">
            <v>0</v>
          </cell>
          <cell r="DK58">
            <v>0</v>
          </cell>
          <cell r="DL58">
            <v>0</v>
          </cell>
        </row>
        <row r="59">
          <cell r="A59">
            <v>148</v>
          </cell>
          <cell r="B59" t="str">
            <v>Dalfsen</v>
          </cell>
          <cell r="C59">
            <v>4</v>
          </cell>
          <cell r="D59">
            <v>-51085</v>
          </cell>
          <cell r="E59">
            <v>-25543</v>
          </cell>
          <cell r="F59">
            <v>0</v>
          </cell>
          <cell r="G59">
            <v>0</v>
          </cell>
          <cell r="H59">
            <v>0</v>
          </cell>
          <cell r="I59">
            <v>-1697</v>
          </cell>
          <cell r="K59">
            <v>0</v>
          </cell>
          <cell r="L59">
            <v>71606</v>
          </cell>
          <cell r="M59">
            <v>76969</v>
          </cell>
          <cell r="N59">
            <v>0</v>
          </cell>
          <cell r="O59">
            <v>0</v>
          </cell>
          <cell r="P59">
            <v>0</v>
          </cell>
          <cell r="Q59">
            <v>0</v>
          </cell>
          <cell r="R59">
            <v>0</v>
          </cell>
          <cell r="S59">
            <v>0</v>
          </cell>
          <cell r="T59">
            <v>0</v>
          </cell>
          <cell r="U59">
            <v>0</v>
          </cell>
          <cell r="V59">
            <v>0</v>
          </cell>
          <cell r="W59">
            <v>53136</v>
          </cell>
          <cell r="X59">
            <v>0</v>
          </cell>
          <cell r="Z59">
            <v>0</v>
          </cell>
          <cell r="AA59">
            <v>0</v>
          </cell>
          <cell r="AB59">
            <v>0</v>
          </cell>
          <cell r="AD59">
            <v>0</v>
          </cell>
          <cell r="AE59">
            <v>0</v>
          </cell>
          <cell r="AF59">
            <v>0</v>
          </cell>
          <cell r="AG59">
            <v>0</v>
          </cell>
          <cell r="AH59">
            <v>0</v>
          </cell>
          <cell r="AI59">
            <v>148777</v>
          </cell>
          <cell r="AJ59">
            <v>0</v>
          </cell>
          <cell r="AK59">
            <v>0</v>
          </cell>
          <cell r="AM59">
            <v>0</v>
          </cell>
          <cell r="AN59">
            <v>0</v>
          </cell>
          <cell r="AO59">
            <v>0</v>
          </cell>
          <cell r="AP59">
            <v>0</v>
          </cell>
          <cell r="AQ59">
            <v>0</v>
          </cell>
          <cell r="AR59">
            <v>0</v>
          </cell>
          <cell r="AS59">
            <v>0</v>
          </cell>
          <cell r="AT59">
            <v>0</v>
          </cell>
          <cell r="AU59">
            <v>4740</v>
          </cell>
          <cell r="AV59">
            <v>0</v>
          </cell>
          <cell r="AW59">
            <v>0</v>
          </cell>
          <cell r="AX59">
            <v>0</v>
          </cell>
          <cell r="BA59">
            <v>0</v>
          </cell>
          <cell r="BC59">
            <v>0</v>
          </cell>
          <cell r="BD59">
            <v>9854</v>
          </cell>
          <cell r="BF59">
            <v>0</v>
          </cell>
          <cell r="BG59">
            <v>0</v>
          </cell>
          <cell r="BH59">
            <v>0</v>
          </cell>
          <cell r="BI59">
            <v>28673</v>
          </cell>
          <cell r="BJ59">
            <v>23602</v>
          </cell>
          <cell r="BK59">
            <v>23602</v>
          </cell>
          <cell r="BL59">
            <v>0</v>
          </cell>
          <cell r="BM59">
            <v>0</v>
          </cell>
          <cell r="BN59">
            <v>0</v>
          </cell>
          <cell r="BO59">
            <v>48643</v>
          </cell>
          <cell r="BP59">
            <v>9488.4</v>
          </cell>
          <cell r="BQ59">
            <v>17093.023255814001</v>
          </cell>
          <cell r="BR59">
            <v>0</v>
          </cell>
          <cell r="BS59">
            <v>0</v>
          </cell>
          <cell r="BT59">
            <v>46639</v>
          </cell>
          <cell r="BY59">
            <v>0</v>
          </cell>
          <cell r="BZ59">
            <v>0</v>
          </cell>
          <cell r="CA59">
            <v>0</v>
          </cell>
          <cell r="CB59">
            <v>0</v>
          </cell>
          <cell r="CC59">
            <v>1949735</v>
          </cell>
          <cell r="CD59">
            <v>11044900</v>
          </cell>
          <cell r="CE59">
            <v>823084</v>
          </cell>
          <cell r="CF59">
            <v>0</v>
          </cell>
          <cell r="CG59">
            <v>823084</v>
          </cell>
          <cell r="CH59">
            <v>823084</v>
          </cell>
          <cell r="CI59">
            <v>823084</v>
          </cell>
          <cell r="CJ59">
            <v>823084</v>
          </cell>
          <cell r="CK59">
            <v>0</v>
          </cell>
          <cell r="CL59">
            <v>0</v>
          </cell>
          <cell r="CM59">
            <v>0</v>
          </cell>
          <cell r="CN59">
            <v>0</v>
          </cell>
          <cell r="CO59">
            <v>0</v>
          </cell>
          <cell r="CP59">
            <v>-613</v>
          </cell>
          <cell r="CQ59">
            <v>2866430</v>
          </cell>
          <cell r="CR59">
            <v>2734701</v>
          </cell>
          <cell r="CS59">
            <v>2648632</v>
          </cell>
          <cell r="CT59">
            <v>2544615</v>
          </cell>
          <cell r="CU59">
            <v>2461337</v>
          </cell>
          <cell r="CV59">
            <v>1709</v>
          </cell>
          <cell r="CW59">
            <v>0</v>
          </cell>
          <cell r="CX59">
            <v>0</v>
          </cell>
          <cell r="CY59">
            <v>0</v>
          </cell>
          <cell r="CZ59">
            <v>0</v>
          </cell>
          <cell r="DA59">
            <v>0</v>
          </cell>
          <cell r="DC59">
            <v>0</v>
          </cell>
          <cell r="DD59">
            <v>0</v>
          </cell>
          <cell r="DE59">
            <v>0</v>
          </cell>
          <cell r="DF59">
            <v>0</v>
          </cell>
          <cell r="DG59">
            <v>0</v>
          </cell>
          <cell r="DH59">
            <v>0</v>
          </cell>
          <cell r="DI59">
            <v>0</v>
          </cell>
          <cell r="DJ59">
            <v>0</v>
          </cell>
          <cell r="DK59">
            <v>0</v>
          </cell>
          <cell r="DL59">
            <v>0</v>
          </cell>
        </row>
        <row r="60">
          <cell r="A60">
            <v>150</v>
          </cell>
          <cell r="B60" t="str">
            <v>Deventer</v>
          </cell>
          <cell r="C60">
            <v>4</v>
          </cell>
          <cell r="D60">
            <v>144393</v>
          </cell>
          <cell r="E60">
            <v>72196</v>
          </cell>
          <cell r="F60">
            <v>0</v>
          </cell>
          <cell r="G60">
            <v>131566</v>
          </cell>
          <cell r="H60">
            <v>-155411</v>
          </cell>
          <cell r="I60">
            <v>-125347</v>
          </cell>
          <cell r="K60">
            <v>0</v>
          </cell>
          <cell r="L60">
            <v>535883</v>
          </cell>
          <cell r="M60">
            <v>543426</v>
          </cell>
          <cell r="N60">
            <v>0</v>
          </cell>
          <cell r="O60">
            <v>0</v>
          </cell>
          <cell r="P60">
            <v>150000</v>
          </cell>
          <cell r="Q60">
            <v>0</v>
          </cell>
          <cell r="R60">
            <v>0</v>
          </cell>
          <cell r="S60">
            <v>625149</v>
          </cell>
          <cell r="T60">
            <v>625149</v>
          </cell>
          <cell r="U60">
            <v>625149</v>
          </cell>
          <cell r="V60">
            <v>18000</v>
          </cell>
          <cell r="W60">
            <v>385063</v>
          </cell>
          <cell r="X60">
            <v>0</v>
          </cell>
          <cell r="Z60">
            <v>0</v>
          </cell>
          <cell r="AA60">
            <v>0</v>
          </cell>
          <cell r="AB60">
            <v>0</v>
          </cell>
          <cell r="AD60">
            <v>119291</v>
          </cell>
          <cell r="AE60">
            <v>0</v>
          </cell>
          <cell r="AF60">
            <v>0</v>
          </cell>
          <cell r="AG60">
            <v>0</v>
          </cell>
          <cell r="AH60">
            <v>0</v>
          </cell>
          <cell r="AI60">
            <v>0</v>
          </cell>
          <cell r="AJ60">
            <v>0</v>
          </cell>
          <cell r="AK60">
            <v>235941</v>
          </cell>
          <cell r="AM60">
            <v>0</v>
          </cell>
          <cell r="AN60">
            <v>0</v>
          </cell>
          <cell r="AO60">
            <v>0</v>
          </cell>
          <cell r="AP60">
            <v>0</v>
          </cell>
          <cell r="AQ60">
            <v>0</v>
          </cell>
          <cell r="AR60">
            <v>0</v>
          </cell>
          <cell r="AS60">
            <v>0</v>
          </cell>
          <cell r="AT60">
            <v>20000</v>
          </cell>
          <cell r="AU60">
            <v>2370</v>
          </cell>
          <cell r="AV60">
            <v>3956545.8042349801</v>
          </cell>
          <cell r="AW60">
            <v>0</v>
          </cell>
          <cell r="AX60">
            <v>0</v>
          </cell>
          <cell r="BA60">
            <v>0</v>
          </cell>
          <cell r="BC60">
            <v>0</v>
          </cell>
          <cell r="BD60">
            <v>34856</v>
          </cell>
          <cell r="BF60">
            <v>0</v>
          </cell>
          <cell r="BG60">
            <v>0</v>
          </cell>
          <cell r="BH60">
            <v>0</v>
          </cell>
          <cell r="BI60">
            <v>171532</v>
          </cell>
          <cell r="BJ60">
            <v>141196</v>
          </cell>
          <cell r="BK60">
            <v>141196</v>
          </cell>
          <cell r="BL60">
            <v>0</v>
          </cell>
          <cell r="BM60">
            <v>0</v>
          </cell>
          <cell r="BN60">
            <v>0</v>
          </cell>
          <cell r="BO60">
            <v>258780</v>
          </cell>
          <cell r="BP60">
            <v>18976.8</v>
          </cell>
          <cell r="BQ60">
            <v>34186.046511627901</v>
          </cell>
          <cell r="BR60">
            <v>0</v>
          </cell>
          <cell r="BS60">
            <v>0</v>
          </cell>
          <cell r="BT60">
            <v>174643</v>
          </cell>
          <cell r="BY60">
            <v>0</v>
          </cell>
          <cell r="BZ60">
            <v>0</v>
          </cell>
          <cell r="CA60">
            <v>0</v>
          </cell>
          <cell r="CB60">
            <v>0</v>
          </cell>
          <cell r="CC60">
            <v>7862284</v>
          </cell>
          <cell r="CD60">
            <v>81842649</v>
          </cell>
          <cell r="CE60">
            <v>3114255</v>
          </cell>
          <cell r="CF60">
            <v>-142075</v>
          </cell>
          <cell r="CG60">
            <v>3114255</v>
          </cell>
          <cell r="CH60">
            <v>3114255</v>
          </cell>
          <cell r="CI60">
            <v>3114255</v>
          </cell>
          <cell r="CJ60">
            <v>3114255</v>
          </cell>
          <cell r="CK60">
            <v>19900575</v>
          </cell>
          <cell r="CL60">
            <v>19890587</v>
          </cell>
          <cell r="CM60">
            <v>19890426</v>
          </cell>
          <cell r="CN60">
            <v>19890070</v>
          </cell>
          <cell r="CO60">
            <v>19890563</v>
          </cell>
          <cell r="CP60">
            <v>-23954</v>
          </cell>
          <cell r="CQ60">
            <v>18014832</v>
          </cell>
          <cell r="CR60">
            <v>17263247</v>
          </cell>
          <cell r="CS60">
            <v>16798512</v>
          </cell>
          <cell r="CT60">
            <v>16453936</v>
          </cell>
          <cell r="CU60">
            <v>16140314</v>
          </cell>
          <cell r="CV60">
            <v>-6903</v>
          </cell>
          <cell r="CW60">
            <v>0</v>
          </cell>
          <cell r="CX60">
            <v>0</v>
          </cell>
          <cell r="CY60">
            <v>0</v>
          </cell>
          <cell r="CZ60">
            <v>0</v>
          </cell>
          <cell r="DA60">
            <v>80000</v>
          </cell>
          <cell r="DC60">
            <v>0</v>
          </cell>
          <cell r="DD60">
            <v>0</v>
          </cell>
          <cell r="DE60">
            <v>0</v>
          </cell>
          <cell r="DF60">
            <v>0</v>
          </cell>
          <cell r="DG60">
            <v>0</v>
          </cell>
          <cell r="DH60">
            <v>0</v>
          </cell>
          <cell r="DI60">
            <v>0</v>
          </cell>
          <cell r="DJ60">
            <v>0</v>
          </cell>
          <cell r="DK60">
            <v>0</v>
          </cell>
          <cell r="DL60">
            <v>0</v>
          </cell>
        </row>
        <row r="61">
          <cell r="A61">
            <v>1774</v>
          </cell>
          <cell r="B61" t="str">
            <v>Dinkelland</v>
          </cell>
          <cell r="C61">
            <v>4</v>
          </cell>
          <cell r="D61">
            <v>44802</v>
          </cell>
          <cell r="E61">
            <v>22401</v>
          </cell>
          <cell r="F61">
            <v>0</v>
          </cell>
          <cell r="G61">
            <v>0</v>
          </cell>
          <cell r="H61">
            <v>-15403</v>
          </cell>
          <cell r="I61">
            <v>-13016</v>
          </cell>
          <cell r="K61">
            <v>0</v>
          </cell>
          <cell r="L61">
            <v>64563</v>
          </cell>
          <cell r="M61">
            <v>56304</v>
          </cell>
          <cell r="N61">
            <v>0</v>
          </cell>
          <cell r="O61">
            <v>0</v>
          </cell>
          <cell r="P61">
            <v>0</v>
          </cell>
          <cell r="Q61">
            <v>0</v>
          </cell>
          <cell r="R61">
            <v>0</v>
          </cell>
          <cell r="S61">
            <v>0</v>
          </cell>
          <cell r="T61">
            <v>0</v>
          </cell>
          <cell r="U61">
            <v>0</v>
          </cell>
          <cell r="V61">
            <v>0</v>
          </cell>
          <cell r="W61">
            <v>120320</v>
          </cell>
          <cell r="X61">
            <v>0</v>
          </cell>
          <cell r="Z61">
            <v>0</v>
          </cell>
          <cell r="AA61">
            <v>0</v>
          </cell>
          <cell r="AB61">
            <v>0</v>
          </cell>
          <cell r="AD61">
            <v>20000</v>
          </cell>
          <cell r="AE61">
            <v>0</v>
          </cell>
          <cell r="AF61">
            <v>0</v>
          </cell>
          <cell r="AG61">
            <v>0</v>
          </cell>
          <cell r="AH61">
            <v>0</v>
          </cell>
          <cell r="AI61">
            <v>0</v>
          </cell>
          <cell r="AJ61">
            <v>0</v>
          </cell>
          <cell r="AK61">
            <v>0</v>
          </cell>
          <cell r="AM61">
            <v>0</v>
          </cell>
          <cell r="AN61">
            <v>0</v>
          </cell>
          <cell r="AO61">
            <v>0</v>
          </cell>
          <cell r="AP61">
            <v>0</v>
          </cell>
          <cell r="AQ61">
            <v>0</v>
          </cell>
          <cell r="AR61">
            <v>0</v>
          </cell>
          <cell r="AS61">
            <v>0</v>
          </cell>
          <cell r="AT61">
            <v>0</v>
          </cell>
          <cell r="AU61">
            <v>2370</v>
          </cell>
          <cell r="AV61">
            <v>0</v>
          </cell>
          <cell r="AW61">
            <v>0</v>
          </cell>
          <cell r="AX61">
            <v>0</v>
          </cell>
          <cell r="BA61">
            <v>0</v>
          </cell>
          <cell r="BC61">
            <v>0</v>
          </cell>
          <cell r="BD61">
            <v>9213</v>
          </cell>
          <cell r="BF61">
            <v>0</v>
          </cell>
          <cell r="BG61">
            <v>0</v>
          </cell>
          <cell r="BH61">
            <v>0</v>
          </cell>
          <cell r="BI61">
            <v>29002</v>
          </cell>
          <cell r="BJ61">
            <v>23873</v>
          </cell>
          <cell r="BK61">
            <v>23873</v>
          </cell>
          <cell r="BL61">
            <v>0</v>
          </cell>
          <cell r="BM61">
            <v>0</v>
          </cell>
          <cell r="BN61">
            <v>0</v>
          </cell>
          <cell r="BO61">
            <v>63236</v>
          </cell>
          <cell r="BP61">
            <v>0</v>
          </cell>
          <cell r="BQ61">
            <v>0</v>
          </cell>
          <cell r="BR61">
            <v>0</v>
          </cell>
          <cell r="BS61">
            <v>0</v>
          </cell>
          <cell r="BT61">
            <v>45652</v>
          </cell>
          <cell r="BY61">
            <v>0</v>
          </cell>
          <cell r="BZ61">
            <v>0</v>
          </cell>
          <cell r="CA61">
            <v>0</v>
          </cell>
          <cell r="CB61">
            <v>0</v>
          </cell>
          <cell r="CC61">
            <v>1789951</v>
          </cell>
          <cell r="CD61">
            <v>10482953</v>
          </cell>
          <cell r="CE61">
            <v>1514281</v>
          </cell>
          <cell r="CF61">
            <v>-31494</v>
          </cell>
          <cell r="CG61">
            <v>1514281</v>
          </cell>
          <cell r="CH61">
            <v>1514281</v>
          </cell>
          <cell r="CI61">
            <v>1514281</v>
          </cell>
          <cell r="CJ61">
            <v>1514281</v>
          </cell>
          <cell r="CK61">
            <v>0</v>
          </cell>
          <cell r="CL61">
            <v>0</v>
          </cell>
          <cell r="CM61">
            <v>0</v>
          </cell>
          <cell r="CN61">
            <v>0</v>
          </cell>
          <cell r="CO61">
            <v>0</v>
          </cell>
          <cell r="CP61">
            <v>0</v>
          </cell>
          <cell r="CQ61">
            <v>2297821</v>
          </cell>
          <cell r="CR61">
            <v>2147290</v>
          </cell>
          <cell r="CS61">
            <v>2029634</v>
          </cell>
          <cell r="CT61">
            <v>1919262</v>
          </cell>
          <cell r="CU61">
            <v>1807982</v>
          </cell>
          <cell r="CV61">
            <v>19387</v>
          </cell>
          <cell r="CW61">
            <v>0</v>
          </cell>
          <cell r="CX61">
            <v>0</v>
          </cell>
          <cell r="CY61">
            <v>0</v>
          </cell>
          <cell r="CZ61">
            <v>0</v>
          </cell>
          <cell r="DA61">
            <v>0</v>
          </cell>
          <cell r="DC61">
            <v>0</v>
          </cell>
          <cell r="DD61">
            <v>0</v>
          </cell>
          <cell r="DE61">
            <v>0</v>
          </cell>
          <cell r="DF61">
            <v>0</v>
          </cell>
          <cell r="DG61">
            <v>0</v>
          </cell>
          <cell r="DH61">
            <v>0</v>
          </cell>
          <cell r="DI61">
            <v>0</v>
          </cell>
          <cell r="DJ61">
            <v>0</v>
          </cell>
          <cell r="DK61">
            <v>0</v>
          </cell>
          <cell r="DL61">
            <v>0</v>
          </cell>
        </row>
        <row r="62">
          <cell r="A62">
            <v>153</v>
          </cell>
          <cell r="B62" t="str">
            <v>Enschede</v>
          </cell>
          <cell r="C62">
            <v>4</v>
          </cell>
          <cell r="D62">
            <v>564371</v>
          </cell>
          <cell r="E62">
            <v>282185</v>
          </cell>
          <cell r="F62">
            <v>0</v>
          </cell>
          <cell r="G62">
            <v>0</v>
          </cell>
          <cell r="H62">
            <v>-168310</v>
          </cell>
          <cell r="I62">
            <v>0</v>
          </cell>
          <cell r="K62">
            <v>7500</v>
          </cell>
          <cell r="L62">
            <v>1172997</v>
          </cell>
          <cell r="M62">
            <v>1208221</v>
          </cell>
          <cell r="N62">
            <v>0</v>
          </cell>
          <cell r="O62">
            <v>0</v>
          </cell>
          <cell r="P62">
            <v>404571</v>
          </cell>
          <cell r="Q62">
            <v>0</v>
          </cell>
          <cell r="R62">
            <v>0</v>
          </cell>
          <cell r="S62">
            <v>1574112</v>
          </cell>
          <cell r="T62">
            <v>1574112</v>
          </cell>
          <cell r="U62">
            <v>1574112</v>
          </cell>
          <cell r="V62">
            <v>45000</v>
          </cell>
          <cell r="W62">
            <v>563502</v>
          </cell>
          <cell r="X62">
            <v>0</v>
          </cell>
          <cell r="Z62">
            <v>0</v>
          </cell>
          <cell r="AA62">
            <v>40000</v>
          </cell>
          <cell r="AB62">
            <v>0</v>
          </cell>
          <cell r="AD62">
            <v>580813</v>
          </cell>
          <cell r="AE62">
            <v>0</v>
          </cell>
          <cell r="AF62">
            <v>0</v>
          </cell>
          <cell r="AG62">
            <v>0</v>
          </cell>
          <cell r="AH62">
            <v>0</v>
          </cell>
          <cell r="AI62">
            <v>0</v>
          </cell>
          <cell r="AJ62">
            <v>0</v>
          </cell>
          <cell r="AK62">
            <v>793023</v>
          </cell>
          <cell r="AM62">
            <v>0</v>
          </cell>
          <cell r="AN62">
            <v>0</v>
          </cell>
          <cell r="AO62">
            <v>0</v>
          </cell>
          <cell r="AP62">
            <v>0</v>
          </cell>
          <cell r="AQ62">
            <v>0</v>
          </cell>
          <cell r="AR62">
            <v>0</v>
          </cell>
          <cell r="AS62">
            <v>0</v>
          </cell>
          <cell r="AT62">
            <v>20000</v>
          </cell>
          <cell r="AU62">
            <v>4740</v>
          </cell>
          <cell r="AV62">
            <v>9174891.4508063495</v>
          </cell>
          <cell r="AW62">
            <v>96207</v>
          </cell>
          <cell r="AX62">
            <v>0</v>
          </cell>
          <cell r="BA62">
            <v>0</v>
          </cell>
          <cell r="BC62">
            <v>0</v>
          </cell>
          <cell r="BD62">
            <v>55513</v>
          </cell>
          <cell r="BF62">
            <v>0</v>
          </cell>
          <cell r="BG62">
            <v>0</v>
          </cell>
          <cell r="BH62">
            <v>0</v>
          </cell>
          <cell r="BI62">
            <v>331753</v>
          </cell>
          <cell r="BJ62">
            <v>273082</v>
          </cell>
          <cell r="BK62">
            <v>273082</v>
          </cell>
          <cell r="BL62">
            <v>0</v>
          </cell>
          <cell r="BM62">
            <v>0</v>
          </cell>
          <cell r="BN62">
            <v>277200</v>
          </cell>
          <cell r="BO62">
            <v>330285</v>
          </cell>
          <cell r="BP62">
            <v>22139.599999999999</v>
          </cell>
          <cell r="BQ62">
            <v>39883.720930232601</v>
          </cell>
          <cell r="BR62">
            <v>0</v>
          </cell>
          <cell r="BS62">
            <v>0</v>
          </cell>
          <cell r="BT62">
            <v>313920</v>
          </cell>
          <cell r="BY62">
            <v>4095529.5975298402</v>
          </cell>
          <cell r="BZ62">
            <v>4734319.4288211698</v>
          </cell>
          <cell r="CA62">
            <v>4788889.4144088803</v>
          </cell>
          <cell r="CB62">
            <v>4942969.3737153299</v>
          </cell>
          <cell r="CC62">
            <v>13251717</v>
          </cell>
          <cell r="CD62">
            <v>153672761</v>
          </cell>
          <cell r="CE62">
            <v>6982981</v>
          </cell>
          <cell r="CF62">
            <v>0</v>
          </cell>
          <cell r="CG62">
            <v>6982981</v>
          </cell>
          <cell r="CH62">
            <v>6982981</v>
          </cell>
          <cell r="CI62">
            <v>6982981</v>
          </cell>
          <cell r="CJ62">
            <v>6982981</v>
          </cell>
          <cell r="CK62">
            <v>45759420</v>
          </cell>
          <cell r="CL62">
            <v>45736453</v>
          </cell>
          <cell r="CM62">
            <v>45736081</v>
          </cell>
          <cell r="CN62">
            <v>45735265</v>
          </cell>
          <cell r="CO62">
            <v>45736397</v>
          </cell>
          <cell r="CP62">
            <v>0</v>
          </cell>
          <cell r="CQ62">
            <v>28685818</v>
          </cell>
          <cell r="CR62">
            <v>27114776</v>
          </cell>
          <cell r="CS62">
            <v>26018217</v>
          </cell>
          <cell r="CT62">
            <v>24889772</v>
          </cell>
          <cell r="CU62">
            <v>23950850</v>
          </cell>
          <cell r="CV62">
            <v>547267</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row>
        <row r="63">
          <cell r="A63">
            <v>158</v>
          </cell>
          <cell r="B63" t="str">
            <v>Haaksbergen</v>
          </cell>
          <cell r="C63">
            <v>4</v>
          </cell>
          <cell r="D63">
            <v>27943</v>
          </cell>
          <cell r="E63">
            <v>13972</v>
          </cell>
          <cell r="F63">
            <v>0</v>
          </cell>
          <cell r="G63">
            <v>0</v>
          </cell>
          <cell r="H63">
            <v>-27373</v>
          </cell>
          <cell r="I63">
            <v>-5961</v>
          </cell>
          <cell r="K63">
            <v>0</v>
          </cell>
          <cell r="L63">
            <v>87742</v>
          </cell>
          <cell r="M63">
            <v>78159</v>
          </cell>
          <cell r="N63">
            <v>0</v>
          </cell>
          <cell r="O63">
            <v>0</v>
          </cell>
          <cell r="P63">
            <v>0</v>
          </cell>
          <cell r="Q63">
            <v>0</v>
          </cell>
          <cell r="R63">
            <v>0</v>
          </cell>
          <cell r="S63">
            <v>0</v>
          </cell>
          <cell r="T63">
            <v>0</v>
          </cell>
          <cell r="U63">
            <v>0</v>
          </cell>
          <cell r="V63">
            <v>3000</v>
          </cell>
          <cell r="W63">
            <v>73339</v>
          </cell>
          <cell r="X63">
            <v>0</v>
          </cell>
          <cell r="Z63">
            <v>0</v>
          </cell>
          <cell r="AA63">
            <v>0</v>
          </cell>
          <cell r="AB63">
            <v>0</v>
          </cell>
          <cell r="AD63">
            <v>0</v>
          </cell>
          <cell r="AE63">
            <v>0</v>
          </cell>
          <cell r="AF63">
            <v>0</v>
          </cell>
          <cell r="AG63">
            <v>0</v>
          </cell>
          <cell r="AH63">
            <v>0</v>
          </cell>
          <cell r="AI63">
            <v>0</v>
          </cell>
          <cell r="AJ63">
            <v>0</v>
          </cell>
          <cell r="AK63">
            <v>0</v>
          </cell>
          <cell r="AM63">
            <v>0</v>
          </cell>
          <cell r="AN63">
            <v>0</v>
          </cell>
          <cell r="AO63">
            <v>0</v>
          </cell>
          <cell r="AP63">
            <v>0</v>
          </cell>
          <cell r="AQ63">
            <v>0</v>
          </cell>
          <cell r="AR63">
            <v>0</v>
          </cell>
          <cell r="AS63">
            <v>0</v>
          </cell>
          <cell r="AT63">
            <v>0</v>
          </cell>
          <cell r="AU63">
            <v>0</v>
          </cell>
          <cell r="AV63">
            <v>0</v>
          </cell>
          <cell r="AW63">
            <v>0</v>
          </cell>
          <cell r="AX63">
            <v>0</v>
          </cell>
          <cell r="BA63">
            <v>0</v>
          </cell>
          <cell r="BC63">
            <v>0</v>
          </cell>
          <cell r="BD63">
            <v>8520</v>
          </cell>
          <cell r="BF63">
            <v>0</v>
          </cell>
          <cell r="BG63">
            <v>0</v>
          </cell>
          <cell r="BH63">
            <v>0</v>
          </cell>
          <cell r="BI63">
            <v>32097</v>
          </cell>
          <cell r="BJ63">
            <v>26421</v>
          </cell>
          <cell r="BK63">
            <v>26421</v>
          </cell>
          <cell r="BL63">
            <v>0</v>
          </cell>
          <cell r="BM63">
            <v>0</v>
          </cell>
          <cell r="BN63">
            <v>0</v>
          </cell>
          <cell r="BO63">
            <v>40860</v>
          </cell>
          <cell r="BP63">
            <v>0</v>
          </cell>
          <cell r="BQ63">
            <v>0</v>
          </cell>
          <cell r="BR63">
            <v>0</v>
          </cell>
          <cell r="BS63">
            <v>0</v>
          </cell>
          <cell r="BT63">
            <v>40269</v>
          </cell>
          <cell r="BY63">
            <v>0</v>
          </cell>
          <cell r="BZ63">
            <v>0</v>
          </cell>
          <cell r="CA63">
            <v>0</v>
          </cell>
          <cell r="CB63">
            <v>0</v>
          </cell>
          <cell r="CC63">
            <v>1968839</v>
          </cell>
          <cell r="CD63">
            <v>10066570</v>
          </cell>
          <cell r="CE63">
            <v>260951</v>
          </cell>
          <cell r="CF63">
            <v>0</v>
          </cell>
          <cell r="CG63">
            <v>260951</v>
          </cell>
          <cell r="CH63">
            <v>260951</v>
          </cell>
          <cell r="CI63">
            <v>260951</v>
          </cell>
          <cell r="CJ63">
            <v>260951</v>
          </cell>
          <cell r="CK63">
            <v>0</v>
          </cell>
          <cell r="CL63">
            <v>0</v>
          </cell>
          <cell r="CM63">
            <v>0</v>
          </cell>
          <cell r="CN63">
            <v>0</v>
          </cell>
          <cell r="CO63">
            <v>0</v>
          </cell>
          <cell r="CP63">
            <v>-2157</v>
          </cell>
          <cell r="CQ63">
            <v>2326884</v>
          </cell>
          <cell r="CR63">
            <v>2164548</v>
          </cell>
          <cell r="CS63">
            <v>2117384</v>
          </cell>
          <cell r="CT63">
            <v>2075616</v>
          </cell>
          <cell r="CU63">
            <v>2049577</v>
          </cell>
          <cell r="CV63">
            <v>20196</v>
          </cell>
          <cell r="CW63">
            <v>0</v>
          </cell>
          <cell r="CX63">
            <v>0</v>
          </cell>
          <cell r="CY63">
            <v>0</v>
          </cell>
          <cell r="CZ63">
            <v>0</v>
          </cell>
          <cell r="DA63">
            <v>0</v>
          </cell>
          <cell r="DC63">
            <v>0</v>
          </cell>
          <cell r="DD63">
            <v>0</v>
          </cell>
          <cell r="DE63">
            <v>0</v>
          </cell>
          <cell r="DF63">
            <v>0</v>
          </cell>
          <cell r="DG63">
            <v>0</v>
          </cell>
          <cell r="DH63">
            <v>0</v>
          </cell>
          <cell r="DI63">
            <v>0</v>
          </cell>
          <cell r="DJ63">
            <v>0</v>
          </cell>
          <cell r="DK63">
            <v>0</v>
          </cell>
          <cell r="DL63">
            <v>0</v>
          </cell>
        </row>
        <row r="64">
          <cell r="A64">
            <v>160</v>
          </cell>
          <cell r="B64" t="str">
            <v>Hardenberg</v>
          </cell>
          <cell r="C64">
            <v>4</v>
          </cell>
          <cell r="D64">
            <v>10215</v>
          </cell>
          <cell r="E64">
            <v>5108</v>
          </cell>
          <cell r="F64">
            <v>0</v>
          </cell>
          <cell r="G64">
            <v>0</v>
          </cell>
          <cell r="H64">
            <v>-50289</v>
          </cell>
          <cell r="I64">
            <v>-4273</v>
          </cell>
          <cell r="K64">
            <v>0</v>
          </cell>
          <cell r="L64">
            <v>218619</v>
          </cell>
          <cell r="M64">
            <v>212123</v>
          </cell>
          <cell r="N64">
            <v>0</v>
          </cell>
          <cell r="O64">
            <v>0</v>
          </cell>
          <cell r="P64">
            <v>0</v>
          </cell>
          <cell r="Q64">
            <v>0</v>
          </cell>
          <cell r="R64">
            <v>0</v>
          </cell>
          <cell r="S64">
            <v>0</v>
          </cell>
          <cell r="T64">
            <v>0</v>
          </cell>
          <cell r="U64">
            <v>0</v>
          </cell>
          <cell r="V64">
            <v>3000</v>
          </cell>
          <cell r="W64">
            <v>262410</v>
          </cell>
          <cell r="X64">
            <v>0</v>
          </cell>
          <cell r="Z64">
            <v>0</v>
          </cell>
          <cell r="AA64">
            <v>0</v>
          </cell>
          <cell r="AB64">
            <v>0</v>
          </cell>
          <cell r="AD64">
            <v>27378</v>
          </cell>
          <cell r="AE64">
            <v>0</v>
          </cell>
          <cell r="AF64">
            <v>0</v>
          </cell>
          <cell r="AG64">
            <v>0</v>
          </cell>
          <cell r="AH64">
            <v>0</v>
          </cell>
          <cell r="AI64">
            <v>0</v>
          </cell>
          <cell r="AJ64">
            <v>0</v>
          </cell>
          <cell r="AK64">
            <v>0</v>
          </cell>
          <cell r="AM64">
            <v>0</v>
          </cell>
          <cell r="AN64">
            <v>0</v>
          </cell>
          <cell r="AO64">
            <v>0</v>
          </cell>
          <cell r="AP64">
            <v>0</v>
          </cell>
          <cell r="AQ64">
            <v>0</v>
          </cell>
          <cell r="AR64">
            <v>0</v>
          </cell>
          <cell r="AS64">
            <v>0</v>
          </cell>
          <cell r="AT64">
            <v>0</v>
          </cell>
          <cell r="AU64">
            <v>9480</v>
          </cell>
          <cell r="AV64">
            <v>0</v>
          </cell>
          <cell r="AW64">
            <v>0</v>
          </cell>
          <cell r="AX64">
            <v>0</v>
          </cell>
          <cell r="BA64">
            <v>0</v>
          </cell>
          <cell r="BC64">
            <v>0</v>
          </cell>
          <cell r="BD64">
            <v>21136</v>
          </cell>
          <cell r="BF64">
            <v>0</v>
          </cell>
          <cell r="BG64">
            <v>0</v>
          </cell>
          <cell r="BH64">
            <v>0</v>
          </cell>
          <cell r="BI64">
            <v>75367</v>
          </cell>
          <cell r="BJ64">
            <v>62038</v>
          </cell>
          <cell r="BK64">
            <v>62038</v>
          </cell>
          <cell r="BL64">
            <v>0</v>
          </cell>
          <cell r="BM64">
            <v>0</v>
          </cell>
          <cell r="BN64">
            <v>0</v>
          </cell>
          <cell r="BO64">
            <v>261698</v>
          </cell>
          <cell r="BP64">
            <v>6325.6</v>
          </cell>
          <cell r="BQ64">
            <v>11395.3488372093</v>
          </cell>
          <cell r="BR64">
            <v>0</v>
          </cell>
          <cell r="BS64">
            <v>0</v>
          </cell>
          <cell r="BT64">
            <v>113678</v>
          </cell>
          <cell r="BY64">
            <v>0</v>
          </cell>
          <cell r="BZ64">
            <v>0</v>
          </cell>
          <cell r="CA64">
            <v>0</v>
          </cell>
          <cell r="CB64">
            <v>0</v>
          </cell>
          <cell r="CC64">
            <v>4414604</v>
          </cell>
          <cell r="CD64">
            <v>33808888</v>
          </cell>
          <cell r="CE64">
            <v>2868747</v>
          </cell>
          <cell r="CF64">
            <v>-10331</v>
          </cell>
          <cell r="CG64">
            <v>2868747</v>
          </cell>
          <cell r="CH64">
            <v>2868747</v>
          </cell>
          <cell r="CI64">
            <v>2868747</v>
          </cell>
          <cell r="CJ64">
            <v>2868747</v>
          </cell>
          <cell r="CK64">
            <v>0</v>
          </cell>
          <cell r="CL64">
            <v>0</v>
          </cell>
          <cell r="CM64">
            <v>0</v>
          </cell>
          <cell r="CN64">
            <v>0</v>
          </cell>
          <cell r="CO64">
            <v>0</v>
          </cell>
          <cell r="CP64">
            <v>0</v>
          </cell>
          <cell r="CQ64">
            <v>8963154</v>
          </cell>
          <cell r="CR64">
            <v>8555424</v>
          </cell>
          <cell r="CS64">
            <v>8302937</v>
          </cell>
          <cell r="CT64">
            <v>8084073</v>
          </cell>
          <cell r="CU64">
            <v>7844110</v>
          </cell>
          <cell r="CV64">
            <v>305742</v>
          </cell>
          <cell r="CW64">
            <v>0</v>
          </cell>
          <cell r="CX64">
            <v>0</v>
          </cell>
          <cell r="CY64">
            <v>0</v>
          </cell>
          <cell r="CZ64">
            <v>0</v>
          </cell>
          <cell r="DA64">
            <v>0</v>
          </cell>
          <cell r="DC64">
            <v>3750</v>
          </cell>
          <cell r="DD64">
            <v>0</v>
          </cell>
          <cell r="DE64">
            <v>0</v>
          </cell>
          <cell r="DF64">
            <v>0</v>
          </cell>
          <cell r="DG64">
            <v>0</v>
          </cell>
          <cell r="DH64">
            <v>0</v>
          </cell>
          <cell r="DI64">
            <v>0</v>
          </cell>
          <cell r="DJ64">
            <v>0</v>
          </cell>
          <cell r="DK64">
            <v>0</v>
          </cell>
          <cell r="DL64">
            <v>0</v>
          </cell>
        </row>
        <row r="65">
          <cell r="A65">
            <v>163</v>
          </cell>
          <cell r="B65" t="str">
            <v>Hellendoorn</v>
          </cell>
          <cell r="C65">
            <v>4</v>
          </cell>
          <cell r="D65">
            <v>17682</v>
          </cell>
          <cell r="E65">
            <v>8841</v>
          </cell>
          <cell r="F65">
            <v>0</v>
          </cell>
          <cell r="G65">
            <v>0</v>
          </cell>
          <cell r="H65">
            <v>-28602</v>
          </cell>
          <cell r="I65">
            <v>-9367</v>
          </cell>
          <cell r="K65">
            <v>0</v>
          </cell>
          <cell r="L65">
            <v>123674</v>
          </cell>
          <cell r="M65">
            <v>116275</v>
          </cell>
          <cell r="N65">
            <v>0</v>
          </cell>
          <cell r="O65">
            <v>0</v>
          </cell>
          <cell r="P65">
            <v>0</v>
          </cell>
          <cell r="Q65">
            <v>0</v>
          </cell>
          <cell r="R65">
            <v>0</v>
          </cell>
          <cell r="S65">
            <v>0</v>
          </cell>
          <cell r="T65">
            <v>0</v>
          </cell>
          <cell r="U65">
            <v>0</v>
          </cell>
          <cell r="V65">
            <v>3000</v>
          </cell>
          <cell r="W65">
            <v>146950</v>
          </cell>
          <cell r="X65">
            <v>0</v>
          </cell>
          <cell r="Z65">
            <v>0</v>
          </cell>
          <cell r="AA65">
            <v>0</v>
          </cell>
          <cell r="AB65">
            <v>0</v>
          </cell>
          <cell r="AD65">
            <v>20000</v>
          </cell>
          <cell r="AE65">
            <v>0</v>
          </cell>
          <cell r="AF65">
            <v>0</v>
          </cell>
          <cell r="AG65">
            <v>0</v>
          </cell>
          <cell r="AH65">
            <v>0</v>
          </cell>
          <cell r="AI65">
            <v>0</v>
          </cell>
          <cell r="AJ65">
            <v>0</v>
          </cell>
          <cell r="AK65">
            <v>0</v>
          </cell>
          <cell r="AM65">
            <v>0</v>
          </cell>
          <cell r="AN65">
            <v>0</v>
          </cell>
          <cell r="AO65">
            <v>0</v>
          </cell>
          <cell r="AP65">
            <v>0</v>
          </cell>
          <cell r="AQ65">
            <v>0</v>
          </cell>
          <cell r="AR65">
            <v>0</v>
          </cell>
          <cell r="AS65">
            <v>0</v>
          </cell>
          <cell r="AT65">
            <v>0</v>
          </cell>
          <cell r="AU65">
            <v>2370</v>
          </cell>
          <cell r="AV65">
            <v>0</v>
          </cell>
          <cell r="AW65">
            <v>0</v>
          </cell>
          <cell r="AX65">
            <v>0</v>
          </cell>
          <cell r="BA65">
            <v>0</v>
          </cell>
          <cell r="BC65">
            <v>0</v>
          </cell>
          <cell r="BD65">
            <v>12557</v>
          </cell>
          <cell r="BF65">
            <v>0</v>
          </cell>
          <cell r="BG65">
            <v>0</v>
          </cell>
          <cell r="BH65">
            <v>0</v>
          </cell>
          <cell r="BI65">
            <v>48284</v>
          </cell>
          <cell r="BJ65">
            <v>39745</v>
          </cell>
          <cell r="BK65">
            <v>39745</v>
          </cell>
          <cell r="BL65">
            <v>0</v>
          </cell>
          <cell r="BM65">
            <v>0</v>
          </cell>
          <cell r="BN65">
            <v>0</v>
          </cell>
          <cell r="BO65">
            <v>148847</v>
          </cell>
          <cell r="BP65">
            <v>11069.8</v>
          </cell>
          <cell r="BQ65">
            <v>19941.8604651163</v>
          </cell>
          <cell r="BR65">
            <v>0</v>
          </cell>
          <cell r="BS65">
            <v>0</v>
          </cell>
          <cell r="BT65">
            <v>57593</v>
          </cell>
          <cell r="BY65">
            <v>0</v>
          </cell>
          <cell r="BZ65">
            <v>0</v>
          </cell>
          <cell r="CA65">
            <v>0</v>
          </cell>
          <cell r="CB65">
            <v>0</v>
          </cell>
          <cell r="CC65">
            <v>2924401</v>
          </cell>
          <cell r="CD65">
            <v>16793894</v>
          </cell>
          <cell r="CE65">
            <v>1295444</v>
          </cell>
          <cell r="CF65">
            <v>-22705</v>
          </cell>
          <cell r="CG65">
            <v>1295444</v>
          </cell>
          <cell r="CH65">
            <v>1295444</v>
          </cell>
          <cell r="CI65">
            <v>1295444</v>
          </cell>
          <cell r="CJ65">
            <v>1295444</v>
          </cell>
          <cell r="CK65">
            <v>0</v>
          </cell>
          <cell r="CL65">
            <v>0</v>
          </cell>
          <cell r="CM65">
            <v>0</v>
          </cell>
          <cell r="CN65">
            <v>0</v>
          </cell>
          <cell r="CO65">
            <v>0</v>
          </cell>
          <cell r="CP65">
            <v>0</v>
          </cell>
          <cell r="CQ65">
            <v>3576010</v>
          </cell>
          <cell r="CR65">
            <v>3364194</v>
          </cell>
          <cell r="CS65">
            <v>3258353</v>
          </cell>
          <cell r="CT65">
            <v>3165911</v>
          </cell>
          <cell r="CU65">
            <v>3060751</v>
          </cell>
          <cell r="CV65">
            <v>-6733</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row>
        <row r="66">
          <cell r="A66">
            <v>164</v>
          </cell>
          <cell r="B66" t="str">
            <v>Hengelo O</v>
          </cell>
          <cell r="C66">
            <v>4</v>
          </cell>
          <cell r="D66">
            <v>136619</v>
          </cell>
          <cell r="E66">
            <v>68309</v>
          </cell>
          <cell r="F66">
            <v>0</v>
          </cell>
          <cell r="G66">
            <v>0</v>
          </cell>
          <cell r="H66">
            <v>0</v>
          </cell>
          <cell r="I66">
            <v>0</v>
          </cell>
          <cell r="K66">
            <v>0</v>
          </cell>
          <cell r="L66">
            <v>451244</v>
          </cell>
          <cell r="M66">
            <v>454029</v>
          </cell>
          <cell r="N66">
            <v>0</v>
          </cell>
          <cell r="O66">
            <v>0</v>
          </cell>
          <cell r="P66">
            <v>0</v>
          </cell>
          <cell r="Q66">
            <v>0</v>
          </cell>
          <cell r="R66">
            <v>0</v>
          </cell>
          <cell r="S66">
            <v>839389</v>
          </cell>
          <cell r="T66">
            <v>839389</v>
          </cell>
          <cell r="U66">
            <v>839389</v>
          </cell>
          <cell r="V66">
            <v>12000</v>
          </cell>
          <cell r="W66">
            <v>326361</v>
          </cell>
          <cell r="X66">
            <v>0</v>
          </cell>
          <cell r="Z66">
            <v>0</v>
          </cell>
          <cell r="AA66">
            <v>0</v>
          </cell>
          <cell r="AB66">
            <v>0</v>
          </cell>
          <cell r="AD66">
            <v>158403</v>
          </cell>
          <cell r="AE66">
            <v>0</v>
          </cell>
          <cell r="AF66">
            <v>0</v>
          </cell>
          <cell r="AG66">
            <v>0</v>
          </cell>
          <cell r="AH66">
            <v>0</v>
          </cell>
          <cell r="AI66">
            <v>0</v>
          </cell>
          <cell r="AJ66">
            <v>0</v>
          </cell>
          <cell r="AK66">
            <v>74792</v>
          </cell>
          <cell r="AM66">
            <v>0</v>
          </cell>
          <cell r="AN66">
            <v>0</v>
          </cell>
          <cell r="AO66">
            <v>0</v>
          </cell>
          <cell r="AP66">
            <v>0</v>
          </cell>
          <cell r="AQ66">
            <v>0</v>
          </cell>
          <cell r="AR66">
            <v>0</v>
          </cell>
          <cell r="AS66">
            <v>0</v>
          </cell>
          <cell r="AT66">
            <v>20000</v>
          </cell>
          <cell r="AU66">
            <v>7110</v>
          </cell>
          <cell r="AV66">
            <v>0</v>
          </cell>
          <cell r="AW66">
            <v>0</v>
          </cell>
          <cell r="AX66">
            <v>0</v>
          </cell>
          <cell r="BA66">
            <v>0</v>
          </cell>
          <cell r="BC66">
            <v>0</v>
          </cell>
          <cell r="BD66">
            <v>28364</v>
          </cell>
          <cell r="BF66">
            <v>0</v>
          </cell>
          <cell r="BG66">
            <v>0</v>
          </cell>
          <cell r="BH66">
            <v>0</v>
          </cell>
          <cell r="BI66">
            <v>150389</v>
          </cell>
          <cell r="BJ66">
            <v>123792</v>
          </cell>
          <cell r="BK66">
            <v>123792</v>
          </cell>
          <cell r="BL66">
            <v>0</v>
          </cell>
          <cell r="BM66">
            <v>0</v>
          </cell>
          <cell r="BN66">
            <v>0</v>
          </cell>
          <cell r="BO66">
            <v>231540</v>
          </cell>
          <cell r="BP66">
            <v>23721</v>
          </cell>
          <cell r="BQ66">
            <v>42732.5581395349</v>
          </cell>
          <cell r="BR66">
            <v>0</v>
          </cell>
          <cell r="BS66">
            <v>0</v>
          </cell>
          <cell r="BT66">
            <v>139324</v>
          </cell>
          <cell r="BY66">
            <v>0</v>
          </cell>
          <cell r="BZ66">
            <v>0</v>
          </cell>
          <cell r="CA66">
            <v>0</v>
          </cell>
          <cell r="CB66">
            <v>0</v>
          </cell>
          <cell r="CC66">
            <v>6860388</v>
          </cell>
          <cell r="CD66">
            <v>48845623</v>
          </cell>
          <cell r="CE66">
            <v>6316867</v>
          </cell>
          <cell r="CF66">
            <v>0</v>
          </cell>
          <cell r="CG66">
            <v>6316867</v>
          </cell>
          <cell r="CH66">
            <v>6316867</v>
          </cell>
          <cell r="CI66">
            <v>6316867</v>
          </cell>
          <cell r="CJ66">
            <v>6316867</v>
          </cell>
          <cell r="CK66">
            <v>0</v>
          </cell>
          <cell r="CL66">
            <v>0</v>
          </cell>
          <cell r="CM66">
            <v>0</v>
          </cell>
          <cell r="CN66">
            <v>0</v>
          </cell>
          <cell r="CO66">
            <v>0</v>
          </cell>
          <cell r="CP66">
            <v>0</v>
          </cell>
          <cell r="CQ66">
            <v>12485937</v>
          </cell>
          <cell r="CR66">
            <v>11965419</v>
          </cell>
          <cell r="CS66">
            <v>11688192</v>
          </cell>
          <cell r="CT66">
            <v>11437996</v>
          </cell>
          <cell r="CU66">
            <v>11141791</v>
          </cell>
          <cell r="CV66">
            <v>80224</v>
          </cell>
          <cell r="CW66">
            <v>0</v>
          </cell>
          <cell r="CX66">
            <v>0</v>
          </cell>
          <cell r="CY66">
            <v>0</v>
          </cell>
          <cell r="CZ66">
            <v>0</v>
          </cell>
          <cell r="DA66">
            <v>0</v>
          </cell>
          <cell r="DC66">
            <v>0</v>
          </cell>
          <cell r="DD66">
            <v>0</v>
          </cell>
          <cell r="DE66">
            <v>0</v>
          </cell>
          <cell r="DF66">
            <v>0</v>
          </cell>
          <cell r="DG66">
            <v>0</v>
          </cell>
          <cell r="DH66">
            <v>0</v>
          </cell>
          <cell r="DI66">
            <v>0</v>
          </cell>
          <cell r="DJ66">
            <v>0</v>
          </cell>
          <cell r="DK66">
            <v>0</v>
          </cell>
          <cell r="DL66">
            <v>0</v>
          </cell>
        </row>
        <row r="67">
          <cell r="A67">
            <v>1735</v>
          </cell>
          <cell r="B67" t="str">
            <v>Hof van Twente</v>
          </cell>
          <cell r="C67">
            <v>4</v>
          </cell>
          <cell r="D67">
            <v>-8374</v>
          </cell>
          <cell r="E67">
            <v>-4187</v>
          </cell>
          <cell r="F67">
            <v>0</v>
          </cell>
          <cell r="G67">
            <v>0</v>
          </cell>
          <cell r="H67">
            <v>-24653</v>
          </cell>
          <cell r="I67">
            <v>0</v>
          </cell>
          <cell r="K67">
            <v>0</v>
          </cell>
          <cell r="L67">
            <v>96098</v>
          </cell>
          <cell r="M67">
            <v>105133</v>
          </cell>
          <cell r="N67">
            <v>0</v>
          </cell>
          <cell r="O67">
            <v>0</v>
          </cell>
          <cell r="P67">
            <v>0</v>
          </cell>
          <cell r="Q67">
            <v>0</v>
          </cell>
          <cell r="R67">
            <v>0</v>
          </cell>
          <cell r="S67">
            <v>0</v>
          </cell>
          <cell r="T67">
            <v>0</v>
          </cell>
          <cell r="U67">
            <v>0</v>
          </cell>
          <cell r="V67">
            <v>0</v>
          </cell>
          <cell r="W67">
            <v>141702</v>
          </cell>
          <cell r="X67">
            <v>0</v>
          </cell>
          <cell r="Z67">
            <v>0</v>
          </cell>
          <cell r="AA67">
            <v>0</v>
          </cell>
          <cell r="AB67">
            <v>53960</v>
          </cell>
          <cell r="AD67">
            <v>0</v>
          </cell>
          <cell r="AE67">
            <v>0</v>
          </cell>
          <cell r="AF67">
            <v>0</v>
          </cell>
          <cell r="AG67">
            <v>0</v>
          </cell>
          <cell r="AH67">
            <v>0</v>
          </cell>
          <cell r="AI67">
            <v>0</v>
          </cell>
          <cell r="AJ67">
            <v>0</v>
          </cell>
          <cell r="AK67">
            <v>0</v>
          </cell>
          <cell r="AM67">
            <v>0</v>
          </cell>
          <cell r="AN67">
            <v>0</v>
          </cell>
          <cell r="AO67">
            <v>0</v>
          </cell>
          <cell r="AP67">
            <v>0</v>
          </cell>
          <cell r="AQ67">
            <v>0</v>
          </cell>
          <cell r="AR67">
            <v>0</v>
          </cell>
          <cell r="AS67">
            <v>0</v>
          </cell>
          <cell r="AT67">
            <v>0</v>
          </cell>
          <cell r="AU67">
            <v>0</v>
          </cell>
          <cell r="AV67">
            <v>0</v>
          </cell>
          <cell r="AW67">
            <v>0</v>
          </cell>
          <cell r="AX67">
            <v>0</v>
          </cell>
          <cell r="BA67">
            <v>0</v>
          </cell>
          <cell r="BC67">
            <v>0</v>
          </cell>
          <cell r="BD67">
            <v>12290</v>
          </cell>
          <cell r="BF67">
            <v>0</v>
          </cell>
          <cell r="BG67">
            <v>0</v>
          </cell>
          <cell r="BH67">
            <v>0</v>
          </cell>
          <cell r="BI67">
            <v>43050</v>
          </cell>
          <cell r="BJ67">
            <v>35437</v>
          </cell>
          <cell r="BK67">
            <v>35437</v>
          </cell>
          <cell r="BL67">
            <v>0</v>
          </cell>
          <cell r="BM67">
            <v>0</v>
          </cell>
          <cell r="BN67">
            <v>0</v>
          </cell>
          <cell r="BO67">
            <v>133768</v>
          </cell>
          <cell r="BP67">
            <v>0</v>
          </cell>
          <cell r="BQ67">
            <v>0</v>
          </cell>
          <cell r="BR67">
            <v>0</v>
          </cell>
          <cell r="BS67">
            <v>0</v>
          </cell>
          <cell r="BT67">
            <v>54608</v>
          </cell>
          <cell r="BY67">
            <v>0</v>
          </cell>
          <cell r="BZ67">
            <v>0</v>
          </cell>
          <cell r="CA67">
            <v>0</v>
          </cell>
          <cell r="CB67">
            <v>0</v>
          </cell>
          <cell r="CC67">
            <v>3007914</v>
          </cell>
          <cell r="CD67">
            <v>13014585</v>
          </cell>
          <cell r="CE67">
            <v>947639</v>
          </cell>
          <cell r="CF67">
            <v>0</v>
          </cell>
          <cell r="CG67">
            <v>947639</v>
          </cell>
          <cell r="CH67">
            <v>947639</v>
          </cell>
          <cell r="CI67">
            <v>947639</v>
          </cell>
          <cell r="CJ67">
            <v>947639</v>
          </cell>
          <cell r="CK67">
            <v>0</v>
          </cell>
          <cell r="CL67">
            <v>0</v>
          </cell>
          <cell r="CM67">
            <v>0</v>
          </cell>
          <cell r="CN67">
            <v>0</v>
          </cell>
          <cell r="CO67">
            <v>0</v>
          </cell>
          <cell r="CP67">
            <v>0</v>
          </cell>
          <cell r="CQ67">
            <v>2512081</v>
          </cell>
          <cell r="CR67">
            <v>2373676</v>
          </cell>
          <cell r="CS67">
            <v>2355064</v>
          </cell>
          <cell r="CT67">
            <v>2280014</v>
          </cell>
          <cell r="CU67">
            <v>2219045</v>
          </cell>
          <cell r="CV67">
            <v>63487</v>
          </cell>
          <cell r="CW67">
            <v>0</v>
          </cell>
          <cell r="CX67">
            <v>0</v>
          </cell>
          <cell r="CY67">
            <v>0</v>
          </cell>
          <cell r="CZ67">
            <v>0</v>
          </cell>
          <cell r="DA67">
            <v>0</v>
          </cell>
          <cell r="DC67">
            <v>0</v>
          </cell>
          <cell r="DD67">
            <v>0</v>
          </cell>
          <cell r="DE67">
            <v>0</v>
          </cell>
          <cell r="DF67">
            <v>0</v>
          </cell>
          <cell r="DG67">
            <v>0</v>
          </cell>
          <cell r="DH67">
            <v>0</v>
          </cell>
          <cell r="DI67">
            <v>0</v>
          </cell>
          <cell r="DJ67">
            <v>0</v>
          </cell>
          <cell r="DK67">
            <v>0</v>
          </cell>
          <cell r="DL67">
            <v>0</v>
          </cell>
        </row>
        <row r="68">
          <cell r="A68">
            <v>166</v>
          </cell>
          <cell r="B68" t="str">
            <v>Kampen</v>
          </cell>
          <cell r="C68">
            <v>4</v>
          </cell>
          <cell r="D68">
            <v>8507</v>
          </cell>
          <cell r="E68">
            <v>4254</v>
          </cell>
          <cell r="F68">
            <v>0</v>
          </cell>
          <cell r="G68">
            <v>0</v>
          </cell>
          <cell r="H68">
            <v>209887</v>
          </cell>
          <cell r="I68">
            <v>0</v>
          </cell>
          <cell r="K68">
            <v>0</v>
          </cell>
          <cell r="L68">
            <v>210461</v>
          </cell>
          <cell r="M68">
            <v>207909</v>
          </cell>
          <cell r="N68">
            <v>0</v>
          </cell>
          <cell r="O68">
            <v>0</v>
          </cell>
          <cell r="P68">
            <v>0</v>
          </cell>
          <cell r="Q68">
            <v>0</v>
          </cell>
          <cell r="R68">
            <v>0</v>
          </cell>
          <cell r="S68">
            <v>0</v>
          </cell>
          <cell r="T68">
            <v>0</v>
          </cell>
          <cell r="U68">
            <v>0</v>
          </cell>
          <cell r="V68">
            <v>0</v>
          </cell>
          <cell r="W68">
            <v>226645</v>
          </cell>
          <cell r="X68">
            <v>0</v>
          </cell>
          <cell r="Z68">
            <v>0</v>
          </cell>
          <cell r="AA68">
            <v>0</v>
          </cell>
          <cell r="AB68">
            <v>0</v>
          </cell>
          <cell r="AD68">
            <v>103646</v>
          </cell>
          <cell r="AE68">
            <v>0</v>
          </cell>
          <cell r="AF68">
            <v>0</v>
          </cell>
          <cell r="AG68">
            <v>0</v>
          </cell>
          <cell r="AH68">
            <v>0</v>
          </cell>
          <cell r="AI68">
            <v>0</v>
          </cell>
          <cell r="AJ68">
            <v>0</v>
          </cell>
          <cell r="AK68">
            <v>0</v>
          </cell>
          <cell r="AM68">
            <v>0</v>
          </cell>
          <cell r="AN68">
            <v>0</v>
          </cell>
          <cell r="AO68">
            <v>0</v>
          </cell>
          <cell r="AP68">
            <v>0</v>
          </cell>
          <cell r="AQ68">
            <v>0</v>
          </cell>
          <cell r="AR68">
            <v>0</v>
          </cell>
          <cell r="AS68">
            <v>0</v>
          </cell>
          <cell r="AT68">
            <v>0</v>
          </cell>
          <cell r="AU68">
            <v>2370</v>
          </cell>
          <cell r="AV68">
            <v>0</v>
          </cell>
          <cell r="AW68">
            <v>0</v>
          </cell>
          <cell r="AX68">
            <v>0</v>
          </cell>
          <cell r="BA68">
            <v>0</v>
          </cell>
          <cell r="BC68">
            <v>0</v>
          </cell>
          <cell r="BD68">
            <v>18433</v>
          </cell>
          <cell r="BF68">
            <v>0</v>
          </cell>
          <cell r="BG68">
            <v>0</v>
          </cell>
          <cell r="BH68">
            <v>0</v>
          </cell>
          <cell r="BI68">
            <v>75006</v>
          </cell>
          <cell r="BJ68">
            <v>61741</v>
          </cell>
          <cell r="BK68">
            <v>61741</v>
          </cell>
          <cell r="BL68">
            <v>0</v>
          </cell>
          <cell r="BM68">
            <v>0</v>
          </cell>
          <cell r="BN68">
            <v>0</v>
          </cell>
          <cell r="BO68">
            <v>251483</v>
          </cell>
          <cell r="BP68">
            <v>36372.199999999997</v>
          </cell>
          <cell r="BQ68">
            <v>65523.255813953503</v>
          </cell>
          <cell r="BR68">
            <v>0</v>
          </cell>
          <cell r="BS68">
            <v>0</v>
          </cell>
          <cell r="BT68">
            <v>91583</v>
          </cell>
          <cell r="BY68">
            <v>0</v>
          </cell>
          <cell r="BZ68">
            <v>0</v>
          </cell>
          <cell r="CA68">
            <v>0</v>
          </cell>
          <cell r="CB68">
            <v>0</v>
          </cell>
          <cell r="CC68">
            <v>3808484</v>
          </cell>
          <cell r="CD68">
            <v>26366112</v>
          </cell>
          <cell r="CE68">
            <v>1846704</v>
          </cell>
          <cell r="CF68">
            <v>0</v>
          </cell>
          <cell r="CG68">
            <v>1846704</v>
          </cell>
          <cell r="CH68">
            <v>1846704</v>
          </cell>
          <cell r="CI68">
            <v>1846704</v>
          </cell>
          <cell r="CJ68">
            <v>1846704</v>
          </cell>
          <cell r="CK68">
            <v>0</v>
          </cell>
          <cell r="CL68">
            <v>0</v>
          </cell>
          <cell r="CM68">
            <v>0</v>
          </cell>
          <cell r="CN68">
            <v>0</v>
          </cell>
          <cell r="CO68">
            <v>0</v>
          </cell>
          <cell r="CP68">
            <v>0</v>
          </cell>
          <cell r="CQ68">
            <v>5726923</v>
          </cell>
          <cell r="CR68">
            <v>5435829</v>
          </cell>
          <cell r="CS68">
            <v>5257552</v>
          </cell>
          <cell r="CT68">
            <v>5100450</v>
          </cell>
          <cell r="CU68">
            <v>4963493</v>
          </cell>
          <cell r="CV68">
            <v>-14290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row>
        <row r="69">
          <cell r="A69">
            <v>168</v>
          </cell>
          <cell r="B69" t="str">
            <v>Losser</v>
          </cell>
          <cell r="C69">
            <v>4</v>
          </cell>
          <cell r="D69">
            <v>8299</v>
          </cell>
          <cell r="E69">
            <v>4149</v>
          </cell>
          <cell r="F69">
            <v>0</v>
          </cell>
          <cell r="G69">
            <v>0</v>
          </cell>
          <cell r="H69">
            <v>-25016</v>
          </cell>
          <cell r="I69">
            <v>-2296</v>
          </cell>
          <cell r="K69">
            <v>0</v>
          </cell>
          <cell r="L69">
            <v>87264</v>
          </cell>
          <cell r="M69">
            <v>90087</v>
          </cell>
          <cell r="N69">
            <v>0</v>
          </cell>
          <cell r="O69">
            <v>0</v>
          </cell>
          <cell r="P69">
            <v>0</v>
          </cell>
          <cell r="Q69">
            <v>0</v>
          </cell>
          <cell r="R69">
            <v>0</v>
          </cell>
          <cell r="S69">
            <v>0</v>
          </cell>
          <cell r="T69">
            <v>0</v>
          </cell>
          <cell r="U69">
            <v>0</v>
          </cell>
          <cell r="V69">
            <v>6000</v>
          </cell>
          <cell r="W69">
            <v>87859</v>
          </cell>
          <cell r="X69">
            <v>0</v>
          </cell>
          <cell r="Z69">
            <v>0</v>
          </cell>
          <cell r="AA69">
            <v>0</v>
          </cell>
          <cell r="AB69">
            <v>0</v>
          </cell>
          <cell r="AD69">
            <v>61601</v>
          </cell>
          <cell r="AE69">
            <v>0</v>
          </cell>
          <cell r="AF69">
            <v>0</v>
          </cell>
          <cell r="AG69">
            <v>0</v>
          </cell>
          <cell r="AH69">
            <v>0</v>
          </cell>
          <cell r="AI69">
            <v>0</v>
          </cell>
          <cell r="AJ69">
            <v>0</v>
          </cell>
          <cell r="AK69">
            <v>0</v>
          </cell>
          <cell r="AM69">
            <v>0</v>
          </cell>
          <cell r="AN69">
            <v>0</v>
          </cell>
          <cell r="AO69">
            <v>0</v>
          </cell>
          <cell r="AP69">
            <v>0</v>
          </cell>
          <cell r="AQ69">
            <v>0</v>
          </cell>
          <cell r="AR69">
            <v>0</v>
          </cell>
          <cell r="AS69">
            <v>0</v>
          </cell>
          <cell r="AT69">
            <v>0</v>
          </cell>
          <cell r="AU69">
            <v>0</v>
          </cell>
          <cell r="AV69">
            <v>0</v>
          </cell>
          <cell r="AW69">
            <v>0</v>
          </cell>
          <cell r="AX69">
            <v>0</v>
          </cell>
          <cell r="BA69">
            <v>0</v>
          </cell>
          <cell r="BC69">
            <v>0</v>
          </cell>
          <cell r="BD69">
            <v>7892</v>
          </cell>
          <cell r="BF69">
            <v>0</v>
          </cell>
          <cell r="BG69">
            <v>0</v>
          </cell>
          <cell r="BH69">
            <v>0</v>
          </cell>
          <cell r="BI69">
            <v>31396</v>
          </cell>
          <cell r="BJ69">
            <v>25844</v>
          </cell>
          <cell r="BK69">
            <v>25844</v>
          </cell>
          <cell r="BL69">
            <v>0</v>
          </cell>
          <cell r="BM69">
            <v>0</v>
          </cell>
          <cell r="BN69">
            <v>0</v>
          </cell>
          <cell r="BO69">
            <v>84638</v>
          </cell>
          <cell r="BP69">
            <v>17395.400000000001</v>
          </cell>
          <cell r="BQ69">
            <v>31337.209302325598</v>
          </cell>
          <cell r="BR69">
            <v>0</v>
          </cell>
          <cell r="BS69">
            <v>0</v>
          </cell>
          <cell r="BT69">
            <v>38462</v>
          </cell>
          <cell r="BY69">
            <v>0</v>
          </cell>
          <cell r="BZ69">
            <v>0</v>
          </cell>
          <cell r="CA69">
            <v>0</v>
          </cell>
          <cell r="CB69">
            <v>0</v>
          </cell>
          <cell r="CC69">
            <v>2026436</v>
          </cell>
          <cell r="CD69">
            <v>12098680</v>
          </cell>
          <cell r="CE69">
            <v>535451</v>
          </cell>
          <cell r="CF69">
            <v>0</v>
          </cell>
          <cell r="CG69">
            <v>535451</v>
          </cell>
          <cell r="CH69">
            <v>535451</v>
          </cell>
          <cell r="CI69">
            <v>535451</v>
          </cell>
          <cell r="CJ69">
            <v>535451</v>
          </cell>
          <cell r="CK69">
            <v>0</v>
          </cell>
          <cell r="CL69">
            <v>0</v>
          </cell>
          <cell r="CM69">
            <v>0</v>
          </cell>
          <cell r="CN69">
            <v>0</v>
          </cell>
          <cell r="CO69">
            <v>0</v>
          </cell>
          <cell r="CP69">
            <v>-835</v>
          </cell>
          <cell r="CQ69">
            <v>3285649</v>
          </cell>
          <cell r="CR69">
            <v>3006844</v>
          </cell>
          <cell r="CS69">
            <v>2942386</v>
          </cell>
          <cell r="CT69">
            <v>2806017</v>
          </cell>
          <cell r="CU69">
            <v>2715416</v>
          </cell>
          <cell r="CV69">
            <v>40206</v>
          </cell>
          <cell r="CW69">
            <v>0</v>
          </cell>
          <cell r="CX69">
            <v>0</v>
          </cell>
          <cell r="CY69">
            <v>0</v>
          </cell>
          <cell r="CZ69">
            <v>0</v>
          </cell>
          <cell r="DA69">
            <v>0</v>
          </cell>
          <cell r="DC69">
            <v>0</v>
          </cell>
          <cell r="DD69">
            <v>0</v>
          </cell>
          <cell r="DE69">
            <v>0</v>
          </cell>
          <cell r="DF69">
            <v>0</v>
          </cell>
          <cell r="DG69">
            <v>0</v>
          </cell>
          <cell r="DH69">
            <v>0</v>
          </cell>
          <cell r="DI69">
            <v>0</v>
          </cell>
          <cell r="DJ69">
            <v>0</v>
          </cell>
          <cell r="DK69">
            <v>0</v>
          </cell>
          <cell r="DL69">
            <v>0</v>
          </cell>
        </row>
        <row r="70">
          <cell r="A70">
            <v>173</v>
          </cell>
          <cell r="B70" t="str">
            <v>Oldenzaal</v>
          </cell>
          <cell r="C70">
            <v>4</v>
          </cell>
          <cell r="D70">
            <v>43738</v>
          </cell>
          <cell r="E70">
            <v>21869</v>
          </cell>
          <cell r="F70">
            <v>0</v>
          </cell>
          <cell r="G70">
            <v>0</v>
          </cell>
          <cell r="H70">
            <v>0</v>
          </cell>
          <cell r="I70">
            <v>-10749</v>
          </cell>
          <cell r="K70">
            <v>0</v>
          </cell>
          <cell r="L70">
            <v>139969</v>
          </cell>
          <cell r="M70">
            <v>140368</v>
          </cell>
          <cell r="N70">
            <v>0</v>
          </cell>
          <cell r="O70">
            <v>0</v>
          </cell>
          <cell r="P70">
            <v>0</v>
          </cell>
          <cell r="Q70">
            <v>0</v>
          </cell>
          <cell r="R70">
            <v>0</v>
          </cell>
          <cell r="S70">
            <v>0</v>
          </cell>
          <cell r="T70">
            <v>0</v>
          </cell>
          <cell r="U70">
            <v>0</v>
          </cell>
          <cell r="V70">
            <v>0</v>
          </cell>
          <cell r="W70">
            <v>129067</v>
          </cell>
          <cell r="X70">
            <v>0</v>
          </cell>
          <cell r="Z70">
            <v>0</v>
          </cell>
          <cell r="AA70">
            <v>0</v>
          </cell>
          <cell r="AB70">
            <v>0</v>
          </cell>
          <cell r="AD70">
            <v>55756</v>
          </cell>
          <cell r="AE70">
            <v>0</v>
          </cell>
          <cell r="AF70">
            <v>0</v>
          </cell>
          <cell r="AG70">
            <v>0</v>
          </cell>
          <cell r="AH70">
            <v>0</v>
          </cell>
          <cell r="AI70">
            <v>0</v>
          </cell>
          <cell r="AJ70">
            <v>0</v>
          </cell>
          <cell r="AK70">
            <v>0</v>
          </cell>
          <cell r="AM70">
            <v>0</v>
          </cell>
          <cell r="AN70">
            <v>0</v>
          </cell>
          <cell r="AO70">
            <v>0</v>
          </cell>
          <cell r="AP70">
            <v>0</v>
          </cell>
          <cell r="AQ70">
            <v>0</v>
          </cell>
          <cell r="AR70">
            <v>0</v>
          </cell>
          <cell r="AS70">
            <v>0</v>
          </cell>
          <cell r="AT70">
            <v>0</v>
          </cell>
          <cell r="AU70">
            <v>4740</v>
          </cell>
          <cell r="AV70">
            <v>0</v>
          </cell>
          <cell r="AW70">
            <v>0</v>
          </cell>
          <cell r="AX70">
            <v>0</v>
          </cell>
          <cell r="BA70">
            <v>0</v>
          </cell>
          <cell r="BC70">
            <v>0</v>
          </cell>
          <cell r="BD70">
            <v>11235</v>
          </cell>
          <cell r="BF70">
            <v>0</v>
          </cell>
          <cell r="BG70">
            <v>0</v>
          </cell>
          <cell r="BH70">
            <v>0</v>
          </cell>
          <cell r="BI70">
            <v>51302</v>
          </cell>
          <cell r="BJ70">
            <v>42229</v>
          </cell>
          <cell r="BK70">
            <v>42229</v>
          </cell>
          <cell r="BL70">
            <v>0</v>
          </cell>
          <cell r="BM70">
            <v>0</v>
          </cell>
          <cell r="BN70">
            <v>0</v>
          </cell>
          <cell r="BO70">
            <v>71505</v>
          </cell>
          <cell r="BP70">
            <v>6325.6</v>
          </cell>
          <cell r="BQ70">
            <v>11395.3488372093</v>
          </cell>
          <cell r="BR70">
            <v>0</v>
          </cell>
          <cell r="BS70">
            <v>0</v>
          </cell>
          <cell r="BT70">
            <v>50156</v>
          </cell>
          <cell r="BY70">
            <v>0</v>
          </cell>
          <cell r="BZ70">
            <v>0</v>
          </cell>
          <cell r="CA70">
            <v>0</v>
          </cell>
          <cell r="CB70">
            <v>0</v>
          </cell>
          <cell r="CC70">
            <v>2796349</v>
          </cell>
          <cell r="CD70">
            <v>18753394</v>
          </cell>
          <cell r="CE70">
            <v>936831</v>
          </cell>
          <cell r="CF70">
            <v>-26005</v>
          </cell>
          <cell r="CG70">
            <v>936831</v>
          </cell>
          <cell r="CH70">
            <v>936831</v>
          </cell>
          <cell r="CI70">
            <v>936831</v>
          </cell>
          <cell r="CJ70">
            <v>936831</v>
          </cell>
          <cell r="CK70">
            <v>0</v>
          </cell>
          <cell r="CL70">
            <v>0</v>
          </cell>
          <cell r="CM70">
            <v>0</v>
          </cell>
          <cell r="CN70">
            <v>0</v>
          </cell>
          <cell r="CO70">
            <v>0</v>
          </cell>
          <cell r="CP70">
            <v>0</v>
          </cell>
          <cell r="CQ70">
            <v>6623722</v>
          </cell>
          <cell r="CR70">
            <v>6200524</v>
          </cell>
          <cell r="CS70">
            <v>5994359</v>
          </cell>
          <cell r="CT70">
            <v>5729414</v>
          </cell>
          <cell r="CU70">
            <v>5563641</v>
          </cell>
          <cell r="CV70">
            <v>-14143</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row>
        <row r="71">
          <cell r="A71">
            <v>1773</v>
          </cell>
          <cell r="B71" t="str">
            <v>Olst-Wijhe</v>
          </cell>
          <cell r="C71">
            <v>4</v>
          </cell>
          <cell r="D71">
            <v>38537</v>
          </cell>
          <cell r="E71">
            <v>19269</v>
          </cell>
          <cell r="F71">
            <v>0</v>
          </cell>
          <cell r="G71">
            <v>0</v>
          </cell>
          <cell r="H71">
            <v>-7814</v>
          </cell>
          <cell r="I71">
            <v>-8385</v>
          </cell>
          <cell r="K71">
            <v>0</v>
          </cell>
          <cell r="L71">
            <v>55152</v>
          </cell>
          <cell r="M71">
            <v>59899</v>
          </cell>
          <cell r="N71">
            <v>0</v>
          </cell>
          <cell r="O71">
            <v>0</v>
          </cell>
          <cell r="P71">
            <v>0</v>
          </cell>
          <cell r="Q71">
            <v>0</v>
          </cell>
          <cell r="R71">
            <v>0</v>
          </cell>
          <cell r="S71">
            <v>0</v>
          </cell>
          <cell r="T71">
            <v>0</v>
          </cell>
          <cell r="U71">
            <v>0</v>
          </cell>
          <cell r="V71">
            <v>0</v>
          </cell>
          <cell r="W71">
            <v>74641</v>
          </cell>
          <cell r="X71">
            <v>0</v>
          </cell>
          <cell r="Z71">
            <v>0</v>
          </cell>
          <cell r="AA71">
            <v>0</v>
          </cell>
          <cell r="AB71">
            <v>0</v>
          </cell>
          <cell r="AD71">
            <v>0</v>
          </cell>
          <cell r="AE71">
            <v>0</v>
          </cell>
          <cell r="AF71">
            <v>0</v>
          </cell>
          <cell r="AG71">
            <v>0</v>
          </cell>
          <cell r="AH71">
            <v>0</v>
          </cell>
          <cell r="AI71">
            <v>0</v>
          </cell>
          <cell r="AJ71">
            <v>0</v>
          </cell>
          <cell r="AK71">
            <v>0</v>
          </cell>
          <cell r="AM71">
            <v>0</v>
          </cell>
          <cell r="AN71">
            <v>0</v>
          </cell>
          <cell r="AO71">
            <v>0</v>
          </cell>
          <cell r="AP71">
            <v>0</v>
          </cell>
          <cell r="AQ71">
            <v>0</v>
          </cell>
          <cell r="AR71">
            <v>0</v>
          </cell>
          <cell r="AS71">
            <v>0</v>
          </cell>
          <cell r="AT71">
            <v>0</v>
          </cell>
          <cell r="AU71">
            <v>0</v>
          </cell>
          <cell r="AV71">
            <v>0</v>
          </cell>
          <cell r="AW71">
            <v>0</v>
          </cell>
          <cell r="AX71">
            <v>0</v>
          </cell>
          <cell r="BA71">
            <v>0</v>
          </cell>
          <cell r="BC71">
            <v>0</v>
          </cell>
          <cell r="BD71">
            <v>6304</v>
          </cell>
          <cell r="BF71">
            <v>0</v>
          </cell>
          <cell r="BG71">
            <v>0</v>
          </cell>
          <cell r="BH71">
            <v>0</v>
          </cell>
          <cell r="BI71">
            <v>21533</v>
          </cell>
          <cell r="BJ71">
            <v>17725</v>
          </cell>
          <cell r="BK71">
            <v>17725</v>
          </cell>
          <cell r="BL71">
            <v>0</v>
          </cell>
          <cell r="BM71">
            <v>0</v>
          </cell>
          <cell r="BN71">
            <v>0</v>
          </cell>
          <cell r="BO71">
            <v>25294</v>
          </cell>
          <cell r="BP71">
            <v>6325.6</v>
          </cell>
          <cell r="BQ71">
            <v>11395.3488372093</v>
          </cell>
          <cell r="BR71">
            <v>0</v>
          </cell>
          <cell r="BS71">
            <v>0</v>
          </cell>
          <cell r="BT71">
            <v>31367</v>
          </cell>
          <cell r="BY71">
            <v>0</v>
          </cell>
          <cell r="BZ71">
            <v>0</v>
          </cell>
          <cell r="CA71">
            <v>0</v>
          </cell>
          <cell r="CB71">
            <v>0</v>
          </cell>
          <cell r="CC71">
            <v>1426552</v>
          </cell>
          <cell r="CD71">
            <v>8314766</v>
          </cell>
          <cell r="CE71">
            <v>632587</v>
          </cell>
          <cell r="CF71">
            <v>0</v>
          </cell>
          <cell r="CG71">
            <v>632587</v>
          </cell>
          <cell r="CH71">
            <v>632587</v>
          </cell>
          <cell r="CI71">
            <v>632587</v>
          </cell>
          <cell r="CJ71">
            <v>632587</v>
          </cell>
          <cell r="CK71">
            <v>0</v>
          </cell>
          <cell r="CL71">
            <v>0</v>
          </cell>
          <cell r="CM71">
            <v>0</v>
          </cell>
          <cell r="CN71">
            <v>0</v>
          </cell>
          <cell r="CO71">
            <v>0</v>
          </cell>
          <cell r="CP71">
            <v>-3017</v>
          </cell>
          <cell r="CQ71">
            <v>1925449</v>
          </cell>
          <cell r="CR71">
            <v>1804405</v>
          </cell>
          <cell r="CS71">
            <v>1744520</v>
          </cell>
          <cell r="CT71">
            <v>1674451</v>
          </cell>
          <cell r="CU71">
            <v>1598709</v>
          </cell>
          <cell r="CV71">
            <v>12917</v>
          </cell>
          <cell r="CW71">
            <v>0</v>
          </cell>
          <cell r="CX71">
            <v>0</v>
          </cell>
          <cell r="CY71">
            <v>0</v>
          </cell>
          <cell r="CZ71">
            <v>0</v>
          </cell>
          <cell r="DA71">
            <v>0</v>
          </cell>
          <cell r="DC71">
            <v>0</v>
          </cell>
          <cell r="DD71">
            <v>0</v>
          </cell>
          <cell r="DE71">
            <v>0</v>
          </cell>
          <cell r="DF71">
            <v>0</v>
          </cell>
          <cell r="DG71">
            <v>0</v>
          </cell>
          <cell r="DH71">
            <v>0</v>
          </cell>
          <cell r="DI71">
            <v>0</v>
          </cell>
          <cell r="DJ71">
            <v>0</v>
          </cell>
          <cell r="DK71">
            <v>0</v>
          </cell>
          <cell r="DL71">
            <v>0</v>
          </cell>
        </row>
        <row r="72">
          <cell r="A72">
            <v>175</v>
          </cell>
          <cell r="B72" t="str">
            <v>Ommen</v>
          </cell>
          <cell r="C72">
            <v>4</v>
          </cell>
          <cell r="D72">
            <v>20377</v>
          </cell>
          <cell r="E72">
            <v>10188</v>
          </cell>
          <cell r="F72">
            <v>0</v>
          </cell>
          <cell r="G72">
            <v>0</v>
          </cell>
          <cell r="H72">
            <v>0</v>
          </cell>
          <cell r="I72">
            <v>0</v>
          </cell>
          <cell r="K72">
            <v>0</v>
          </cell>
          <cell r="L72">
            <v>55709</v>
          </cell>
          <cell r="M72">
            <v>59994</v>
          </cell>
          <cell r="N72">
            <v>0</v>
          </cell>
          <cell r="O72">
            <v>0</v>
          </cell>
          <cell r="P72">
            <v>0</v>
          </cell>
          <cell r="Q72">
            <v>0</v>
          </cell>
          <cell r="R72">
            <v>0</v>
          </cell>
          <cell r="S72">
            <v>0</v>
          </cell>
          <cell r="T72">
            <v>0</v>
          </cell>
          <cell r="U72">
            <v>0</v>
          </cell>
          <cell r="V72">
            <v>3000</v>
          </cell>
          <cell r="W72">
            <v>69976</v>
          </cell>
          <cell r="X72">
            <v>0</v>
          </cell>
          <cell r="Z72">
            <v>0</v>
          </cell>
          <cell r="AA72">
            <v>0</v>
          </cell>
          <cell r="AB72">
            <v>0</v>
          </cell>
          <cell r="AD72">
            <v>0</v>
          </cell>
          <cell r="AE72">
            <v>0</v>
          </cell>
          <cell r="AF72">
            <v>0</v>
          </cell>
          <cell r="AG72">
            <v>0</v>
          </cell>
          <cell r="AH72">
            <v>0</v>
          </cell>
          <cell r="AI72">
            <v>0</v>
          </cell>
          <cell r="AJ72">
            <v>0</v>
          </cell>
          <cell r="AK72">
            <v>0</v>
          </cell>
          <cell r="AM72">
            <v>0</v>
          </cell>
          <cell r="AN72">
            <v>0</v>
          </cell>
          <cell r="AO72">
            <v>0</v>
          </cell>
          <cell r="AP72">
            <v>0</v>
          </cell>
          <cell r="AQ72">
            <v>0</v>
          </cell>
          <cell r="AR72">
            <v>0</v>
          </cell>
          <cell r="AS72">
            <v>0</v>
          </cell>
          <cell r="AT72">
            <v>0</v>
          </cell>
          <cell r="AU72">
            <v>0</v>
          </cell>
          <cell r="AV72">
            <v>0</v>
          </cell>
          <cell r="AW72">
            <v>0</v>
          </cell>
          <cell r="AX72">
            <v>0</v>
          </cell>
          <cell r="BA72">
            <v>0</v>
          </cell>
          <cell r="BC72">
            <v>0</v>
          </cell>
          <cell r="BD72">
            <v>6154</v>
          </cell>
          <cell r="BF72">
            <v>0</v>
          </cell>
          <cell r="BG72">
            <v>0</v>
          </cell>
          <cell r="BH72">
            <v>0</v>
          </cell>
          <cell r="BI72">
            <v>20622</v>
          </cell>
          <cell r="BJ72">
            <v>16975</v>
          </cell>
          <cell r="BK72">
            <v>16975</v>
          </cell>
          <cell r="BL72">
            <v>0</v>
          </cell>
          <cell r="BM72">
            <v>0</v>
          </cell>
          <cell r="BN72">
            <v>0</v>
          </cell>
          <cell r="BO72">
            <v>15566</v>
          </cell>
          <cell r="BP72">
            <v>4744.2</v>
          </cell>
          <cell r="BQ72">
            <v>8546.5116279069807</v>
          </cell>
          <cell r="BR72">
            <v>0</v>
          </cell>
          <cell r="BS72">
            <v>0</v>
          </cell>
          <cell r="BT72">
            <v>38500</v>
          </cell>
          <cell r="BY72">
            <v>0</v>
          </cell>
          <cell r="BZ72">
            <v>0</v>
          </cell>
          <cell r="CA72">
            <v>0</v>
          </cell>
          <cell r="CB72">
            <v>0</v>
          </cell>
          <cell r="CC72">
            <v>1261982</v>
          </cell>
          <cell r="CD72">
            <v>9124302</v>
          </cell>
          <cell r="CE72">
            <v>671262</v>
          </cell>
          <cell r="CF72">
            <v>0</v>
          </cell>
          <cell r="CG72">
            <v>671262</v>
          </cell>
          <cell r="CH72">
            <v>671262</v>
          </cell>
          <cell r="CI72">
            <v>671262</v>
          </cell>
          <cell r="CJ72">
            <v>671262</v>
          </cell>
          <cell r="CK72">
            <v>0</v>
          </cell>
          <cell r="CL72">
            <v>0</v>
          </cell>
          <cell r="CM72">
            <v>0</v>
          </cell>
          <cell r="CN72">
            <v>0</v>
          </cell>
          <cell r="CO72">
            <v>0</v>
          </cell>
          <cell r="CP72">
            <v>0</v>
          </cell>
          <cell r="CQ72">
            <v>2925830</v>
          </cell>
          <cell r="CR72">
            <v>2768884</v>
          </cell>
          <cell r="CS72">
            <v>2632778</v>
          </cell>
          <cell r="CT72">
            <v>2509384</v>
          </cell>
          <cell r="CU72">
            <v>2443581</v>
          </cell>
          <cell r="CV72">
            <v>-3847</v>
          </cell>
          <cell r="CW72">
            <v>0</v>
          </cell>
          <cell r="CX72">
            <v>0</v>
          </cell>
          <cell r="CY72">
            <v>0</v>
          </cell>
          <cell r="CZ72">
            <v>0</v>
          </cell>
          <cell r="DA72">
            <v>0</v>
          </cell>
          <cell r="DC72">
            <v>1250</v>
          </cell>
          <cell r="DD72">
            <v>0</v>
          </cell>
          <cell r="DE72">
            <v>0</v>
          </cell>
          <cell r="DF72">
            <v>0</v>
          </cell>
          <cell r="DG72">
            <v>0</v>
          </cell>
          <cell r="DH72">
            <v>0</v>
          </cell>
          <cell r="DI72">
            <v>0</v>
          </cell>
          <cell r="DJ72">
            <v>0</v>
          </cell>
          <cell r="DK72">
            <v>0</v>
          </cell>
          <cell r="DL72">
            <v>0</v>
          </cell>
        </row>
        <row r="73">
          <cell r="A73">
            <v>177</v>
          </cell>
          <cell r="B73" t="str">
            <v>Raalte</v>
          </cell>
          <cell r="C73">
            <v>4</v>
          </cell>
          <cell r="D73">
            <v>1622</v>
          </cell>
          <cell r="E73">
            <v>811</v>
          </cell>
          <cell r="F73">
            <v>0</v>
          </cell>
          <cell r="G73">
            <v>0</v>
          </cell>
          <cell r="H73">
            <v>-11968</v>
          </cell>
          <cell r="I73">
            <v>-2625</v>
          </cell>
          <cell r="K73">
            <v>0</v>
          </cell>
          <cell r="L73">
            <v>114900</v>
          </cell>
          <cell r="M73">
            <v>121417</v>
          </cell>
          <cell r="N73">
            <v>0</v>
          </cell>
          <cell r="O73">
            <v>0</v>
          </cell>
          <cell r="P73">
            <v>0</v>
          </cell>
          <cell r="Q73">
            <v>0</v>
          </cell>
          <cell r="R73">
            <v>0</v>
          </cell>
          <cell r="S73">
            <v>0</v>
          </cell>
          <cell r="T73">
            <v>0</v>
          </cell>
          <cell r="U73">
            <v>0</v>
          </cell>
          <cell r="V73">
            <v>0</v>
          </cell>
          <cell r="W73">
            <v>160556</v>
          </cell>
          <cell r="X73">
            <v>0</v>
          </cell>
          <cell r="Z73">
            <v>0</v>
          </cell>
          <cell r="AA73">
            <v>0</v>
          </cell>
          <cell r="AB73">
            <v>0</v>
          </cell>
          <cell r="AD73">
            <v>28356</v>
          </cell>
          <cell r="AE73">
            <v>0</v>
          </cell>
          <cell r="AF73">
            <v>0</v>
          </cell>
          <cell r="AG73">
            <v>0</v>
          </cell>
          <cell r="AH73">
            <v>0</v>
          </cell>
          <cell r="AI73">
            <v>0</v>
          </cell>
          <cell r="AJ73">
            <v>0</v>
          </cell>
          <cell r="AK73">
            <v>0</v>
          </cell>
          <cell r="AM73">
            <v>0</v>
          </cell>
          <cell r="AN73">
            <v>0</v>
          </cell>
          <cell r="AO73">
            <v>0</v>
          </cell>
          <cell r="AP73">
            <v>0</v>
          </cell>
          <cell r="AQ73">
            <v>0</v>
          </cell>
          <cell r="AR73">
            <v>0</v>
          </cell>
          <cell r="AS73">
            <v>0</v>
          </cell>
          <cell r="AT73">
            <v>0</v>
          </cell>
          <cell r="AU73">
            <v>0</v>
          </cell>
          <cell r="AV73">
            <v>0</v>
          </cell>
          <cell r="AW73">
            <v>0</v>
          </cell>
          <cell r="AX73">
            <v>0</v>
          </cell>
          <cell r="BA73">
            <v>0</v>
          </cell>
          <cell r="BC73">
            <v>0</v>
          </cell>
          <cell r="BD73">
            <v>12956</v>
          </cell>
          <cell r="BF73">
            <v>0</v>
          </cell>
          <cell r="BG73">
            <v>0</v>
          </cell>
          <cell r="BH73">
            <v>0</v>
          </cell>
          <cell r="BI73">
            <v>46863</v>
          </cell>
          <cell r="BJ73">
            <v>38575</v>
          </cell>
          <cell r="BK73">
            <v>38575</v>
          </cell>
          <cell r="BL73">
            <v>0</v>
          </cell>
          <cell r="BM73">
            <v>0</v>
          </cell>
          <cell r="BN73">
            <v>0</v>
          </cell>
          <cell r="BO73">
            <v>125985</v>
          </cell>
          <cell r="BP73">
            <v>45860.6</v>
          </cell>
          <cell r="BQ73">
            <v>82616.279069767406</v>
          </cell>
          <cell r="BR73">
            <v>0</v>
          </cell>
          <cell r="BS73">
            <v>0</v>
          </cell>
          <cell r="BT73">
            <v>62132</v>
          </cell>
          <cell r="BY73">
            <v>0</v>
          </cell>
          <cell r="BZ73">
            <v>0</v>
          </cell>
          <cell r="CA73">
            <v>0</v>
          </cell>
          <cell r="CB73">
            <v>0</v>
          </cell>
          <cell r="CC73">
            <v>2856296</v>
          </cell>
          <cell r="CD73">
            <v>16484365</v>
          </cell>
          <cell r="CE73">
            <v>692099</v>
          </cell>
          <cell r="CF73">
            <v>-6332</v>
          </cell>
          <cell r="CG73">
            <v>692099</v>
          </cell>
          <cell r="CH73">
            <v>692099</v>
          </cell>
          <cell r="CI73">
            <v>692099</v>
          </cell>
          <cell r="CJ73">
            <v>692099</v>
          </cell>
          <cell r="CK73">
            <v>0</v>
          </cell>
          <cell r="CL73">
            <v>0</v>
          </cell>
          <cell r="CM73">
            <v>0</v>
          </cell>
          <cell r="CN73">
            <v>0</v>
          </cell>
          <cell r="CO73">
            <v>0</v>
          </cell>
          <cell r="CP73">
            <v>0</v>
          </cell>
          <cell r="CQ73">
            <v>4384860</v>
          </cell>
          <cell r="CR73">
            <v>4120696</v>
          </cell>
          <cell r="CS73">
            <v>4011358</v>
          </cell>
          <cell r="CT73">
            <v>3843150</v>
          </cell>
          <cell r="CU73">
            <v>3641700</v>
          </cell>
          <cell r="CV73">
            <v>46504</v>
          </cell>
          <cell r="CW73">
            <v>0</v>
          </cell>
          <cell r="CX73">
            <v>0</v>
          </cell>
          <cell r="CY73">
            <v>0</v>
          </cell>
          <cell r="CZ73">
            <v>0</v>
          </cell>
          <cell r="DA73">
            <v>0</v>
          </cell>
          <cell r="DC73">
            <v>0</v>
          </cell>
          <cell r="DD73">
            <v>0</v>
          </cell>
          <cell r="DE73">
            <v>0</v>
          </cell>
          <cell r="DF73">
            <v>0</v>
          </cell>
          <cell r="DG73">
            <v>0</v>
          </cell>
          <cell r="DH73">
            <v>0</v>
          </cell>
          <cell r="DI73">
            <v>0</v>
          </cell>
          <cell r="DJ73">
            <v>0</v>
          </cell>
          <cell r="DK73">
            <v>0</v>
          </cell>
          <cell r="DL73">
            <v>0</v>
          </cell>
        </row>
        <row r="74">
          <cell r="A74">
            <v>1742</v>
          </cell>
          <cell r="B74" t="str">
            <v>Rijssen-Holten</v>
          </cell>
          <cell r="C74">
            <v>4</v>
          </cell>
          <cell r="D74">
            <v>-10186</v>
          </cell>
          <cell r="E74">
            <v>-5093</v>
          </cell>
          <cell r="F74">
            <v>0</v>
          </cell>
          <cell r="G74">
            <v>0</v>
          </cell>
          <cell r="H74">
            <v>-11579</v>
          </cell>
          <cell r="I74">
            <v>0</v>
          </cell>
          <cell r="K74">
            <v>0</v>
          </cell>
          <cell r="L74">
            <v>112214</v>
          </cell>
          <cell r="M74">
            <v>109656</v>
          </cell>
          <cell r="N74">
            <v>0</v>
          </cell>
          <cell r="O74">
            <v>0</v>
          </cell>
          <cell r="P74">
            <v>0</v>
          </cell>
          <cell r="Q74">
            <v>0</v>
          </cell>
          <cell r="R74">
            <v>0</v>
          </cell>
          <cell r="S74">
            <v>0</v>
          </cell>
          <cell r="T74">
            <v>0</v>
          </cell>
          <cell r="U74">
            <v>0</v>
          </cell>
          <cell r="V74">
            <v>6000</v>
          </cell>
          <cell r="W74">
            <v>157184</v>
          </cell>
          <cell r="X74">
            <v>0</v>
          </cell>
          <cell r="Z74">
            <v>0</v>
          </cell>
          <cell r="AA74">
            <v>0</v>
          </cell>
          <cell r="AB74">
            <v>0</v>
          </cell>
          <cell r="AD74">
            <v>0</v>
          </cell>
          <cell r="AE74">
            <v>0</v>
          </cell>
          <cell r="AF74">
            <v>0</v>
          </cell>
          <cell r="AG74">
            <v>0</v>
          </cell>
          <cell r="AH74">
            <v>0</v>
          </cell>
          <cell r="AI74">
            <v>0</v>
          </cell>
          <cell r="AJ74">
            <v>0</v>
          </cell>
          <cell r="AK74">
            <v>0</v>
          </cell>
          <cell r="AM74">
            <v>0</v>
          </cell>
          <cell r="AN74">
            <v>0</v>
          </cell>
          <cell r="AO74">
            <v>0</v>
          </cell>
          <cell r="AP74">
            <v>0</v>
          </cell>
          <cell r="AQ74">
            <v>0</v>
          </cell>
          <cell r="AR74">
            <v>0</v>
          </cell>
          <cell r="AS74">
            <v>0</v>
          </cell>
          <cell r="AT74">
            <v>0</v>
          </cell>
          <cell r="AU74">
            <v>0</v>
          </cell>
          <cell r="AV74">
            <v>0</v>
          </cell>
          <cell r="AW74">
            <v>0</v>
          </cell>
          <cell r="AX74">
            <v>0</v>
          </cell>
          <cell r="BA74">
            <v>0</v>
          </cell>
          <cell r="BC74">
            <v>0</v>
          </cell>
          <cell r="BD74">
            <v>13333</v>
          </cell>
          <cell r="BF74">
            <v>0</v>
          </cell>
          <cell r="BG74">
            <v>0</v>
          </cell>
          <cell r="BH74">
            <v>0</v>
          </cell>
          <cell r="BI74">
            <v>38098</v>
          </cell>
          <cell r="BJ74">
            <v>31360</v>
          </cell>
          <cell r="BK74">
            <v>31360</v>
          </cell>
          <cell r="BL74">
            <v>0</v>
          </cell>
          <cell r="BM74">
            <v>0</v>
          </cell>
          <cell r="BN74">
            <v>0</v>
          </cell>
          <cell r="BO74">
            <v>50102</v>
          </cell>
          <cell r="BP74">
            <v>12651.2</v>
          </cell>
          <cell r="BQ74">
            <v>22790.697674418599</v>
          </cell>
          <cell r="BR74">
            <v>0</v>
          </cell>
          <cell r="BS74">
            <v>0</v>
          </cell>
          <cell r="BT74">
            <v>66417</v>
          </cell>
          <cell r="BY74">
            <v>0</v>
          </cell>
          <cell r="BZ74">
            <v>0</v>
          </cell>
          <cell r="CA74">
            <v>0</v>
          </cell>
          <cell r="CB74">
            <v>0</v>
          </cell>
          <cell r="CC74">
            <v>2680906</v>
          </cell>
          <cell r="CD74">
            <v>16611426</v>
          </cell>
          <cell r="CE74">
            <v>1377636</v>
          </cell>
          <cell r="CF74">
            <v>0</v>
          </cell>
          <cell r="CG74">
            <v>1377636</v>
          </cell>
          <cell r="CH74">
            <v>1377636</v>
          </cell>
          <cell r="CI74">
            <v>1377636</v>
          </cell>
          <cell r="CJ74">
            <v>1377636</v>
          </cell>
          <cell r="CK74">
            <v>0</v>
          </cell>
          <cell r="CL74">
            <v>0</v>
          </cell>
          <cell r="CM74">
            <v>0</v>
          </cell>
          <cell r="CN74">
            <v>0</v>
          </cell>
          <cell r="CO74">
            <v>0</v>
          </cell>
          <cell r="CP74">
            <v>0</v>
          </cell>
          <cell r="CQ74">
            <v>3459631</v>
          </cell>
          <cell r="CR74">
            <v>3200772</v>
          </cell>
          <cell r="CS74">
            <v>3063237</v>
          </cell>
          <cell r="CT74">
            <v>2949252</v>
          </cell>
          <cell r="CU74">
            <v>2775997</v>
          </cell>
          <cell r="CV74">
            <v>-139173</v>
          </cell>
          <cell r="CW74">
            <v>0</v>
          </cell>
          <cell r="CX74">
            <v>0</v>
          </cell>
          <cell r="CY74">
            <v>0</v>
          </cell>
          <cell r="CZ74">
            <v>0</v>
          </cell>
          <cell r="DA74">
            <v>0</v>
          </cell>
          <cell r="DC74">
            <v>0</v>
          </cell>
          <cell r="DD74">
            <v>0</v>
          </cell>
          <cell r="DE74">
            <v>0</v>
          </cell>
          <cell r="DF74">
            <v>0</v>
          </cell>
          <cell r="DG74">
            <v>0</v>
          </cell>
          <cell r="DH74">
            <v>0</v>
          </cell>
          <cell r="DI74">
            <v>0</v>
          </cell>
          <cell r="DJ74">
            <v>0</v>
          </cell>
          <cell r="DK74">
            <v>0</v>
          </cell>
          <cell r="DL74">
            <v>0</v>
          </cell>
        </row>
        <row r="75">
          <cell r="A75">
            <v>180</v>
          </cell>
          <cell r="B75" t="str">
            <v>Staphorst</v>
          </cell>
          <cell r="C75">
            <v>4</v>
          </cell>
          <cell r="D75">
            <v>-33234</v>
          </cell>
          <cell r="E75">
            <v>-16617</v>
          </cell>
          <cell r="F75">
            <v>0</v>
          </cell>
          <cell r="G75">
            <v>0</v>
          </cell>
          <cell r="H75">
            <v>0</v>
          </cell>
          <cell r="I75">
            <v>0</v>
          </cell>
          <cell r="K75">
            <v>0</v>
          </cell>
          <cell r="L75">
            <v>61718</v>
          </cell>
          <cell r="M75">
            <v>48115</v>
          </cell>
          <cell r="N75">
            <v>0</v>
          </cell>
          <cell r="O75">
            <v>0</v>
          </cell>
          <cell r="P75">
            <v>0</v>
          </cell>
          <cell r="Q75">
            <v>0</v>
          </cell>
          <cell r="R75">
            <v>0</v>
          </cell>
          <cell r="S75">
            <v>0</v>
          </cell>
          <cell r="T75">
            <v>0</v>
          </cell>
          <cell r="U75">
            <v>0</v>
          </cell>
          <cell r="V75">
            <v>0</v>
          </cell>
          <cell r="W75">
            <v>66066</v>
          </cell>
          <cell r="X75">
            <v>0</v>
          </cell>
          <cell r="Z75">
            <v>0</v>
          </cell>
          <cell r="AA75">
            <v>0</v>
          </cell>
          <cell r="AB75">
            <v>0</v>
          </cell>
          <cell r="AD75">
            <v>0</v>
          </cell>
          <cell r="AE75">
            <v>0</v>
          </cell>
          <cell r="AF75">
            <v>0</v>
          </cell>
          <cell r="AG75">
            <v>0</v>
          </cell>
          <cell r="AH75">
            <v>0</v>
          </cell>
          <cell r="AI75">
            <v>0</v>
          </cell>
          <cell r="AJ75">
            <v>0</v>
          </cell>
          <cell r="AK75">
            <v>0</v>
          </cell>
          <cell r="AM75">
            <v>0</v>
          </cell>
          <cell r="AN75">
            <v>0</v>
          </cell>
          <cell r="AO75">
            <v>0</v>
          </cell>
          <cell r="AP75">
            <v>0</v>
          </cell>
          <cell r="AQ75">
            <v>0</v>
          </cell>
          <cell r="AR75">
            <v>0</v>
          </cell>
          <cell r="AS75">
            <v>0</v>
          </cell>
          <cell r="AT75">
            <v>0</v>
          </cell>
          <cell r="AU75">
            <v>2370</v>
          </cell>
          <cell r="AV75">
            <v>0</v>
          </cell>
          <cell r="AW75">
            <v>0</v>
          </cell>
          <cell r="AX75">
            <v>0</v>
          </cell>
          <cell r="BA75">
            <v>0</v>
          </cell>
          <cell r="BC75">
            <v>0</v>
          </cell>
          <cell r="BD75">
            <v>5859</v>
          </cell>
          <cell r="BF75">
            <v>0</v>
          </cell>
          <cell r="BG75">
            <v>0</v>
          </cell>
          <cell r="BH75">
            <v>0</v>
          </cell>
          <cell r="BI75">
            <v>12370</v>
          </cell>
          <cell r="BJ75">
            <v>10183</v>
          </cell>
          <cell r="BK75">
            <v>10183</v>
          </cell>
          <cell r="BL75">
            <v>0</v>
          </cell>
          <cell r="BM75">
            <v>0</v>
          </cell>
          <cell r="BN75">
            <v>0</v>
          </cell>
          <cell r="BO75">
            <v>90962</v>
          </cell>
          <cell r="BP75">
            <v>6325.6</v>
          </cell>
          <cell r="BQ75">
            <v>11395.3488372093</v>
          </cell>
          <cell r="BR75">
            <v>0</v>
          </cell>
          <cell r="BS75">
            <v>0</v>
          </cell>
          <cell r="BT75">
            <v>33686</v>
          </cell>
          <cell r="BY75">
            <v>0</v>
          </cell>
          <cell r="BZ75">
            <v>0</v>
          </cell>
          <cell r="CA75">
            <v>0</v>
          </cell>
          <cell r="CB75">
            <v>0</v>
          </cell>
          <cell r="CC75">
            <v>839165</v>
          </cell>
          <cell r="CD75">
            <v>5807423</v>
          </cell>
          <cell r="CE75">
            <v>296988</v>
          </cell>
          <cell r="CF75">
            <v>-2838</v>
          </cell>
          <cell r="CG75">
            <v>296988</v>
          </cell>
          <cell r="CH75">
            <v>296988</v>
          </cell>
          <cell r="CI75">
            <v>296988</v>
          </cell>
          <cell r="CJ75">
            <v>296988</v>
          </cell>
          <cell r="CK75">
            <v>0</v>
          </cell>
          <cell r="CL75">
            <v>0</v>
          </cell>
          <cell r="CM75">
            <v>0</v>
          </cell>
          <cell r="CN75">
            <v>0</v>
          </cell>
          <cell r="CO75">
            <v>0</v>
          </cell>
          <cell r="CP75">
            <v>32734</v>
          </cell>
          <cell r="CQ75">
            <v>1202885</v>
          </cell>
          <cell r="CR75">
            <v>1158568</v>
          </cell>
          <cell r="CS75">
            <v>1135538</v>
          </cell>
          <cell r="CT75">
            <v>1129208</v>
          </cell>
          <cell r="CU75">
            <v>1129662</v>
          </cell>
          <cell r="CV75">
            <v>-55546</v>
          </cell>
          <cell r="CW75">
            <v>0</v>
          </cell>
          <cell r="CX75">
            <v>0</v>
          </cell>
          <cell r="CY75">
            <v>0</v>
          </cell>
          <cell r="CZ75">
            <v>0</v>
          </cell>
          <cell r="DA75">
            <v>0</v>
          </cell>
          <cell r="DC75">
            <v>0</v>
          </cell>
          <cell r="DD75">
            <v>0</v>
          </cell>
          <cell r="DE75">
            <v>0</v>
          </cell>
          <cell r="DF75">
            <v>0</v>
          </cell>
          <cell r="DG75">
            <v>0</v>
          </cell>
          <cell r="DH75">
            <v>0</v>
          </cell>
          <cell r="DI75">
            <v>0</v>
          </cell>
          <cell r="DJ75">
            <v>0</v>
          </cell>
          <cell r="DK75">
            <v>0</v>
          </cell>
          <cell r="DL75">
            <v>0</v>
          </cell>
        </row>
        <row r="76">
          <cell r="A76">
            <v>1708</v>
          </cell>
          <cell r="B76" t="str">
            <v>Steenwijkerland</v>
          </cell>
          <cell r="C76">
            <v>4</v>
          </cell>
          <cell r="D76">
            <v>23498</v>
          </cell>
          <cell r="E76">
            <v>11749</v>
          </cell>
          <cell r="F76">
            <v>0</v>
          </cell>
          <cell r="G76">
            <v>41361</v>
          </cell>
          <cell r="H76">
            <v>0</v>
          </cell>
          <cell r="I76">
            <v>-7232</v>
          </cell>
          <cell r="K76">
            <v>0</v>
          </cell>
          <cell r="L76">
            <v>199598</v>
          </cell>
          <cell r="M76">
            <v>199029</v>
          </cell>
          <cell r="N76">
            <v>0</v>
          </cell>
          <cell r="O76">
            <v>0</v>
          </cell>
          <cell r="P76">
            <v>0</v>
          </cell>
          <cell r="Q76">
            <v>0</v>
          </cell>
          <cell r="R76">
            <v>0</v>
          </cell>
          <cell r="S76">
            <v>0</v>
          </cell>
          <cell r="T76">
            <v>0</v>
          </cell>
          <cell r="U76">
            <v>0</v>
          </cell>
          <cell r="V76">
            <v>3000</v>
          </cell>
          <cell r="W76">
            <v>79602</v>
          </cell>
          <cell r="X76">
            <v>0</v>
          </cell>
          <cell r="Z76">
            <v>0</v>
          </cell>
          <cell r="AA76">
            <v>0</v>
          </cell>
          <cell r="AB76">
            <v>0</v>
          </cell>
          <cell r="AD76">
            <v>63557</v>
          </cell>
          <cell r="AE76">
            <v>0</v>
          </cell>
          <cell r="AF76">
            <v>0</v>
          </cell>
          <cell r="AG76">
            <v>0</v>
          </cell>
          <cell r="AH76">
            <v>0</v>
          </cell>
          <cell r="AI76">
            <v>0</v>
          </cell>
          <cell r="AJ76">
            <v>0</v>
          </cell>
          <cell r="AK76">
            <v>0</v>
          </cell>
          <cell r="AM76">
            <v>0</v>
          </cell>
          <cell r="AN76">
            <v>0</v>
          </cell>
          <cell r="AO76">
            <v>0</v>
          </cell>
          <cell r="AP76">
            <v>0</v>
          </cell>
          <cell r="AQ76">
            <v>0</v>
          </cell>
          <cell r="AR76">
            <v>0</v>
          </cell>
          <cell r="AS76">
            <v>0</v>
          </cell>
          <cell r="AT76">
            <v>0</v>
          </cell>
          <cell r="AU76">
            <v>4740</v>
          </cell>
          <cell r="AV76">
            <v>0</v>
          </cell>
          <cell r="AW76">
            <v>0</v>
          </cell>
          <cell r="AX76">
            <v>0</v>
          </cell>
          <cell r="BA76">
            <v>0</v>
          </cell>
          <cell r="BC76">
            <v>0</v>
          </cell>
          <cell r="BD76">
            <v>15252</v>
          </cell>
          <cell r="BF76">
            <v>0</v>
          </cell>
          <cell r="BG76">
            <v>0</v>
          </cell>
          <cell r="BH76">
            <v>0</v>
          </cell>
          <cell r="BI76">
            <v>70475</v>
          </cell>
          <cell r="BJ76">
            <v>58011</v>
          </cell>
          <cell r="BK76">
            <v>58011</v>
          </cell>
          <cell r="BL76">
            <v>0</v>
          </cell>
          <cell r="BM76">
            <v>0</v>
          </cell>
          <cell r="BN76">
            <v>0</v>
          </cell>
          <cell r="BO76">
            <v>157603</v>
          </cell>
          <cell r="BP76">
            <v>4744.2</v>
          </cell>
          <cell r="BQ76">
            <v>8546.5116279069807</v>
          </cell>
          <cell r="BR76">
            <v>0</v>
          </cell>
          <cell r="BS76">
            <v>0</v>
          </cell>
          <cell r="BT76">
            <v>98045</v>
          </cell>
          <cell r="BY76">
            <v>0</v>
          </cell>
          <cell r="BZ76">
            <v>0</v>
          </cell>
          <cell r="CA76">
            <v>0</v>
          </cell>
          <cell r="CB76">
            <v>0</v>
          </cell>
          <cell r="CC76">
            <v>3834069</v>
          </cell>
          <cell r="CD76">
            <v>24899994</v>
          </cell>
          <cell r="CE76">
            <v>1717096</v>
          </cell>
          <cell r="CF76">
            <v>-17539</v>
          </cell>
          <cell r="CG76">
            <v>1717096</v>
          </cell>
          <cell r="CH76">
            <v>1717096</v>
          </cell>
          <cell r="CI76">
            <v>1717096</v>
          </cell>
          <cell r="CJ76">
            <v>1717096</v>
          </cell>
          <cell r="CK76">
            <v>0</v>
          </cell>
          <cell r="CL76">
            <v>0</v>
          </cell>
          <cell r="CM76">
            <v>0</v>
          </cell>
          <cell r="CN76">
            <v>0</v>
          </cell>
          <cell r="CO76">
            <v>0</v>
          </cell>
          <cell r="CP76">
            <v>0</v>
          </cell>
          <cell r="CQ76">
            <v>7006168</v>
          </cell>
          <cell r="CR76">
            <v>6613193</v>
          </cell>
          <cell r="CS76">
            <v>6445561</v>
          </cell>
          <cell r="CT76">
            <v>6210642</v>
          </cell>
          <cell r="CU76">
            <v>6018882</v>
          </cell>
          <cell r="CV76">
            <v>-48174</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row>
        <row r="77">
          <cell r="A77">
            <v>183</v>
          </cell>
          <cell r="B77" t="str">
            <v>Tubbergen</v>
          </cell>
          <cell r="C77">
            <v>4</v>
          </cell>
          <cell r="D77">
            <v>15041</v>
          </cell>
          <cell r="E77">
            <v>7521</v>
          </cell>
          <cell r="F77">
            <v>0</v>
          </cell>
          <cell r="G77">
            <v>0</v>
          </cell>
          <cell r="H77">
            <v>-17953</v>
          </cell>
          <cell r="I77">
            <v>-42959</v>
          </cell>
          <cell r="K77">
            <v>0</v>
          </cell>
          <cell r="L77">
            <v>52645</v>
          </cell>
          <cell r="M77">
            <v>46662</v>
          </cell>
          <cell r="N77">
            <v>0</v>
          </cell>
          <cell r="O77">
            <v>0</v>
          </cell>
          <cell r="P77">
            <v>0</v>
          </cell>
          <cell r="Q77">
            <v>0</v>
          </cell>
          <cell r="R77">
            <v>0</v>
          </cell>
          <cell r="S77">
            <v>0</v>
          </cell>
          <cell r="T77">
            <v>0</v>
          </cell>
          <cell r="U77">
            <v>0</v>
          </cell>
          <cell r="V77">
            <v>9000</v>
          </cell>
          <cell r="W77">
            <v>101854</v>
          </cell>
          <cell r="X77">
            <v>0</v>
          </cell>
          <cell r="Z77">
            <v>0</v>
          </cell>
          <cell r="AA77">
            <v>0</v>
          </cell>
          <cell r="AB77">
            <v>0</v>
          </cell>
          <cell r="AD77">
            <v>0</v>
          </cell>
          <cell r="AE77">
            <v>0</v>
          </cell>
          <cell r="AF77">
            <v>0</v>
          </cell>
          <cell r="AG77">
            <v>0</v>
          </cell>
          <cell r="AH77">
            <v>0</v>
          </cell>
          <cell r="AI77">
            <v>0</v>
          </cell>
          <cell r="AJ77">
            <v>0</v>
          </cell>
          <cell r="AK77">
            <v>0</v>
          </cell>
          <cell r="AM77">
            <v>0</v>
          </cell>
          <cell r="AN77">
            <v>0</v>
          </cell>
          <cell r="AO77">
            <v>0</v>
          </cell>
          <cell r="AP77">
            <v>0</v>
          </cell>
          <cell r="AQ77">
            <v>0</v>
          </cell>
          <cell r="AR77">
            <v>0</v>
          </cell>
          <cell r="AS77">
            <v>0</v>
          </cell>
          <cell r="AT77">
            <v>0</v>
          </cell>
          <cell r="AU77">
            <v>0</v>
          </cell>
          <cell r="AV77">
            <v>0</v>
          </cell>
          <cell r="AW77">
            <v>0</v>
          </cell>
          <cell r="AX77">
            <v>0</v>
          </cell>
          <cell r="BA77">
            <v>0</v>
          </cell>
          <cell r="BC77">
            <v>0</v>
          </cell>
          <cell r="BD77">
            <v>7425</v>
          </cell>
          <cell r="BF77">
            <v>0</v>
          </cell>
          <cell r="BG77">
            <v>0</v>
          </cell>
          <cell r="BH77">
            <v>0</v>
          </cell>
          <cell r="BI77">
            <v>20055</v>
          </cell>
          <cell r="BJ77">
            <v>16508</v>
          </cell>
          <cell r="BK77">
            <v>16508</v>
          </cell>
          <cell r="BL77">
            <v>0</v>
          </cell>
          <cell r="BM77">
            <v>0</v>
          </cell>
          <cell r="BN77">
            <v>0</v>
          </cell>
          <cell r="BO77">
            <v>58371</v>
          </cell>
          <cell r="BP77">
            <v>7907</v>
          </cell>
          <cell r="BQ77">
            <v>14244.186046511601</v>
          </cell>
          <cell r="BR77">
            <v>0</v>
          </cell>
          <cell r="BS77">
            <v>0</v>
          </cell>
          <cell r="BT77">
            <v>40479</v>
          </cell>
          <cell r="BY77">
            <v>0</v>
          </cell>
          <cell r="BZ77">
            <v>0</v>
          </cell>
          <cell r="CA77">
            <v>0</v>
          </cell>
          <cell r="CB77">
            <v>0</v>
          </cell>
          <cell r="CC77">
            <v>1408795</v>
          </cell>
          <cell r="CD77">
            <v>8008094</v>
          </cell>
          <cell r="CE77">
            <v>481577</v>
          </cell>
          <cell r="CF77">
            <v>-104185</v>
          </cell>
          <cell r="CG77">
            <v>481577</v>
          </cell>
          <cell r="CH77">
            <v>481577</v>
          </cell>
          <cell r="CI77">
            <v>481577</v>
          </cell>
          <cell r="CJ77">
            <v>481577</v>
          </cell>
          <cell r="CK77">
            <v>0</v>
          </cell>
          <cell r="CL77">
            <v>0</v>
          </cell>
          <cell r="CM77">
            <v>0</v>
          </cell>
          <cell r="CN77">
            <v>0</v>
          </cell>
          <cell r="CO77">
            <v>0</v>
          </cell>
          <cell r="CP77">
            <v>0</v>
          </cell>
          <cell r="CQ77">
            <v>2084466</v>
          </cell>
          <cell r="CR77">
            <v>1966282</v>
          </cell>
          <cell r="CS77">
            <v>1888959</v>
          </cell>
          <cell r="CT77">
            <v>1813953</v>
          </cell>
          <cell r="CU77">
            <v>1767244</v>
          </cell>
          <cell r="CV77">
            <v>7526</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row>
        <row r="78">
          <cell r="A78">
            <v>1700</v>
          </cell>
          <cell r="B78" t="str">
            <v>Twenterand</v>
          </cell>
          <cell r="C78">
            <v>4</v>
          </cell>
          <cell r="D78">
            <v>17114</v>
          </cell>
          <cell r="E78">
            <v>8557</v>
          </cell>
          <cell r="F78">
            <v>0</v>
          </cell>
          <cell r="G78">
            <v>0</v>
          </cell>
          <cell r="H78">
            <v>0</v>
          </cell>
          <cell r="I78">
            <v>0</v>
          </cell>
          <cell r="K78">
            <v>0</v>
          </cell>
          <cell r="L78">
            <v>145878</v>
          </cell>
          <cell r="M78">
            <v>148558</v>
          </cell>
          <cell r="N78">
            <v>0</v>
          </cell>
          <cell r="O78">
            <v>0</v>
          </cell>
          <cell r="P78">
            <v>0</v>
          </cell>
          <cell r="Q78">
            <v>0</v>
          </cell>
          <cell r="R78">
            <v>0</v>
          </cell>
          <cell r="S78">
            <v>0</v>
          </cell>
          <cell r="T78">
            <v>0</v>
          </cell>
          <cell r="U78">
            <v>0</v>
          </cell>
          <cell r="V78">
            <v>9000</v>
          </cell>
          <cell r="W78">
            <v>88896</v>
          </cell>
          <cell r="X78">
            <v>0</v>
          </cell>
          <cell r="Z78">
            <v>0</v>
          </cell>
          <cell r="AA78">
            <v>0</v>
          </cell>
          <cell r="AB78">
            <v>0</v>
          </cell>
          <cell r="AD78">
            <v>22489</v>
          </cell>
          <cell r="AE78">
            <v>0</v>
          </cell>
          <cell r="AF78">
            <v>0</v>
          </cell>
          <cell r="AG78">
            <v>0</v>
          </cell>
          <cell r="AH78">
            <v>0</v>
          </cell>
          <cell r="AI78">
            <v>0</v>
          </cell>
          <cell r="AJ78">
            <v>0</v>
          </cell>
          <cell r="AK78">
            <v>0</v>
          </cell>
          <cell r="AM78">
            <v>0</v>
          </cell>
          <cell r="AN78">
            <v>0</v>
          </cell>
          <cell r="AO78">
            <v>0</v>
          </cell>
          <cell r="AP78">
            <v>0</v>
          </cell>
          <cell r="AQ78">
            <v>0</v>
          </cell>
          <cell r="AR78">
            <v>0</v>
          </cell>
          <cell r="AS78">
            <v>0</v>
          </cell>
          <cell r="AT78">
            <v>0</v>
          </cell>
          <cell r="AU78">
            <v>7110</v>
          </cell>
          <cell r="AV78">
            <v>0</v>
          </cell>
          <cell r="AW78">
            <v>0</v>
          </cell>
          <cell r="AX78">
            <v>0</v>
          </cell>
          <cell r="BA78">
            <v>0</v>
          </cell>
          <cell r="BC78">
            <v>0</v>
          </cell>
          <cell r="BD78">
            <v>11881</v>
          </cell>
          <cell r="BF78">
            <v>0</v>
          </cell>
          <cell r="BG78">
            <v>0</v>
          </cell>
          <cell r="BH78">
            <v>0</v>
          </cell>
          <cell r="BI78">
            <v>45317</v>
          </cell>
          <cell r="BJ78">
            <v>37302</v>
          </cell>
          <cell r="BK78">
            <v>37302</v>
          </cell>
          <cell r="BL78">
            <v>0</v>
          </cell>
          <cell r="BM78">
            <v>0</v>
          </cell>
          <cell r="BN78">
            <v>0</v>
          </cell>
          <cell r="BO78">
            <v>93394</v>
          </cell>
          <cell r="BP78">
            <v>11069.8</v>
          </cell>
          <cell r="BQ78">
            <v>19941.8604651163</v>
          </cell>
          <cell r="BR78">
            <v>0</v>
          </cell>
          <cell r="BS78">
            <v>0</v>
          </cell>
          <cell r="BT78">
            <v>61488</v>
          </cell>
          <cell r="BY78">
            <v>0</v>
          </cell>
          <cell r="BZ78">
            <v>0</v>
          </cell>
          <cell r="CA78">
            <v>0</v>
          </cell>
          <cell r="CB78">
            <v>0</v>
          </cell>
          <cell r="CC78">
            <v>2666711</v>
          </cell>
          <cell r="CD78">
            <v>22125616</v>
          </cell>
          <cell r="CE78">
            <v>2250160</v>
          </cell>
          <cell r="CF78">
            <v>-47066</v>
          </cell>
          <cell r="CG78">
            <v>2250160</v>
          </cell>
          <cell r="CH78">
            <v>2250160</v>
          </cell>
          <cell r="CI78">
            <v>2250160</v>
          </cell>
          <cell r="CJ78">
            <v>2250160</v>
          </cell>
          <cell r="CK78">
            <v>0</v>
          </cell>
          <cell r="CL78">
            <v>0</v>
          </cell>
          <cell r="CM78">
            <v>0</v>
          </cell>
          <cell r="CN78">
            <v>0</v>
          </cell>
          <cell r="CO78">
            <v>0</v>
          </cell>
          <cell r="CP78">
            <v>0</v>
          </cell>
          <cell r="CQ78">
            <v>6769259</v>
          </cell>
          <cell r="CR78">
            <v>6275049</v>
          </cell>
          <cell r="CS78">
            <v>6051275</v>
          </cell>
          <cell r="CT78">
            <v>5837107</v>
          </cell>
          <cell r="CU78">
            <v>5580754</v>
          </cell>
          <cell r="CV78">
            <v>-13975</v>
          </cell>
          <cell r="CW78">
            <v>0</v>
          </cell>
          <cell r="CX78">
            <v>0</v>
          </cell>
          <cell r="CY78">
            <v>0</v>
          </cell>
          <cell r="CZ78">
            <v>0</v>
          </cell>
          <cell r="DA78">
            <v>0</v>
          </cell>
          <cell r="DC78">
            <v>0</v>
          </cell>
          <cell r="DD78">
            <v>0</v>
          </cell>
          <cell r="DE78">
            <v>0</v>
          </cell>
          <cell r="DF78">
            <v>0</v>
          </cell>
          <cell r="DG78">
            <v>0</v>
          </cell>
          <cell r="DH78">
            <v>0</v>
          </cell>
          <cell r="DI78">
            <v>0</v>
          </cell>
          <cell r="DJ78">
            <v>0</v>
          </cell>
          <cell r="DK78">
            <v>0</v>
          </cell>
          <cell r="DL78">
            <v>0</v>
          </cell>
        </row>
        <row r="79">
          <cell r="A79">
            <v>189</v>
          </cell>
          <cell r="B79" t="str">
            <v>Wierden</v>
          </cell>
          <cell r="C79">
            <v>4</v>
          </cell>
          <cell r="D79">
            <v>-13637</v>
          </cell>
          <cell r="E79">
            <v>-6819</v>
          </cell>
          <cell r="F79">
            <v>0</v>
          </cell>
          <cell r="G79">
            <v>0</v>
          </cell>
          <cell r="H79">
            <v>-41690</v>
          </cell>
          <cell r="I79">
            <v>-27964</v>
          </cell>
          <cell r="K79">
            <v>0</v>
          </cell>
          <cell r="L79">
            <v>71387</v>
          </cell>
          <cell r="M79">
            <v>65613</v>
          </cell>
          <cell r="N79">
            <v>0</v>
          </cell>
          <cell r="O79">
            <v>0</v>
          </cell>
          <cell r="P79">
            <v>0</v>
          </cell>
          <cell r="Q79">
            <v>0</v>
          </cell>
          <cell r="R79">
            <v>0</v>
          </cell>
          <cell r="S79">
            <v>0</v>
          </cell>
          <cell r="T79">
            <v>0</v>
          </cell>
          <cell r="U79">
            <v>0</v>
          </cell>
          <cell r="V79">
            <v>3000</v>
          </cell>
          <cell r="W79">
            <v>90916</v>
          </cell>
          <cell r="X79">
            <v>0</v>
          </cell>
          <cell r="Z79">
            <v>0</v>
          </cell>
          <cell r="AA79">
            <v>0</v>
          </cell>
          <cell r="AB79">
            <v>0</v>
          </cell>
          <cell r="AD79">
            <v>0</v>
          </cell>
          <cell r="AE79">
            <v>0</v>
          </cell>
          <cell r="AF79">
            <v>0</v>
          </cell>
          <cell r="AG79">
            <v>0</v>
          </cell>
          <cell r="AH79">
            <v>0</v>
          </cell>
          <cell r="AI79">
            <v>0</v>
          </cell>
          <cell r="AJ79">
            <v>0</v>
          </cell>
          <cell r="AK79">
            <v>0</v>
          </cell>
          <cell r="AM79">
            <v>0</v>
          </cell>
          <cell r="AN79">
            <v>0</v>
          </cell>
          <cell r="AO79">
            <v>0</v>
          </cell>
          <cell r="AP79">
            <v>0</v>
          </cell>
          <cell r="AQ79">
            <v>0</v>
          </cell>
          <cell r="AR79">
            <v>0</v>
          </cell>
          <cell r="AS79">
            <v>0</v>
          </cell>
          <cell r="AT79">
            <v>0</v>
          </cell>
          <cell r="AU79">
            <v>0</v>
          </cell>
          <cell r="AV79">
            <v>0</v>
          </cell>
          <cell r="AW79">
            <v>0</v>
          </cell>
          <cell r="AX79">
            <v>0</v>
          </cell>
          <cell r="BA79">
            <v>0</v>
          </cell>
          <cell r="BC79">
            <v>0</v>
          </cell>
          <cell r="BD79">
            <v>8504</v>
          </cell>
          <cell r="BF79">
            <v>0</v>
          </cell>
          <cell r="BG79">
            <v>0</v>
          </cell>
          <cell r="BH79">
            <v>0</v>
          </cell>
          <cell r="BI79">
            <v>23016</v>
          </cell>
          <cell r="BJ79">
            <v>18945</v>
          </cell>
          <cell r="BK79">
            <v>18945</v>
          </cell>
          <cell r="BL79">
            <v>0</v>
          </cell>
          <cell r="BM79">
            <v>0</v>
          </cell>
          <cell r="BN79">
            <v>0</v>
          </cell>
          <cell r="BO79">
            <v>57398</v>
          </cell>
          <cell r="BP79">
            <v>14232.6</v>
          </cell>
          <cell r="BQ79">
            <v>25639.534883720899</v>
          </cell>
          <cell r="BR79">
            <v>0</v>
          </cell>
          <cell r="BS79">
            <v>0</v>
          </cell>
          <cell r="BT79">
            <v>41699</v>
          </cell>
          <cell r="BY79">
            <v>0</v>
          </cell>
          <cell r="BZ79">
            <v>0</v>
          </cell>
          <cell r="CA79">
            <v>0</v>
          </cell>
          <cell r="CB79">
            <v>0</v>
          </cell>
          <cell r="CC79">
            <v>1600991</v>
          </cell>
          <cell r="CD79">
            <v>9183643</v>
          </cell>
          <cell r="CE79">
            <v>758676</v>
          </cell>
          <cell r="CF79">
            <v>-67715</v>
          </cell>
          <cell r="CG79">
            <v>758676</v>
          </cell>
          <cell r="CH79">
            <v>758676</v>
          </cell>
          <cell r="CI79">
            <v>758676</v>
          </cell>
          <cell r="CJ79">
            <v>758676</v>
          </cell>
          <cell r="CK79">
            <v>0</v>
          </cell>
          <cell r="CL79">
            <v>0</v>
          </cell>
          <cell r="CM79">
            <v>0</v>
          </cell>
          <cell r="CN79">
            <v>0</v>
          </cell>
          <cell r="CO79">
            <v>0</v>
          </cell>
          <cell r="CP79">
            <v>0</v>
          </cell>
          <cell r="CQ79">
            <v>2175679</v>
          </cell>
          <cell r="CR79">
            <v>1966145</v>
          </cell>
          <cell r="CS79">
            <v>1877185</v>
          </cell>
          <cell r="CT79">
            <v>1782638</v>
          </cell>
          <cell r="CU79">
            <v>1723259</v>
          </cell>
          <cell r="CV79">
            <v>-43357</v>
          </cell>
          <cell r="CW79">
            <v>0</v>
          </cell>
          <cell r="CX79">
            <v>0</v>
          </cell>
          <cell r="CY79">
            <v>0</v>
          </cell>
          <cell r="CZ79">
            <v>0</v>
          </cell>
          <cell r="DA79">
            <v>0</v>
          </cell>
          <cell r="DC79">
            <v>0</v>
          </cell>
          <cell r="DD79">
            <v>0</v>
          </cell>
          <cell r="DE79">
            <v>0</v>
          </cell>
          <cell r="DF79">
            <v>0</v>
          </cell>
          <cell r="DG79">
            <v>0</v>
          </cell>
          <cell r="DH79">
            <v>0</v>
          </cell>
          <cell r="DI79">
            <v>0</v>
          </cell>
          <cell r="DJ79">
            <v>0</v>
          </cell>
          <cell r="DK79">
            <v>0</v>
          </cell>
          <cell r="DL79">
            <v>0</v>
          </cell>
        </row>
        <row r="80">
          <cell r="A80">
            <v>1896</v>
          </cell>
          <cell r="B80" t="str">
            <v>Zwartewaterland</v>
          </cell>
          <cell r="C80">
            <v>4</v>
          </cell>
          <cell r="D80">
            <v>10900</v>
          </cell>
          <cell r="E80">
            <v>5450</v>
          </cell>
          <cell r="F80">
            <v>0</v>
          </cell>
          <cell r="G80">
            <v>0</v>
          </cell>
          <cell r="H80">
            <v>0</v>
          </cell>
          <cell r="I80">
            <v>0</v>
          </cell>
          <cell r="K80">
            <v>0</v>
          </cell>
          <cell r="L80">
            <v>63469</v>
          </cell>
          <cell r="M80">
            <v>62137</v>
          </cell>
          <cell r="N80">
            <v>0</v>
          </cell>
          <cell r="O80">
            <v>0</v>
          </cell>
          <cell r="P80">
            <v>0</v>
          </cell>
          <cell r="Q80">
            <v>0</v>
          </cell>
          <cell r="R80">
            <v>0</v>
          </cell>
          <cell r="S80">
            <v>0</v>
          </cell>
          <cell r="T80">
            <v>0</v>
          </cell>
          <cell r="U80">
            <v>0</v>
          </cell>
          <cell r="V80">
            <v>0</v>
          </cell>
          <cell r="W80">
            <v>68288</v>
          </cell>
          <cell r="X80">
            <v>0</v>
          </cell>
          <cell r="Z80">
            <v>0</v>
          </cell>
          <cell r="AA80">
            <v>0</v>
          </cell>
          <cell r="AB80">
            <v>0</v>
          </cell>
          <cell r="AD80">
            <v>0</v>
          </cell>
          <cell r="AE80">
            <v>0</v>
          </cell>
          <cell r="AF80">
            <v>0</v>
          </cell>
          <cell r="AG80">
            <v>0</v>
          </cell>
          <cell r="AH80">
            <v>0</v>
          </cell>
          <cell r="AI80">
            <v>0</v>
          </cell>
          <cell r="AJ80">
            <v>0</v>
          </cell>
          <cell r="AK80">
            <v>0</v>
          </cell>
          <cell r="AM80">
            <v>0</v>
          </cell>
          <cell r="AN80">
            <v>0</v>
          </cell>
          <cell r="AO80">
            <v>0</v>
          </cell>
          <cell r="AP80">
            <v>0</v>
          </cell>
          <cell r="AQ80">
            <v>0</v>
          </cell>
          <cell r="AR80">
            <v>0</v>
          </cell>
          <cell r="AS80">
            <v>0</v>
          </cell>
          <cell r="AT80">
            <v>0</v>
          </cell>
          <cell r="AU80">
            <v>4740</v>
          </cell>
          <cell r="AV80">
            <v>0</v>
          </cell>
          <cell r="AW80">
            <v>0</v>
          </cell>
          <cell r="AX80">
            <v>0</v>
          </cell>
          <cell r="BA80">
            <v>0</v>
          </cell>
          <cell r="BC80">
            <v>0</v>
          </cell>
          <cell r="BD80">
            <v>7831</v>
          </cell>
          <cell r="BF80">
            <v>0</v>
          </cell>
          <cell r="BG80">
            <v>0</v>
          </cell>
          <cell r="BH80">
            <v>0</v>
          </cell>
          <cell r="BI80">
            <v>23230</v>
          </cell>
          <cell r="BJ80">
            <v>19122</v>
          </cell>
          <cell r="BK80">
            <v>19122</v>
          </cell>
          <cell r="BL80">
            <v>0</v>
          </cell>
          <cell r="BM80">
            <v>0</v>
          </cell>
          <cell r="BN80">
            <v>0</v>
          </cell>
          <cell r="BO80">
            <v>333690</v>
          </cell>
          <cell r="BP80">
            <v>7907</v>
          </cell>
          <cell r="BQ80">
            <v>14244.186046511601</v>
          </cell>
          <cell r="BR80">
            <v>0</v>
          </cell>
          <cell r="BS80">
            <v>0</v>
          </cell>
          <cell r="BT80">
            <v>40429</v>
          </cell>
          <cell r="BY80">
            <v>0</v>
          </cell>
          <cell r="BZ80">
            <v>0</v>
          </cell>
          <cell r="CA80">
            <v>0</v>
          </cell>
          <cell r="CB80">
            <v>0</v>
          </cell>
          <cell r="CC80">
            <v>1306744</v>
          </cell>
          <cell r="CD80">
            <v>8751088</v>
          </cell>
          <cell r="CE80">
            <v>645072</v>
          </cell>
          <cell r="CF80">
            <v>0</v>
          </cell>
          <cell r="CG80">
            <v>645072</v>
          </cell>
          <cell r="CH80">
            <v>645072</v>
          </cell>
          <cell r="CI80">
            <v>645072</v>
          </cell>
          <cell r="CJ80">
            <v>645072</v>
          </cell>
          <cell r="CK80">
            <v>0</v>
          </cell>
          <cell r="CL80">
            <v>0</v>
          </cell>
          <cell r="CM80">
            <v>0</v>
          </cell>
          <cell r="CN80">
            <v>0</v>
          </cell>
          <cell r="CO80">
            <v>0</v>
          </cell>
          <cell r="CP80">
            <v>0</v>
          </cell>
          <cell r="CQ80">
            <v>1034727</v>
          </cell>
          <cell r="CR80">
            <v>1011151</v>
          </cell>
          <cell r="CS80">
            <v>1006190</v>
          </cell>
          <cell r="CT80">
            <v>1016948</v>
          </cell>
          <cell r="CU80">
            <v>1002292</v>
          </cell>
          <cell r="CV80">
            <v>-75187</v>
          </cell>
          <cell r="CW80">
            <v>0</v>
          </cell>
          <cell r="CX80">
            <v>0</v>
          </cell>
          <cell r="CY80">
            <v>0</v>
          </cell>
          <cell r="CZ80">
            <v>0</v>
          </cell>
          <cell r="DA80">
            <v>0</v>
          </cell>
          <cell r="DC80">
            <v>0</v>
          </cell>
          <cell r="DD80">
            <v>0</v>
          </cell>
          <cell r="DE80">
            <v>0</v>
          </cell>
          <cell r="DF80">
            <v>0</v>
          </cell>
          <cell r="DG80">
            <v>0</v>
          </cell>
          <cell r="DH80">
            <v>0</v>
          </cell>
          <cell r="DI80">
            <v>0</v>
          </cell>
          <cell r="DJ80">
            <v>0</v>
          </cell>
          <cell r="DK80">
            <v>0</v>
          </cell>
          <cell r="DL80">
            <v>0</v>
          </cell>
        </row>
        <row r="81">
          <cell r="A81">
            <v>193</v>
          </cell>
          <cell r="B81" t="str">
            <v>Zwolle</v>
          </cell>
          <cell r="C81">
            <v>4</v>
          </cell>
          <cell r="D81">
            <v>225081</v>
          </cell>
          <cell r="E81">
            <v>112541</v>
          </cell>
          <cell r="F81">
            <v>0</v>
          </cell>
          <cell r="G81">
            <v>90237</v>
          </cell>
          <cell r="H81">
            <v>0</v>
          </cell>
          <cell r="I81">
            <v>0</v>
          </cell>
          <cell r="K81">
            <v>0</v>
          </cell>
          <cell r="L81">
            <v>604047</v>
          </cell>
          <cell r="M81">
            <v>603373</v>
          </cell>
          <cell r="N81">
            <v>0</v>
          </cell>
          <cell r="O81">
            <v>0</v>
          </cell>
          <cell r="P81">
            <v>150000</v>
          </cell>
          <cell r="Q81">
            <v>50000</v>
          </cell>
          <cell r="R81">
            <v>0</v>
          </cell>
          <cell r="S81">
            <v>805430</v>
          </cell>
          <cell r="T81">
            <v>805430</v>
          </cell>
          <cell r="U81">
            <v>805430</v>
          </cell>
          <cell r="V81">
            <v>12000</v>
          </cell>
          <cell r="W81">
            <v>456594</v>
          </cell>
          <cell r="X81">
            <v>0</v>
          </cell>
          <cell r="Z81">
            <v>0</v>
          </cell>
          <cell r="AA81">
            <v>33000</v>
          </cell>
          <cell r="AB81">
            <v>0</v>
          </cell>
          <cell r="AD81">
            <v>68446</v>
          </cell>
          <cell r="AE81">
            <v>0</v>
          </cell>
          <cell r="AF81">
            <v>0</v>
          </cell>
          <cell r="AG81">
            <v>0</v>
          </cell>
          <cell r="AH81">
            <v>0</v>
          </cell>
          <cell r="AI81">
            <v>0</v>
          </cell>
          <cell r="AJ81">
            <v>0</v>
          </cell>
          <cell r="AK81">
            <v>207412</v>
          </cell>
          <cell r="AM81">
            <v>0</v>
          </cell>
          <cell r="AN81">
            <v>0</v>
          </cell>
          <cell r="AO81">
            <v>0</v>
          </cell>
          <cell r="AP81">
            <v>0</v>
          </cell>
          <cell r="AQ81">
            <v>0</v>
          </cell>
          <cell r="AR81">
            <v>0</v>
          </cell>
          <cell r="AS81">
            <v>0</v>
          </cell>
          <cell r="AT81">
            <v>20000</v>
          </cell>
          <cell r="AU81">
            <v>2370</v>
          </cell>
          <cell r="AV81">
            <v>9956629.2501135804</v>
          </cell>
          <cell r="AW81">
            <v>237716</v>
          </cell>
          <cell r="AX81">
            <v>0</v>
          </cell>
          <cell r="BA81">
            <v>0</v>
          </cell>
          <cell r="BC81">
            <v>0</v>
          </cell>
          <cell r="BD81">
            <v>44072</v>
          </cell>
          <cell r="BF81">
            <v>0</v>
          </cell>
          <cell r="BG81">
            <v>0</v>
          </cell>
          <cell r="BH81">
            <v>0</v>
          </cell>
          <cell r="BI81">
            <v>203280</v>
          </cell>
          <cell r="BJ81">
            <v>167330</v>
          </cell>
          <cell r="BK81">
            <v>167330</v>
          </cell>
          <cell r="BL81">
            <v>0</v>
          </cell>
          <cell r="BM81">
            <v>0</v>
          </cell>
          <cell r="BN81">
            <v>215600</v>
          </cell>
          <cell r="BO81">
            <v>400817</v>
          </cell>
          <cell r="BP81">
            <v>42697.8</v>
          </cell>
          <cell r="BQ81">
            <v>76918.604651162794</v>
          </cell>
          <cell r="BR81">
            <v>0</v>
          </cell>
          <cell r="BS81">
            <v>0</v>
          </cell>
          <cell r="BT81">
            <v>217022</v>
          </cell>
          <cell r="BY81">
            <v>3482465.9086209401</v>
          </cell>
          <cell r="BZ81">
            <v>3975534.0444269502</v>
          </cell>
          <cell r="CA81">
            <v>4017655.4429631499</v>
          </cell>
          <cell r="CB81">
            <v>4136586.4505947498</v>
          </cell>
          <cell r="CC81">
            <v>8263126</v>
          </cell>
          <cell r="CD81">
            <v>134463450</v>
          </cell>
          <cell r="CE81">
            <v>6012208</v>
          </cell>
          <cell r="CF81">
            <v>0</v>
          </cell>
          <cell r="CG81">
            <v>6012208</v>
          </cell>
          <cell r="CH81">
            <v>6012208</v>
          </cell>
          <cell r="CI81">
            <v>6012208</v>
          </cell>
          <cell r="CJ81">
            <v>6012208</v>
          </cell>
          <cell r="CK81">
            <v>70709668</v>
          </cell>
          <cell r="CL81">
            <v>70674781</v>
          </cell>
          <cell r="CM81">
            <v>70674216</v>
          </cell>
          <cell r="CN81">
            <v>70672975</v>
          </cell>
          <cell r="CO81">
            <v>70674695</v>
          </cell>
          <cell r="CP81">
            <v>0</v>
          </cell>
          <cell r="CQ81">
            <v>13808334</v>
          </cell>
          <cell r="CR81">
            <v>13246512</v>
          </cell>
          <cell r="CS81">
            <v>13015535</v>
          </cell>
          <cell r="CT81">
            <v>12829738</v>
          </cell>
          <cell r="CU81">
            <v>12542103</v>
          </cell>
          <cell r="CV81">
            <v>-30630</v>
          </cell>
          <cell r="CW81">
            <v>0</v>
          </cell>
          <cell r="CX81">
            <v>0</v>
          </cell>
          <cell r="CY81">
            <v>0</v>
          </cell>
          <cell r="CZ81">
            <v>0</v>
          </cell>
          <cell r="DA81">
            <v>80000</v>
          </cell>
          <cell r="DC81">
            <v>0</v>
          </cell>
          <cell r="DD81">
            <v>0</v>
          </cell>
          <cell r="DE81">
            <v>0</v>
          </cell>
          <cell r="DF81">
            <v>0</v>
          </cell>
          <cell r="DG81">
            <v>0</v>
          </cell>
          <cell r="DH81">
            <v>0</v>
          </cell>
          <cell r="DI81">
            <v>0</v>
          </cell>
          <cell r="DJ81">
            <v>0</v>
          </cell>
          <cell r="DK81">
            <v>0</v>
          </cell>
          <cell r="DL81">
            <v>0</v>
          </cell>
        </row>
        <row r="82">
          <cell r="A82">
            <v>197</v>
          </cell>
          <cell r="B82" t="str">
            <v>Aalten</v>
          </cell>
          <cell r="C82">
            <v>5</v>
          </cell>
          <cell r="D82">
            <v>-45788</v>
          </cell>
          <cell r="E82">
            <v>-22894</v>
          </cell>
          <cell r="F82">
            <v>0</v>
          </cell>
          <cell r="G82">
            <v>0</v>
          </cell>
          <cell r="H82">
            <v>-65818</v>
          </cell>
          <cell r="I82">
            <v>-40424</v>
          </cell>
          <cell r="K82">
            <v>0</v>
          </cell>
          <cell r="L82">
            <v>82072</v>
          </cell>
          <cell r="M82">
            <v>77255</v>
          </cell>
          <cell r="N82">
            <v>0</v>
          </cell>
          <cell r="O82">
            <v>0</v>
          </cell>
          <cell r="P82">
            <v>0</v>
          </cell>
          <cell r="Q82">
            <v>0</v>
          </cell>
          <cell r="R82">
            <v>0</v>
          </cell>
          <cell r="S82">
            <v>0</v>
          </cell>
          <cell r="T82">
            <v>0</v>
          </cell>
          <cell r="U82">
            <v>0</v>
          </cell>
          <cell r="V82">
            <v>0</v>
          </cell>
          <cell r="W82">
            <v>50509</v>
          </cell>
          <cell r="X82">
            <v>0</v>
          </cell>
          <cell r="Z82">
            <v>0</v>
          </cell>
          <cell r="AA82">
            <v>0</v>
          </cell>
          <cell r="AB82">
            <v>0</v>
          </cell>
          <cell r="AD82">
            <v>0</v>
          </cell>
          <cell r="AE82">
            <v>0</v>
          </cell>
          <cell r="AF82">
            <v>0</v>
          </cell>
          <cell r="AG82">
            <v>0</v>
          </cell>
          <cell r="AH82">
            <v>0</v>
          </cell>
          <cell r="AI82">
            <v>0</v>
          </cell>
          <cell r="AJ82">
            <v>0</v>
          </cell>
          <cell r="AK82">
            <v>0</v>
          </cell>
          <cell r="AM82">
            <v>0</v>
          </cell>
          <cell r="AN82">
            <v>0</v>
          </cell>
          <cell r="AO82">
            <v>0</v>
          </cell>
          <cell r="AP82">
            <v>0</v>
          </cell>
          <cell r="AQ82">
            <v>0</v>
          </cell>
          <cell r="AR82">
            <v>0</v>
          </cell>
          <cell r="AS82">
            <v>0</v>
          </cell>
          <cell r="AT82">
            <v>0</v>
          </cell>
          <cell r="AU82">
            <v>4740</v>
          </cell>
          <cell r="AV82">
            <v>0</v>
          </cell>
          <cell r="AW82">
            <v>0</v>
          </cell>
          <cell r="AX82">
            <v>0</v>
          </cell>
          <cell r="BA82">
            <v>0</v>
          </cell>
          <cell r="BC82">
            <v>0</v>
          </cell>
          <cell r="BD82">
            <v>9494</v>
          </cell>
          <cell r="BF82">
            <v>0</v>
          </cell>
          <cell r="BG82">
            <v>0</v>
          </cell>
          <cell r="BH82">
            <v>0</v>
          </cell>
          <cell r="BI82">
            <v>42340</v>
          </cell>
          <cell r="BJ82">
            <v>34852</v>
          </cell>
          <cell r="BK82">
            <v>34852</v>
          </cell>
          <cell r="BL82">
            <v>0</v>
          </cell>
          <cell r="BM82">
            <v>0</v>
          </cell>
          <cell r="BN82">
            <v>0</v>
          </cell>
          <cell r="BO82">
            <v>37455</v>
          </cell>
          <cell r="BP82">
            <v>7907</v>
          </cell>
          <cell r="BQ82">
            <v>14244.186046511601</v>
          </cell>
          <cell r="BR82">
            <v>0</v>
          </cell>
          <cell r="BS82">
            <v>0</v>
          </cell>
          <cell r="BT82">
            <v>46683</v>
          </cell>
          <cell r="BY82">
            <v>0</v>
          </cell>
          <cell r="BZ82">
            <v>0</v>
          </cell>
          <cell r="CA82">
            <v>0</v>
          </cell>
          <cell r="CB82">
            <v>0</v>
          </cell>
          <cell r="CC82">
            <v>2397980</v>
          </cell>
          <cell r="CD82">
            <v>15958179</v>
          </cell>
          <cell r="CE82">
            <v>612983</v>
          </cell>
          <cell r="CF82">
            <v>-96803</v>
          </cell>
          <cell r="CG82">
            <v>612983</v>
          </cell>
          <cell r="CH82">
            <v>612983</v>
          </cell>
          <cell r="CI82">
            <v>612983</v>
          </cell>
          <cell r="CJ82">
            <v>612983</v>
          </cell>
          <cell r="CK82">
            <v>0</v>
          </cell>
          <cell r="CL82">
            <v>0</v>
          </cell>
          <cell r="CM82">
            <v>0</v>
          </cell>
          <cell r="CN82">
            <v>0</v>
          </cell>
          <cell r="CO82">
            <v>0</v>
          </cell>
          <cell r="CP82">
            <v>-199</v>
          </cell>
          <cell r="CQ82">
            <v>6066545</v>
          </cell>
          <cell r="CR82">
            <v>5819958</v>
          </cell>
          <cell r="CS82">
            <v>5664157</v>
          </cell>
          <cell r="CT82">
            <v>5480063</v>
          </cell>
          <cell r="CU82">
            <v>5283943</v>
          </cell>
          <cell r="CV82">
            <v>-53821</v>
          </cell>
          <cell r="CW82">
            <v>0</v>
          </cell>
          <cell r="CX82">
            <v>0</v>
          </cell>
          <cell r="CY82">
            <v>0</v>
          </cell>
          <cell r="CZ82">
            <v>0</v>
          </cell>
          <cell r="DA82">
            <v>0</v>
          </cell>
          <cell r="DC82">
            <v>0</v>
          </cell>
          <cell r="DD82">
            <v>0</v>
          </cell>
          <cell r="DE82">
            <v>0</v>
          </cell>
          <cell r="DF82">
            <v>0</v>
          </cell>
          <cell r="DG82">
            <v>0</v>
          </cell>
          <cell r="DH82">
            <v>0</v>
          </cell>
          <cell r="DI82">
            <v>0</v>
          </cell>
          <cell r="DJ82">
            <v>0</v>
          </cell>
          <cell r="DK82">
            <v>0</v>
          </cell>
          <cell r="DL82">
            <v>0</v>
          </cell>
        </row>
        <row r="83">
          <cell r="A83">
            <v>200</v>
          </cell>
          <cell r="B83" t="str">
            <v>Apeldoorn</v>
          </cell>
          <cell r="C83">
            <v>5</v>
          </cell>
          <cell r="D83">
            <v>285368</v>
          </cell>
          <cell r="E83">
            <v>142684</v>
          </cell>
          <cell r="F83">
            <v>0</v>
          </cell>
          <cell r="G83">
            <v>2315676</v>
          </cell>
          <cell r="H83">
            <v>-11069</v>
          </cell>
          <cell r="I83">
            <v>0</v>
          </cell>
          <cell r="K83">
            <v>7500</v>
          </cell>
          <cell r="L83">
            <v>690217</v>
          </cell>
          <cell r="M83">
            <v>708958</v>
          </cell>
          <cell r="N83">
            <v>0</v>
          </cell>
          <cell r="O83">
            <v>0</v>
          </cell>
          <cell r="P83">
            <v>150000</v>
          </cell>
          <cell r="Q83">
            <v>0</v>
          </cell>
          <cell r="R83">
            <v>0</v>
          </cell>
          <cell r="S83">
            <v>0</v>
          </cell>
          <cell r="T83">
            <v>0</v>
          </cell>
          <cell r="U83">
            <v>0</v>
          </cell>
          <cell r="V83">
            <v>39250</v>
          </cell>
          <cell r="W83">
            <v>608403</v>
          </cell>
          <cell r="X83">
            <v>0</v>
          </cell>
          <cell r="Z83">
            <v>0</v>
          </cell>
          <cell r="AA83">
            <v>32000</v>
          </cell>
          <cell r="AB83">
            <v>0</v>
          </cell>
          <cell r="AD83">
            <v>98757</v>
          </cell>
          <cell r="AE83">
            <v>0</v>
          </cell>
          <cell r="AF83">
            <v>0</v>
          </cell>
          <cell r="AG83">
            <v>0</v>
          </cell>
          <cell r="AH83">
            <v>0</v>
          </cell>
          <cell r="AI83">
            <v>0</v>
          </cell>
          <cell r="AJ83">
            <v>0</v>
          </cell>
          <cell r="AK83">
            <v>75177</v>
          </cell>
          <cell r="AM83">
            <v>0</v>
          </cell>
          <cell r="AN83">
            <v>0</v>
          </cell>
          <cell r="AO83">
            <v>0</v>
          </cell>
          <cell r="AP83">
            <v>0</v>
          </cell>
          <cell r="AQ83">
            <v>0</v>
          </cell>
          <cell r="AR83">
            <v>0</v>
          </cell>
          <cell r="AS83">
            <v>0</v>
          </cell>
          <cell r="AT83">
            <v>0</v>
          </cell>
          <cell r="AU83">
            <v>2370</v>
          </cell>
          <cell r="AV83">
            <v>4214599.7848845199</v>
          </cell>
          <cell r="AW83">
            <v>115328</v>
          </cell>
          <cell r="AX83">
            <v>0</v>
          </cell>
          <cell r="BA83">
            <v>0</v>
          </cell>
          <cell r="BC83">
            <v>0</v>
          </cell>
          <cell r="BD83">
            <v>56182</v>
          </cell>
          <cell r="BF83">
            <v>0</v>
          </cell>
          <cell r="BG83">
            <v>0</v>
          </cell>
          <cell r="BH83">
            <v>0</v>
          </cell>
          <cell r="BI83">
            <v>254690</v>
          </cell>
          <cell r="BJ83">
            <v>209647</v>
          </cell>
          <cell r="BK83">
            <v>209647</v>
          </cell>
          <cell r="BL83">
            <v>0</v>
          </cell>
          <cell r="BM83">
            <v>0</v>
          </cell>
          <cell r="BN83">
            <v>318010</v>
          </cell>
          <cell r="BO83">
            <v>179492</v>
          </cell>
          <cell r="BP83">
            <v>30046.6</v>
          </cell>
          <cell r="BQ83">
            <v>54127.906976744198</v>
          </cell>
          <cell r="BR83">
            <v>0</v>
          </cell>
          <cell r="BS83">
            <v>0</v>
          </cell>
          <cell r="BT83">
            <v>263422</v>
          </cell>
          <cell r="BY83">
            <v>3082575.28418059</v>
          </cell>
          <cell r="BZ83">
            <v>3572152.3143090298</v>
          </cell>
          <cell r="CA83">
            <v>3613975.4776868299</v>
          </cell>
          <cell r="CB83">
            <v>3732064.4095771099</v>
          </cell>
          <cell r="CC83">
            <v>13774521</v>
          </cell>
          <cell r="CD83">
            <v>133964678</v>
          </cell>
          <cell r="CE83">
            <v>10647278</v>
          </cell>
          <cell r="CF83">
            <v>0</v>
          </cell>
          <cell r="CG83">
            <v>10647278</v>
          </cell>
          <cell r="CH83">
            <v>10647278</v>
          </cell>
          <cell r="CI83">
            <v>10647278</v>
          </cell>
          <cell r="CJ83">
            <v>10647278</v>
          </cell>
          <cell r="CK83">
            <v>46747941</v>
          </cell>
          <cell r="CL83">
            <v>46724689</v>
          </cell>
          <cell r="CM83">
            <v>46724312</v>
          </cell>
          <cell r="CN83">
            <v>46723485</v>
          </cell>
          <cell r="CO83">
            <v>46724632</v>
          </cell>
          <cell r="CP83">
            <v>0</v>
          </cell>
          <cell r="CQ83">
            <v>21441492</v>
          </cell>
          <cell r="CR83">
            <v>20327426</v>
          </cell>
          <cell r="CS83">
            <v>19656054</v>
          </cell>
          <cell r="CT83">
            <v>19107452</v>
          </cell>
          <cell r="CU83">
            <v>18519197</v>
          </cell>
          <cell r="CV83">
            <v>-41270</v>
          </cell>
          <cell r="CW83">
            <v>0</v>
          </cell>
          <cell r="CX83">
            <v>0</v>
          </cell>
          <cell r="CY83">
            <v>0</v>
          </cell>
          <cell r="CZ83">
            <v>0</v>
          </cell>
          <cell r="DA83">
            <v>0</v>
          </cell>
          <cell r="DC83">
            <v>0</v>
          </cell>
          <cell r="DD83">
            <v>0</v>
          </cell>
          <cell r="DE83">
            <v>0</v>
          </cell>
          <cell r="DF83">
            <v>0</v>
          </cell>
          <cell r="DG83">
            <v>0</v>
          </cell>
          <cell r="DH83">
            <v>0</v>
          </cell>
          <cell r="DI83">
            <v>0</v>
          </cell>
          <cell r="DJ83">
            <v>0</v>
          </cell>
          <cell r="DK83">
            <v>0</v>
          </cell>
          <cell r="DL83">
            <v>0</v>
          </cell>
        </row>
        <row r="84">
          <cell r="A84">
            <v>202</v>
          </cell>
          <cell r="B84" t="str">
            <v>Arnhem</v>
          </cell>
          <cell r="C84">
            <v>5</v>
          </cell>
          <cell r="D84">
            <v>784835</v>
          </cell>
          <cell r="E84">
            <v>392417</v>
          </cell>
          <cell r="F84">
            <v>0</v>
          </cell>
          <cell r="G84">
            <v>159048</v>
          </cell>
          <cell r="H84">
            <v>-329178</v>
          </cell>
          <cell r="I84">
            <v>-174161</v>
          </cell>
          <cell r="K84">
            <v>0</v>
          </cell>
          <cell r="L84">
            <v>1090547</v>
          </cell>
          <cell r="M84">
            <v>1160250</v>
          </cell>
          <cell r="N84">
            <v>0</v>
          </cell>
          <cell r="O84">
            <v>0</v>
          </cell>
          <cell r="P84">
            <v>374923</v>
          </cell>
          <cell r="Q84">
            <v>0</v>
          </cell>
          <cell r="R84">
            <v>0</v>
          </cell>
          <cell r="S84">
            <v>1002304</v>
          </cell>
          <cell r="T84">
            <v>833430</v>
          </cell>
          <cell r="U84">
            <v>954281</v>
          </cell>
          <cell r="V84">
            <v>12000</v>
          </cell>
          <cell r="W84">
            <v>501884</v>
          </cell>
          <cell r="X84">
            <v>685985</v>
          </cell>
          <cell r="Z84">
            <v>0</v>
          </cell>
          <cell r="AA84">
            <v>0</v>
          </cell>
          <cell r="AB84">
            <v>0</v>
          </cell>
          <cell r="AD84">
            <v>293340</v>
          </cell>
          <cell r="AE84">
            <v>0</v>
          </cell>
          <cell r="AF84">
            <v>0</v>
          </cell>
          <cell r="AG84">
            <v>0</v>
          </cell>
          <cell r="AH84">
            <v>0</v>
          </cell>
          <cell r="AI84">
            <v>0</v>
          </cell>
          <cell r="AJ84">
            <v>266850</v>
          </cell>
          <cell r="AK84">
            <v>565178</v>
          </cell>
          <cell r="AM84">
            <v>0</v>
          </cell>
          <cell r="AN84">
            <v>0</v>
          </cell>
          <cell r="AO84">
            <v>0</v>
          </cell>
          <cell r="AP84">
            <v>0</v>
          </cell>
          <cell r="AQ84">
            <v>0</v>
          </cell>
          <cell r="AR84">
            <v>0</v>
          </cell>
          <cell r="AS84">
            <v>0</v>
          </cell>
          <cell r="AT84">
            <v>20000</v>
          </cell>
          <cell r="AU84">
            <v>7110</v>
          </cell>
          <cell r="AV84">
            <v>8526213.9108896591</v>
          </cell>
          <cell r="AW84">
            <v>110401</v>
          </cell>
          <cell r="AX84">
            <v>0</v>
          </cell>
          <cell r="BA84">
            <v>0</v>
          </cell>
          <cell r="BC84">
            <v>0</v>
          </cell>
          <cell r="BD84">
            <v>54656</v>
          </cell>
          <cell r="BF84">
            <v>0</v>
          </cell>
          <cell r="BG84">
            <v>0</v>
          </cell>
          <cell r="BH84">
            <v>0</v>
          </cell>
          <cell r="BI84">
            <v>351923</v>
          </cell>
          <cell r="BJ84">
            <v>289685</v>
          </cell>
          <cell r="BK84">
            <v>289685</v>
          </cell>
          <cell r="BL84">
            <v>0</v>
          </cell>
          <cell r="BM84">
            <v>0</v>
          </cell>
          <cell r="BN84">
            <v>278740</v>
          </cell>
          <cell r="BO84">
            <v>226675</v>
          </cell>
          <cell r="BP84">
            <v>47442</v>
          </cell>
          <cell r="BQ84">
            <v>85465.1162790698</v>
          </cell>
          <cell r="BR84">
            <v>394500</v>
          </cell>
          <cell r="BS84">
            <v>0</v>
          </cell>
          <cell r="BT84">
            <v>303260</v>
          </cell>
          <cell r="BY84">
            <v>4417406.7447492098</v>
          </cell>
          <cell r="BZ84">
            <v>5119076.0780028403</v>
          </cell>
          <cell r="CA84">
            <v>5179017.6793360701</v>
          </cell>
          <cell r="CB84">
            <v>5348264.5536887003</v>
          </cell>
          <cell r="CC84">
            <v>11711732</v>
          </cell>
          <cell r="CD84">
            <v>177610861</v>
          </cell>
          <cell r="CE84">
            <v>6345203</v>
          </cell>
          <cell r="CF84">
            <v>-357419</v>
          </cell>
          <cell r="CG84">
            <v>6255203</v>
          </cell>
          <cell r="CH84">
            <v>6255203</v>
          </cell>
          <cell r="CI84">
            <v>6255203</v>
          </cell>
          <cell r="CJ84">
            <v>6255203</v>
          </cell>
          <cell r="CK84">
            <v>71047164</v>
          </cell>
          <cell r="CL84">
            <v>71012319</v>
          </cell>
          <cell r="CM84">
            <v>71011755</v>
          </cell>
          <cell r="CN84">
            <v>71010515</v>
          </cell>
          <cell r="CO84">
            <v>71012233</v>
          </cell>
          <cell r="CP84">
            <v>-8908</v>
          </cell>
          <cell r="CQ84">
            <v>30387268</v>
          </cell>
          <cell r="CR84">
            <v>29052129</v>
          </cell>
          <cell r="CS84">
            <v>28328290</v>
          </cell>
          <cell r="CT84">
            <v>27691609</v>
          </cell>
          <cell r="CU84">
            <v>27005210</v>
          </cell>
          <cell r="CV84">
            <v>377450</v>
          </cell>
          <cell r="CW84">
            <v>0</v>
          </cell>
          <cell r="CX84">
            <v>0</v>
          </cell>
          <cell r="CY84">
            <v>0</v>
          </cell>
          <cell r="CZ84">
            <v>0</v>
          </cell>
          <cell r="DA84">
            <v>0</v>
          </cell>
          <cell r="DC84">
            <v>0</v>
          </cell>
          <cell r="DD84">
            <v>0</v>
          </cell>
          <cell r="DE84">
            <v>0</v>
          </cell>
          <cell r="DF84">
            <v>0</v>
          </cell>
          <cell r="DG84">
            <v>0</v>
          </cell>
          <cell r="DH84">
            <v>0</v>
          </cell>
          <cell r="DI84">
            <v>0</v>
          </cell>
          <cell r="DJ84">
            <v>0</v>
          </cell>
          <cell r="DK84">
            <v>0</v>
          </cell>
          <cell r="DL84">
            <v>0</v>
          </cell>
        </row>
        <row r="85">
          <cell r="A85">
            <v>203</v>
          </cell>
          <cell r="B85" t="str">
            <v>Barneveld</v>
          </cell>
          <cell r="C85">
            <v>5</v>
          </cell>
          <cell r="D85">
            <v>-62466</v>
          </cell>
          <cell r="E85">
            <v>-31233</v>
          </cell>
          <cell r="F85">
            <v>0</v>
          </cell>
          <cell r="G85">
            <v>0</v>
          </cell>
          <cell r="H85">
            <v>0</v>
          </cell>
          <cell r="I85">
            <v>0</v>
          </cell>
          <cell r="K85">
            <v>0</v>
          </cell>
          <cell r="L85">
            <v>174230</v>
          </cell>
          <cell r="M85">
            <v>163318</v>
          </cell>
          <cell r="N85">
            <v>0</v>
          </cell>
          <cell r="O85">
            <v>0</v>
          </cell>
          <cell r="P85">
            <v>0</v>
          </cell>
          <cell r="Q85">
            <v>0</v>
          </cell>
          <cell r="R85">
            <v>0</v>
          </cell>
          <cell r="S85">
            <v>0</v>
          </cell>
          <cell r="T85">
            <v>0</v>
          </cell>
          <cell r="U85">
            <v>0</v>
          </cell>
          <cell r="V85">
            <v>6000</v>
          </cell>
          <cell r="W85">
            <v>259106</v>
          </cell>
          <cell r="X85">
            <v>0</v>
          </cell>
          <cell r="Z85">
            <v>0</v>
          </cell>
          <cell r="AA85">
            <v>0</v>
          </cell>
          <cell r="AB85">
            <v>0</v>
          </cell>
          <cell r="AD85">
            <v>0</v>
          </cell>
          <cell r="AE85">
            <v>0</v>
          </cell>
          <cell r="AF85">
            <v>0</v>
          </cell>
          <cell r="AG85">
            <v>0</v>
          </cell>
          <cell r="AH85">
            <v>0</v>
          </cell>
          <cell r="AI85">
            <v>0</v>
          </cell>
          <cell r="AJ85">
            <v>0</v>
          </cell>
          <cell r="AK85">
            <v>0</v>
          </cell>
          <cell r="AM85">
            <v>0</v>
          </cell>
          <cell r="AN85">
            <v>0</v>
          </cell>
          <cell r="AO85">
            <v>0</v>
          </cell>
          <cell r="AP85">
            <v>0</v>
          </cell>
          <cell r="AQ85">
            <v>0</v>
          </cell>
          <cell r="AR85">
            <v>0</v>
          </cell>
          <cell r="AS85">
            <v>0</v>
          </cell>
          <cell r="AT85">
            <v>0</v>
          </cell>
          <cell r="AU85">
            <v>2370</v>
          </cell>
          <cell r="AV85">
            <v>0</v>
          </cell>
          <cell r="AW85">
            <v>0</v>
          </cell>
          <cell r="AX85">
            <v>0</v>
          </cell>
          <cell r="BA85">
            <v>0</v>
          </cell>
          <cell r="BC85">
            <v>0</v>
          </cell>
          <cell r="BD85">
            <v>19790</v>
          </cell>
          <cell r="BF85">
            <v>0</v>
          </cell>
          <cell r="BG85">
            <v>0</v>
          </cell>
          <cell r="BH85">
            <v>0</v>
          </cell>
          <cell r="BI85">
            <v>47145</v>
          </cell>
          <cell r="BJ85">
            <v>38807</v>
          </cell>
          <cell r="BK85">
            <v>38807</v>
          </cell>
          <cell r="BL85">
            <v>0</v>
          </cell>
          <cell r="BM85">
            <v>0</v>
          </cell>
          <cell r="BN85">
            <v>0</v>
          </cell>
          <cell r="BO85">
            <v>81720</v>
          </cell>
          <cell r="BP85">
            <v>7907</v>
          </cell>
          <cell r="BQ85">
            <v>14244.186046511601</v>
          </cell>
          <cell r="BR85">
            <v>0</v>
          </cell>
          <cell r="BS85">
            <v>0</v>
          </cell>
          <cell r="BT85">
            <v>107089</v>
          </cell>
          <cell r="BY85">
            <v>0</v>
          </cell>
          <cell r="BZ85">
            <v>0</v>
          </cell>
          <cell r="CA85">
            <v>0</v>
          </cell>
          <cell r="CB85">
            <v>0</v>
          </cell>
          <cell r="CC85">
            <v>3210223</v>
          </cell>
          <cell r="CD85">
            <v>24865353</v>
          </cell>
          <cell r="CE85">
            <v>4389899</v>
          </cell>
          <cell r="CF85">
            <v>0</v>
          </cell>
          <cell r="CG85">
            <v>4389899</v>
          </cell>
          <cell r="CH85">
            <v>4389899</v>
          </cell>
          <cell r="CI85">
            <v>4389899</v>
          </cell>
          <cell r="CJ85">
            <v>4389899</v>
          </cell>
          <cell r="CK85">
            <v>0</v>
          </cell>
          <cell r="CL85">
            <v>0</v>
          </cell>
          <cell r="CM85">
            <v>0</v>
          </cell>
          <cell r="CN85">
            <v>0</v>
          </cell>
          <cell r="CO85">
            <v>0</v>
          </cell>
          <cell r="CP85">
            <v>0</v>
          </cell>
          <cell r="CQ85">
            <v>2642194</v>
          </cell>
          <cell r="CR85">
            <v>2501792</v>
          </cell>
          <cell r="CS85">
            <v>2431931</v>
          </cell>
          <cell r="CT85">
            <v>2346414</v>
          </cell>
          <cell r="CU85">
            <v>2271010</v>
          </cell>
          <cell r="CV85">
            <v>-167542</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row>
        <row r="86">
          <cell r="A86">
            <v>1945</v>
          </cell>
          <cell r="B86" t="str">
            <v>Berg en Dal</v>
          </cell>
          <cell r="C86">
            <v>5</v>
          </cell>
          <cell r="D86">
            <v>-40199</v>
          </cell>
          <cell r="E86">
            <v>-20099</v>
          </cell>
          <cell r="F86">
            <v>0</v>
          </cell>
          <cell r="G86">
            <v>0</v>
          </cell>
          <cell r="H86">
            <v>-40478</v>
          </cell>
          <cell r="I86">
            <v>-21254</v>
          </cell>
          <cell r="K86">
            <v>0</v>
          </cell>
          <cell r="L86">
            <v>108016</v>
          </cell>
          <cell r="M86">
            <v>107466</v>
          </cell>
          <cell r="N86">
            <v>0</v>
          </cell>
          <cell r="O86">
            <v>0</v>
          </cell>
          <cell r="P86">
            <v>0</v>
          </cell>
          <cell r="Q86">
            <v>0</v>
          </cell>
          <cell r="R86">
            <v>0</v>
          </cell>
          <cell r="S86">
            <v>0</v>
          </cell>
          <cell r="T86">
            <v>0</v>
          </cell>
          <cell r="U86">
            <v>0</v>
          </cell>
          <cell r="V86">
            <v>0</v>
          </cell>
          <cell r="W86">
            <v>130233</v>
          </cell>
          <cell r="X86">
            <v>0</v>
          </cell>
          <cell r="Z86">
            <v>0</v>
          </cell>
          <cell r="AA86">
            <v>0</v>
          </cell>
          <cell r="AB86">
            <v>0</v>
          </cell>
          <cell r="AD86">
            <v>26400</v>
          </cell>
          <cell r="AE86">
            <v>0</v>
          </cell>
          <cell r="AF86">
            <v>0</v>
          </cell>
          <cell r="AG86">
            <v>0</v>
          </cell>
          <cell r="AH86">
            <v>0</v>
          </cell>
          <cell r="AI86">
            <v>0</v>
          </cell>
          <cell r="AJ86">
            <v>0</v>
          </cell>
          <cell r="AK86">
            <v>0</v>
          </cell>
          <cell r="AM86">
            <v>0</v>
          </cell>
          <cell r="AN86">
            <v>0</v>
          </cell>
          <cell r="AO86">
            <v>0</v>
          </cell>
          <cell r="AP86">
            <v>0</v>
          </cell>
          <cell r="AQ86">
            <v>0</v>
          </cell>
          <cell r="AR86">
            <v>0</v>
          </cell>
          <cell r="AS86">
            <v>0</v>
          </cell>
          <cell r="AT86">
            <v>0</v>
          </cell>
          <cell r="AU86">
            <v>2370</v>
          </cell>
          <cell r="AV86">
            <v>0</v>
          </cell>
          <cell r="AW86">
            <v>0</v>
          </cell>
          <cell r="AX86">
            <v>0</v>
          </cell>
          <cell r="BA86">
            <v>0</v>
          </cell>
          <cell r="BC86">
            <v>0</v>
          </cell>
          <cell r="BD86">
            <v>12203</v>
          </cell>
          <cell r="BF86">
            <v>0</v>
          </cell>
          <cell r="BG86">
            <v>0</v>
          </cell>
          <cell r="BH86">
            <v>0</v>
          </cell>
          <cell r="BI86">
            <v>58582</v>
          </cell>
          <cell r="BJ86">
            <v>48222</v>
          </cell>
          <cell r="BK86">
            <v>48222</v>
          </cell>
          <cell r="BL86">
            <v>0</v>
          </cell>
          <cell r="BM86">
            <v>0</v>
          </cell>
          <cell r="BN86">
            <v>0</v>
          </cell>
          <cell r="BO86">
            <v>148847</v>
          </cell>
          <cell r="BP86">
            <v>1581.4</v>
          </cell>
          <cell r="BQ86">
            <v>2848.8372093023299</v>
          </cell>
          <cell r="BR86">
            <v>0</v>
          </cell>
          <cell r="BS86">
            <v>0</v>
          </cell>
          <cell r="BT86">
            <v>59050</v>
          </cell>
          <cell r="BY86">
            <v>0</v>
          </cell>
          <cell r="BZ86">
            <v>0</v>
          </cell>
          <cell r="CA86">
            <v>0</v>
          </cell>
          <cell r="CB86">
            <v>0</v>
          </cell>
          <cell r="CC86">
            <v>3371100</v>
          </cell>
          <cell r="CD86">
            <v>17838019</v>
          </cell>
          <cell r="CE86">
            <v>1247836</v>
          </cell>
          <cell r="CF86">
            <v>-15862</v>
          </cell>
          <cell r="CG86">
            <v>1247836</v>
          </cell>
          <cell r="CH86">
            <v>1247836</v>
          </cell>
          <cell r="CI86">
            <v>1247836</v>
          </cell>
          <cell r="CJ86">
            <v>1247836</v>
          </cell>
          <cell r="CK86">
            <v>0</v>
          </cell>
          <cell r="CL86">
            <v>0</v>
          </cell>
          <cell r="CM86">
            <v>0</v>
          </cell>
          <cell r="CN86">
            <v>0</v>
          </cell>
          <cell r="CO86">
            <v>0</v>
          </cell>
          <cell r="CP86">
            <v>-5318</v>
          </cell>
          <cell r="CQ86">
            <v>4312628</v>
          </cell>
          <cell r="CR86">
            <v>4049642</v>
          </cell>
          <cell r="CS86">
            <v>3906055</v>
          </cell>
          <cell r="CT86">
            <v>3786136</v>
          </cell>
          <cell r="CU86">
            <v>3690519</v>
          </cell>
          <cell r="CV86">
            <v>64130</v>
          </cell>
          <cell r="CW86">
            <v>0</v>
          </cell>
          <cell r="CX86">
            <v>0</v>
          </cell>
          <cell r="CY86">
            <v>0</v>
          </cell>
          <cell r="CZ86">
            <v>0</v>
          </cell>
          <cell r="DA86">
            <v>0</v>
          </cell>
          <cell r="DC86">
            <v>0</v>
          </cell>
          <cell r="DD86">
            <v>0</v>
          </cell>
          <cell r="DE86">
            <v>0</v>
          </cell>
          <cell r="DF86">
            <v>0</v>
          </cell>
          <cell r="DG86">
            <v>0</v>
          </cell>
          <cell r="DH86">
            <v>0</v>
          </cell>
          <cell r="DI86">
            <v>0</v>
          </cell>
          <cell r="DJ86">
            <v>0</v>
          </cell>
          <cell r="DK86">
            <v>0</v>
          </cell>
          <cell r="DL86">
            <v>0</v>
          </cell>
        </row>
        <row r="87">
          <cell r="A87">
            <v>1859</v>
          </cell>
          <cell r="B87" t="str">
            <v>Berkelland</v>
          </cell>
          <cell r="C87">
            <v>5</v>
          </cell>
          <cell r="D87">
            <v>8596</v>
          </cell>
          <cell r="E87">
            <v>4298</v>
          </cell>
          <cell r="F87">
            <v>0</v>
          </cell>
          <cell r="G87">
            <v>0</v>
          </cell>
          <cell r="H87">
            <v>-24950</v>
          </cell>
          <cell r="I87">
            <v>0</v>
          </cell>
          <cell r="K87">
            <v>0</v>
          </cell>
          <cell r="L87">
            <v>131752</v>
          </cell>
          <cell r="M87">
            <v>131035</v>
          </cell>
          <cell r="N87">
            <v>0</v>
          </cell>
          <cell r="O87">
            <v>0</v>
          </cell>
          <cell r="P87">
            <v>0</v>
          </cell>
          <cell r="Q87">
            <v>0</v>
          </cell>
          <cell r="R87">
            <v>0</v>
          </cell>
          <cell r="S87">
            <v>0</v>
          </cell>
          <cell r="T87">
            <v>0</v>
          </cell>
          <cell r="U87">
            <v>0</v>
          </cell>
          <cell r="V87">
            <v>0</v>
          </cell>
          <cell r="W87">
            <v>184270</v>
          </cell>
          <cell r="X87">
            <v>0</v>
          </cell>
          <cell r="Z87">
            <v>0</v>
          </cell>
          <cell r="AA87">
            <v>0</v>
          </cell>
          <cell r="AB87">
            <v>0</v>
          </cell>
          <cell r="AD87">
            <v>64534</v>
          </cell>
          <cell r="AE87">
            <v>0</v>
          </cell>
          <cell r="AF87">
            <v>0</v>
          </cell>
          <cell r="AG87">
            <v>0</v>
          </cell>
          <cell r="AH87">
            <v>0</v>
          </cell>
          <cell r="AI87">
            <v>0</v>
          </cell>
          <cell r="AJ87">
            <v>0</v>
          </cell>
          <cell r="AK87">
            <v>0</v>
          </cell>
          <cell r="AM87">
            <v>0</v>
          </cell>
          <cell r="AN87">
            <v>0</v>
          </cell>
          <cell r="AO87">
            <v>0</v>
          </cell>
          <cell r="AP87">
            <v>0</v>
          </cell>
          <cell r="AQ87">
            <v>0</v>
          </cell>
          <cell r="AR87">
            <v>0</v>
          </cell>
          <cell r="AS87">
            <v>0</v>
          </cell>
          <cell r="AT87">
            <v>0</v>
          </cell>
          <cell r="AU87">
            <v>0</v>
          </cell>
          <cell r="AV87">
            <v>0</v>
          </cell>
          <cell r="AW87">
            <v>0</v>
          </cell>
          <cell r="AX87">
            <v>0</v>
          </cell>
          <cell r="BA87">
            <v>0</v>
          </cell>
          <cell r="BC87">
            <v>0</v>
          </cell>
          <cell r="BD87">
            <v>15529</v>
          </cell>
          <cell r="BF87">
            <v>0</v>
          </cell>
          <cell r="BG87">
            <v>0</v>
          </cell>
          <cell r="BH87">
            <v>0</v>
          </cell>
          <cell r="BI87">
            <v>62125</v>
          </cell>
          <cell r="BJ87">
            <v>51138</v>
          </cell>
          <cell r="BK87">
            <v>51138</v>
          </cell>
          <cell r="BL87">
            <v>0</v>
          </cell>
          <cell r="BM87">
            <v>11060</v>
          </cell>
          <cell r="BN87">
            <v>0</v>
          </cell>
          <cell r="BO87">
            <v>173168</v>
          </cell>
          <cell r="BP87">
            <v>4744.2</v>
          </cell>
          <cell r="BQ87">
            <v>8546.5116279069807</v>
          </cell>
          <cell r="BR87">
            <v>0</v>
          </cell>
          <cell r="BS87">
            <v>0</v>
          </cell>
          <cell r="BT87">
            <v>81055</v>
          </cell>
          <cell r="BY87">
            <v>0</v>
          </cell>
          <cell r="BZ87">
            <v>0</v>
          </cell>
          <cell r="CA87">
            <v>0</v>
          </cell>
          <cell r="CB87">
            <v>0</v>
          </cell>
          <cell r="CC87">
            <v>3928845</v>
          </cell>
          <cell r="CD87">
            <v>21907616</v>
          </cell>
          <cell r="CE87">
            <v>1303564</v>
          </cell>
          <cell r="CF87">
            <v>0</v>
          </cell>
          <cell r="CG87">
            <v>1303564</v>
          </cell>
          <cell r="CH87">
            <v>1303564</v>
          </cell>
          <cell r="CI87">
            <v>1303564</v>
          </cell>
          <cell r="CJ87">
            <v>1303564</v>
          </cell>
          <cell r="CK87">
            <v>0</v>
          </cell>
          <cell r="CL87">
            <v>0</v>
          </cell>
          <cell r="CM87">
            <v>0</v>
          </cell>
          <cell r="CN87">
            <v>0</v>
          </cell>
          <cell r="CO87">
            <v>0</v>
          </cell>
          <cell r="CP87">
            <v>0</v>
          </cell>
          <cell r="CQ87">
            <v>6440778</v>
          </cell>
          <cell r="CR87">
            <v>6079098</v>
          </cell>
          <cell r="CS87">
            <v>5854952</v>
          </cell>
          <cell r="CT87">
            <v>5692840</v>
          </cell>
          <cell r="CU87">
            <v>5491420</v>
          </cell>
          <cell r="CV87">
            <v>18692</v>
          </cell>
          <cell r="CW87">
            <v>0</v>
          </cell>
          <cell r="CX87">
            <v>0</v>
          </cell>
          <cell r="CY87">
            <v>0</v>
          </cell>
          <cell r="CZ87">
            <v>0</v>
          </cell>
          <cell r="DA87">
            <v>0</v>
          </cell>
          <cell r="DC87">
            <v>0</v>
          </cell>
          <cell r="DD87">
            <v>0</v>
          </cell>
          <cell r="DE87">
            <v>0</v>
          </cell>
          <cell r="DF87">
            <v>0</v>
          </cell>
          <cell r="DG87">
            <v>0</v>
          </cell>
          <cell r="DH87">
            <v>0</v>
          </cell>
          <cell r="DI87">
            <v>0</v>
          </cell>
          <cell r="DJ87">
            <v>0</v>
          </cell>
          <cell r="DK87">
            <v>0</v>
          </cell>
          <cell r="DL87">
            <v>0</v>
          </cell>
        </row>
        <row r="88">
          <cell r="A88">
            <v>209</v>
          </cell>
          <cell r="B88" t="str">
            <v>Beuningen</v>
          </cell>
          <cell r="C88">
            <v>5</v>
          </cell>
          <cell r="D88">
            <v>5090</v>
          </cell>
          <cell r="E88">
            <v>2545</v>
          </cell>
          <cell r="F88">
            <v>0</v>
          </cell>
          <cell r="G88">
            <v>0</v>
          </cell>
          <cell r="H88">
            <v>0</v>
          </cell>
          <cell r="I88">
            <v>-3617</v>
          </cell>
          <cell r="K88">
            <v>0</v>
          </cell>
          <cell r="L88">
            <v>91522</v>
          </cell>
          <cell r="M88">
            <v>84516</v>
          </cell>
          <cell r="N88">
            <v>0</v>
          </cell>
          <cell r="O88">
            <v>0</v>
          </cell>
          <cell r="P88">
            <v>0</v>
          </cell>
          <cell r="Q88">
            <v>0</v>
          </cell>
          <cell r="R88">
            <v>0</v>
          </cell>
          <cell r="S88">
            <v>0</v>
          </cell>
          <cell r="T88">
            <v>0</v>
          </cell>
          <cell r="U88">
            <v>0</v>
          </cell>
          <cell r="V88">
            <v>0</v>
          </cell>
          <cell r="W88">
            <v>110795</v>
          </cell>
          <cell r="X88">
            <v>0</v>
          </cell>
          <cell r="Z88">
            <v>0</v>
          </cell>
          <cell r="AA88">
            <v>0</v>
          </cell>
          <cell r="AB88">
            <v>0</v>
          </cell>
          <cell r="AD88">
            <v>20000</v>
          </cell>
          <cell r="AE88">
            <v>0</v>
          </cell>
          <cell r="AF88">
            <v>0</v>
          </cell>
          <cell r="AG88">
            <v>0</v>
          </cell>
          <cell r="AH88">
            <v>0</v>
          </cell>
          <cell r="AI88">
            <v>0</v>
          </cell>
          <cell r="AJ88">
            <v>0</v>
          </cell>
          <cell r="AK88">
            <v>0</v>
          </cell>
          <cell r="AM88">
            <v>0</v>
          </cell>
          <cell r="AN88">
            <v>0</v>
          </cell>
          <cell r="AO88">
            <v>0</v>
          </cell>
          <cell r="AP88">
            <v>0</v>
          </cell>
          <cell r="AQ88">
            <v>0</v>
          </cell>
          <cell r="AR88">
            <v>0</v>
          </cell>
          <cell r="AS88">
            <v>0</v>
          </cell>
          <cell r="AT88">
            <v>0</v>
          </cell>
          <cell r="AU88">
            <v>2370</v>
          </cell>
          <cell r="AV88">
            <v>0</v>
          </cell>
          <cell r="AW88">
            <v>0</v>
          </cell>
          <cell r="AX88">
            <v>0</v>
          </cell>
          <cell r="BA88">
            <v>0</v>
          </cell>
          <cell r="BC88">
            <v>0</v>
          </cell>
          <cell r="BD88">
            <v>8925</v>
          </cell>
          <cell r="BF88">
            <v>0</v>
          </cell>
          <cell r="BG88">
            <v>0</v>
          </cell>
          <cell r="BH88">
            <v>0</v>
          </cell>
          <cell r="BI88">
            <v>29649</v>
          </cell>
          <cell r="BJ88">
            <v>24405</v>
          </cell>
          <cell r="BK88">
            <v>24405</v>
          </cell>
          <cell r="BL88">
            <v>0</v>
          </cell>
          <cell r="BM88">
            <v>0</v>
          </cell>
          <cell r="BN88">
            <v>0</v>
          </cell>
          <cell r="BO88">
            <v>129876</v>
          </cell>
          <cell r="BP88">
            <v>15814</v>
          </cell>
          <cell r="BQ88">
            <v>28488.372093023299</v>
          </cell>
          <cell r="BR88">
            <v>0</v>
          </cell>
          <cell r="BS88">
            <v>0</v>
          </cell>
          <cell r="BT88">
            <v>42717</v>
          </cell>
          <cell r="BY88">
            <v>0</v>
          </cell>
          <cell r="BZ88">
            <v>0</v>
          </cell>
          <cell r="CA88">
            <v>0</v>
          </cell>
          <cell r="CB88">
            <v>0</v>
          </cell>
          <cell r="CC88">
            <v>1695502</v>
          </cell>
          <cell r="CD88">
            <v>10966917</v>
          </cell>
          <cell r="CE88">
            <v>423290</v>
          </cell>
          <cell r="CF88">
            <v>0</v>
          </cell>
          <cell r="CG88">
            <v>423290</v>
          </cell>
          <cell r="CH88">
            <v>423290</v>
          </cell>
          <cell r="CI88">
            <v>423290</v>
          </cell>
          <cell r="CJ88">
            <v>423290</v>
          </cell>
          <cell r="CK88">
            <v>0</v>
          </cell>
          <cell r="CL88">
            <v>0</v>
          </cell>
          <cell r="CM88">
            <v>0</v>
          </cell>
          <cell r="CN88">
            <v>0</v>
          </cell>
          <cell r="CO88">
            <v>0</v>
          </cell>
          <cell r="CP88">
            <v>-1307</v>
          </cell>
          <cell r="CQ88">
            <v>2921972</v>
          </cell>
          <cell r="CR88">
            <v>2759705</v>
          </cell>
          <cell r="CS88">
            <v>2691796</v>
          </cell>
          <cell r="CT88">
            <v>2639177</v>
          </cell>
          <cell r="CU88">
            <v>2608898</v>
          </cell>
          <cell r="CV88">
            <v>31554</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row>
        <row r="89">
          <cell r="A89">
            <v>1876</v>
          </cell>
          <cell r="B89" t="str">
            <v>Bronckhorst</v>
          </cell>
          <cell r="C89">
            <v>5</v>
          </cell>
          <cell r="D89">
            <v>-75761</v>
          </cell>
          <cell r="E89">
            <v>-37880</v>
          </cell>
          <cell r="F89">
            <v>0</v>
          </cell>
          <cell r="G89">
            <v>0</v>
          </cell>
          <cell r="H89">
            <v>-8056</v>
          </cell>
          <cell r="I89">
            <v>0</v>
          </cell>
          <cell r="K89">
            <v>0</v>
          </cell>
          <cell r="L89">
            <v>108633</v>
          </cell>
          <cell r="M89">
            <v>104990</v>
          </cell>
          <cell r="N89">
            <v>0</v>
          </cell>
          <cell r="O89">
            <v>0</v>
          </cell>
          <cell r="P89">
            <v>0</v>
          </cell>
          <cell r="Q89">
            <v>0</v>
          </cell>
          <cell r="R89">
            <v>0</v>
          </cell>
          <cell r="S89">
            <v>0</v>
          </cell>
          <cell r="T89">
            <v>0</v>
          </cell>
          <cell r="U89">
            <v>0</v>
          </cell>
          <cell r="V89">
            <v>3000</v>
          </cell>
          <cell r="W89">
            <v>135768</v>
          </cell>
          <cell r="X89">
            <v>0</v>
          </cell>
          <cell r="Z89">
            <v>0</v>
          </cell>
          <cell r="AA89">
            <v>0</v>
          </cell>
          <cell r="AB89">
            <v>0</v>
          </cell>
          <cell r="AD89">
            <v>0</v>
          </cell>
          <cell r="AE89">
            <v>0</v>
          </cell>
          <cell r="AF89">
            <v>0</v>
          </cell>
          <cell r="AG89">
            <v>0</v>
          </cell>
          <cell r="AH89">
            <v>0</v>
          </cell>
          <cell r="AI89">
            <v>0</v>
          </cell>
          <cell r="AJ89">
            <v>0</v>
          </cell>
          <cell r="AK89">
            <v>0</v>
          </cell>
          <cell r="AM89">
            <v>0</v>
          </cell>
          <cell r="AN89">
            <v>0</v>
          </cell>
          <cell r="AO89">
            <v>0</v>
          </cell>
          <cell r="AP89">
            <v>0</v>
          </cell>
          <cell r="AQ89">
            <v>0</v>
          </cell>
          <cell r="AR89">
            <v>0</v>
          </cell>
          <cell r="AS89">
            <v>0</v>
          </cell>
          <cell r="AT89">
            <v>0</v>
          </cell>
          <cell r="AU89">
            <v>2370</v>
          </cell>
          <cell r="AV89">
            <v>0</v>
          </cell>
          <cell r="AW89">
            <v>0</v>
          </cell>
          <cell r="AX89">
            <v>0</v>
          </cell>
          <cell r="BA89">
            <v>0</v>
          </cell>
          <cell r="BC89">
            <v>0</v>
          </cell>
          <cell r="BD89">
            <v>12781</v>
          </cell>
          <cell r="BF89">
            <v>0</v>
          </cell>
          <cell r="BG89">
            <v>0</v>
          </cell>
          <cell r="BH89">
            <v>0</v>
          </cell>
          <cell r="BI89">
            <v>45755</v>
          </cell>
          <cell r="BJ89">
            <v>37663</v>
          </cell>
          <cell r="BK89">
            <v>37663</v>
          </cell>
          <cell r="BL89">
            <v>0</v>
          </cell>
          <cell r="BM89">
            <v>0</v>
          </cell>
          <cell r="BN89">
            <v>0</v>
          </cell>
          <cell r="BO89">
            <v>128903</v>
          </cell>
          <cell r="BP89">
            <v>6325.6</v>
          </cell>
          <cell r="BQ89">
            <v>11395.3488372093</v>
          </cell>
          <cell r="BR89">
            <v>0</v>
          </cell>
          <cell r="BS89">
            <v>0</v>
          </cell>
          <cell r="BT89">
            <v>67913</v>
          </cell>
          <cell r="BY89">
            <v>0</v>
          </cell>
          <cell r="BZ89">
            <v>0</v>
          </cell>
          <cell r="CA89">
            <v>0</v>
          </cell>
          <cell r="CB89">
            <v>0</v>
          </cell>
          <cell r="CC89">
            <v>3162804</v>
          </cell>
          <cell r="CD89">
            <v>15439958</v>
          </cell>
          <cell r="CE89">
            <v>1441603</v>
          </cell>
          <cell r="CF89">
            <v>0</v>
          </cell>
          <cell r="CG89">
            <v>1441603</v>
          </cell>
          <cell r="CH89">
            <v>1441603</v>
          </cell>
          <cell r="CI89">
            <v>1441603</v>
          </cell>
          <cell r="CJ89">
            <v>1441603</v>
          </cell>
          <cell r="CK89">
            <v>0</v>
          </cell>
          <cell r="CL89">
            <v>0</v>
          </cell>
          <cell r="CM89">
            <v>0</v>
          </cell>
          <cell r="CN89">
            <v>0</v>
          </cell>
          <cell r="CO89">
            <v>0</v>
          </cell>
          <cell r="CP89">
            <v>0</v>
          </cell>
          <cell r="CQ89">
            <v>4001663</v>
          </cell>
          <cell r="CR89">
            <v>3817044</v>
          </cell>
          <cell r="CS89">
            <v>3738460</v>
          </cell>
          <cell r="CT89">
            <v>3631182</v>
          </cell>
          <cell r="CU89">
            <v>3561503</v>
          </cell>
          <cell r="CV89">
            <v>1146</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row>
        <row r="90">
          <cell r="A90">
            <v>213</v>
          </cell>
          <cell r="B90" t="str">
            <v>Brummen</v>
          </cell>
          <cell r="C90">
            <v>5</v>
          </cell>
          <cell r="D90">
            <v>-15147</v>
          </cell>
          <cell r="E90">
            <v>-7573</v>
          </cell>
          <cell r="F90">
            <v>0</v>
          </cell>
          <cell r="G90">
            <v>0</v>
          </cell>
          <cell r="H90">
            <v>0</v>
          </cell>
          <cell r="I90">
            <v>0</v>
          </cell>
          <cell r="K90">
            <v>0</v>
          </cell>
          <cell r="L90">
            <v>69835</v>
          </cell>
          <cell r="M90">
            <v>71493</v>
          </cell>
          <cell r="N90">
            <v>0</v>
          </cell>
          <cell r="O90">
            <v>0</v>
          </cell>
          <cell r="P90">
            <v>0</v>
          </cell>
          <cell r="Q90">
            <v>0</v>
          </cell>
          <cell r="R90">
            <v>0</v>
          </cell>
          <cell r="S90">
            <v>0</v>
          </cell>
          <cell r="T90">
            <v>0</v>
          </cell>
          <cell r="U90">
            <v>0</v>
          </cell>
          <cell r="V90">
            <v>3000</v>
          </cell>
          <cell r="W90">
            <v>75966</v>
          </cell>
          <cell r="X90">
            <v>0</v>
          </cell>
          <cell r="Z90">
            <v>0</v>
          </cell>
          <cell r="AA90">
            <v>0</v>
          </cell>
          <cell r="AB90">
            <v>0</v>
          </cell>
          <cell r="AD90">
            <v>0</v>
          </cell>
          <cell r="AE90">
            <v>0</v>
          </cell>
          <cell r="AF90">
            <v>0</v>
          </cell>
          <cell r="AG90">
            <v>0</v>
          </cell>
          <cell r="AH90">
            <v>0</v>
          </cell>
          <cell r="AI90">
            <v>0</v>
          </cell>
          <cell r="AJ90">
            <v>0</v>
          </cell>
          <cell r="AK90">
            <v>0</v>
          </cell>
          <cell r="AM90">
            <v>0</v>
          </cell>
          <cell r="AN90">
            <v>0</v>
          </cell>
          <cell r="AO90">
            <v>0</v>
          </cell>
          <cell r="AP90">
            <v>0</v>
          </cell>
          <cell r="AQ90">
            <v>0</v>
          </cell>
          <cell r="AR90">
            <v>0</v>
          </cell>
          <cell r="AS90">
            <v>0</v>
          </cell>
          <cell r="AT90">
            <v>0</v>
          </cell>
          <cell r="AU90">
            <v>2370</v>
          </cell>
          <cell r="AV90">
            <v>0</v>
          </cell>
          <cell r="AW90">
            <v>0</v>
          </cell>
          <cell r="AX90">
            <v>0</v>
          </cell>
          <cell r="BA90">
            <v>0</v>
          </cell>
          <cell r="BC90">
            <v>0</v>
          </cell>
          <cell r="BD90">
            <v>7317</v>
          </cell>
          <cell r="BF90">
            <v>0</v>
          </cell>
          <cell r="BG90">
            <v>0</v>
          </cell>
          <cell r="BH90">
            <v>0</v>
          </cell>
          <cell r="BI90">
            <v>26126</v>
          </cell>
          <cell r="BJ90">
            <v>21505</v>
          </cell>
          <cell r="BK90">
            <v>21505</v>
          </cell>
          <cell r="BL90">
            <v>0</v>
          </cell>
          <cell r="BM90">
            <v>0</v>
          </cell>
          <cell r="BN90">
            <v>0</v>
          </cell>
          <cell r="BO90">
            <v>37941</v>
          </cell>
          <cell r="BP90">
            <v>12651.2</v>
          </cell>
          <cell r="BQ90">
            <v>22790.697674418599</v>
          </cell>
          <cell r="BR90">
            <v>0</v>
          </cell>
          <cell r="BS90">
            <v>0</v>
          </cell>
          <cell r="BT90">
            <v>34405</v>
          </cell>
          <cell r="BY90">
            <v>0</v>
          </cell>
          <cell r="BZ90">
            <v>0</v>
          </cell>
          <cell r="CA90">
            <v>0</v>
          </cell>
          <cell r="CB90">
            <v>0</v>
          </cell>
          <cell r="CC90">
            <v>1906973</v>
          </cell>
          <cell r="CD90">
            <v>9520917</v>
          </cell>
          <cell r="CE90">
            <v>548490</v>
          </cell>
          <cell r="CF90">
            <v>0</v>
          </cell>
          <cell r="CG90">
            <v>548490</v>
          </cell>
          <cell r="CH90">
            <v>548490</v>
          </cell>
          <cell r="CI90">
            <v>548490</v>
          </cell>
          <cell r="CJ90">
            <v>548490</v>
          </cell>
          <cell r="CK90">
            <v>0</v>
          </cell>
          <cell r="CL90">
            <v>0</v>
          </cell>
          <cell r="CM90">
            <v>0</v>
          </cell>
          <cell r="CN90">
            <v>0</v>
          </cell>
          <cell r="CO90">
            <v>0</v>
          </cell>
          <cell r="CP90">
            <v>0</v>
          </cell>
          <cell r="CQ90">
            <v>1972821</v>
          </cell>
          <cell r="CR90">
            <v>1890572</v>
          </cell>
          <cell r="CS90">
            <v>1870435</v>
          </cell>
          <cell r="CT90">
            <v>1830004</v>
          </cell>
          <cell r="CU90">
            <v>1803533</v>
          </cell>
          <cell r="CV90">
            <v>43401</v>
          </cell>
          <cell r="CW90">
            <v>0</v>
          </cell>
          <cell r="CX90">
            <v>0</v>
          </cell>
          <cell r="CY90">
            <v>0</v>
          </cell>
          <cell r="CZ90">
            <v>0</v>
          </cell>
          <cell r="DA90">
            <v>0</v>
          </cell>
          <cell r="DC90">
            <v>0</v>
          </cell>
          <cell r="DD90">
            <v>0</v>
          </cell>
          <cell r="DE90">
            <v>0</v>
          </cell>
          <cell r="DF90">
            <v>0</v>
          </cell>
          <cell r="DG90">
            <v>0</v>
          </cell>
          <cell r="DH90">
            <v>0</v>
          </cell>
          <cell r="DI90">
            <v>0</v>
          </cell>
          <cell r="DJ90">
            <v>0</v>
          </cell>
          <cell r="DK90">
            <v>0</v>
          </cell>
          <cell r="DL90">
            <v>0</v>
          </cell>
        </row>
        <row r="91">
          <cell r="A91">
            <v>214</v>
          </cell>
          <cell r="B91" t="str">
            <v>Buren</v>
          </cell>
          <cell r="C91">
            <v>5</v>
          </cell>
          <cell r="D91">
            <v>-22404</v>
          </cell>
          <cell r="E91">
            <v>-11202</v>
          </cell>
          <cell r="F91">
            <v>0</v>
          </cell>
          <cell r="G91">
            <v>0</v>
          </cell>
          <cell r="H91">
            <v>-16341</v>
          </cell>
          <cell r="I91">
            <v>-6405</v>
          </cell>
          <cell r="K91">
            <v>0</v>
          </cell>
          <cell r="L91">
            <v>88100</v>
          </cell>
          <cell r="M91">
            <v>91277</v>
          </cell>
          <cell r="N91">
            <v>0</v>
          </cell>
          <cell r="O91">
            <v>0</v>
          </cell>
          <cell r="P91">
            <v>0</v>
          </cell>
          <cell r="Q91">
            <v>0</v>
          </cell>
          <cell r="R91">
            <v>0</v>
          </cell>
          <cell r="S91">
            <v>0</v>
          </cell>
          <cell r="T91">
            <v>0</v>
          </cell>
          <cell r="U91">
            <v>0</v>
          </cell>
          <cell r="V91">
            <v>4500</v>
          </cell>
          <cell r="W91">
            <v>80208</v>
          </cell>
          <cell r="X91">
            <v>0</v>
          </cell>
          <cell r="Z91">
            <v>0</v>
          </cell>
          <cell r="AA91">
            <v>0</v>
          </cell>
          <cell r="AB91">
            <v>0</v>
          </cell>
          <cell r="AD91">
            <v>0</v>
          </cell>
          <cell r="AE91">
            <v>0</v>
          </cell>
          <cell r="AF91">
            <v>0</v>
          </cell>
          <cell r="AG91">
            <v>0</v>
          </cell>
          <cell r="AH91">
            <v>0</v>
          </cell>
          <cell r="AI91">
            <v>0</v>
          </cell>
          <cell r="AJ91">
            <v>0</v>
          </cell>
          <cell r="AK91">
            <v>0</v>
          </cell>
          <cell r="AM91">
            <v>0</v>
          </cell>
          <cell r="AN91">
            <v>0</v>
          </cell>
          <cell r="AO91">
            <v>0</v>
          </cell>
          <cell r="AP91">
            <v>0</v>
          </cell>
          <cell r="AQ91">
            <v>0</v>
          </cell>
          <cell r="AR91">
            <v>0</v>
          </cell>
          <cell r="AS91">
            <v>0</v>
          </cell>
          <cell r="AT91">
            <v>0</v>
          </cell>
          <cell r="AU91">
            <v>2370</v>
          </cell>
          <cell r="AV91">
            <v>0</v>
          </cell>
          <cell r="AW91">
            <v>0</v>
          </cell>
          <cell r="AX91">
            <v>0</v>
          </cell>
          <cell r="BA91">
            <v>0</v>
          </cell>
          <cell r="BC91">
            <v>0</v>
          </cell>
          <cell r="BD91">
            <v>9249</v>
          </cell>
          <cell r="BF91">
            <v>0</v>
          </cell>
          <cell r="BG91">
            <v>0</v>
          </cell>
          <cell r="BH91">
            <v>0</v>
          </cell>
          <cell r="BI91">
            <v>26758</v>
          </cell>
          <cell r="BJ91">
            <v>22026</v>
          </cell>
          <cell r="BK91">
            <v>22026</v>
          </cell>
          <cell r="BL91">
            <v>0</v>
          </cell>
          <cell r="BM91">
            <v>0</v>
          </cell>
          <cell r="BN91">
            <v>0</v>
          </cell>
          <cell r="BO91">
            <v>158576</v>
          </cell>
          <cell r="BP91">
            <v>11069.8</v>
          </cell>
          <cell r="BQ91">
            <v>19941.8604651163</v>
          </cell>
          <cell r="BR91">
            <v>0</v>
          </cell>
          <cell r="BS91">
            <v>0</v>
          </cell>
          <cell r="BT91">
            <v>54791</v>
          </cell>
          <cell r="BY91">
            <v>0</v>
          </cell>
          <cell r="BZ91">
            <v>0</v>
          </cell>
          <cell r="CA91">
            <v>0</v>
          </cell>
          <cell r="CB91">
            <v>0</v>
          </cell>
          <cell r="CC91">
            <v>1578005</v>
          </cell>
          <cell r="CD91">
            <v>9412003</v>
          </cell>
          <cell r="CE91">
            <v>725954</v>
          </cell>
          <cell r="CF91">
            <v>0</v>
          </cell>
          <cell r="CG91">
            <v>725954</v>
          </cell>
          <cell r="CH91">
            <v>725954</v>
          </cell>
          <cell r="CI91">
            <v>725954</v>
          </cell>
          <cell r="CJ91">
            <v>725954</v>
          </cell>
          <cell r="CK91">
            <v>0</v>
          </cell>
          <cell r="CL91">
            <v>0</v>
          </cell>
          <cell r="CM91">
            <v>0</v>
          </cell>
          <cell r="CN91">
            <v>0</v>
          </cell>
          <cell r="CO91">
            <v>0</v>
          </cell>
          <cell r="CP91">
            <v>-2305</v>
          </cell>
          <cell r="CQ91">
            <v>2135917</v>
          </cell>
          <cell r="CR91">
            <v>2005229</v>
          </cell>
          <cell r="CS91">
            <v>1930770</v>
          </cell>
          <cell r="CT91">
            <v>1885238</v>
          </cell>
          <cell r="CU91">
            <v>1869674</v>
          </cell>
          <cell r="CV91">
            <v>-14478</v>
          </cell>
          <cell r="CW91">
            <v>0</v>
          </cell>
          <cell r="CX91">
            <v>0</v>
          </cell>
          <cell r="CY91">
            <v>0</v>
          </cell>
          <cell r="CZ91">
            <v>0</v>
          </cell>
          <cell r="DA91">
            <v>0</v>
          </cell>
          <cell r="DC91">
            <v>0</v>
          </cell>
          <cell r="DD91">
            <v>0</v>
          </cell>
          <cell r="DE91">
            <v>0</v>
          </cell>
          <cell r="DF91">
            <v>0</v>
          </cell>
          <cell r="DG91">
            <v>0</v>
          </cell>
          <cell r="DH91">
            <v>0</v>
          </cell>
          <cell r="DI91">
            <v>0</v>
          </cell>
          <cell r="DJ91">
            <v>0</v>
          </cell>
          <cell r="DK91">
            <v>0</v>
          </cell>
          <cell r="DL91">
            <v>0</v>
          </cell>
        </row>
        <row r="92">
          <cell r="A92">
            <v>216</v>
          </cell>
          <cell r="B92" t="str">
            <v>Culemborg</v>
          </cell>
          <cell r="C92">
            <v>5</v>
          </cell>
          <cell r="D92">
            <v>75983</v>
          </cell>
          <cell r="E92">
            <v>37992</v>
          </cell>
          <cell r="F92">
            <v>0</v>
          </cell>
          <cell r="G92">
            <v>0</v>
          </cell>
          <cell r="H92">
            <v>-22499</v>
          </cell>
          <cell r="I92">
            <v>-3294</v>
          </cell>
          <cell r="K92">
            <v>0</v>
          </cell>
          <cell r="L92">
            <v>126539</v>
          </cell>
          <cell r="M92">
            <v>124274</v>
          </cell>
          <cell r="N92">
            <v>0</v>
          </cell>
          <cell r="O92">
            <v>0</v>
          </cell>
          <cell r="P92">
            <v>0</v>
          </cell>
          <cell r="Q92">
            <v>0</v>
          </cell>
          <cell r="R92">
            <v>0</v>
          </cell>
          <cell r="S92">
            <v>0</v>
          </cell>
          <cell r="T92">
            <v>0</v>
          </cell>
          <cell r="U92">
            <v>0</v>
          </cell>
          <cell r="V92">
            <v>24000</v>
          </cell>
          <cell r="W92">
            <v>92735</v>
          </cell>
          <cell r="X92">
            <v>0</v>
          </cell>
          <cell r="Z92">
            <v>0</v>
          </cell>
          <cell r="AA92">
            <v>0</v>
          </cell>
          <cell r="AB92">
            <v>0</v>
          </cell>
          <cell r="AD92">
            <v>39112</v>
          </cell>
          <cell r="AE92">
            <v>0</v>
          </cell>
          <cell r="AF92">
            <v>0</v>
          </cell>
          <cell r="AG92">
            <v>0</v>
          </cell>
          <cell r="AH92">
            <v>0</v>
          </cell>
          <cell r="AI92">
            <v>0</v>
          </cell>
          <cell r="AJ92">
            <v>0</v>
          </cell>
          <cell r="AK92">
            <v>0</v>
          </cell>
          <cell r="AM92">
            <v>0</v>
          </cell>
          <cell r="AN92">
            <v>0</v>
          </cell>
          <cell r="AO92">
            <v>0</v>
          </cell>
          <cell r="AP92">
            <v>0</v>
          </cell>
          <cell r="AQ92">
            <v>0</v>
          </cell>
          <cell r="AR92">
            <v>0</v>
          </cell>
          <cell r="AS92">
            <v>0</v>
          </cell>
          <cell r="AT92">
            <v>0</v>
          </cell>
          <cell r="AU92">
            <v>0</v>
          </cell>
          <cell r="AV92">
            <v>0</v>
          </cell>
          <cell r="AW92">
            <v>0</v>
          </cell>
          <cell r="AX92">
            <v>0</v>
          </cell>
          <cell r="BA92">
            <v>0</v>
          </cell>
          <cell r="BC92">
            <v>39440</v>
          </cell>
          <cell r="BD92">
            <v>9781</v>
          </cell>
          <cell r="BF92">
            <v>0</v>
          </cell>
          <cell r="BG92">
            <v>0</v>
          </cell>
          <cell r="BH92">
            <v>0</v>
          </cell>
          <cell r="BI92">
            <v>34903</v>
          </cell>
          <cell r="BJ92">
            <v>28731</v>
          </cell>
          <cell r="BK92">
            <v>28731</v>
          </cell>
          <cell r="BL92">
            <v>0</v>
          </cell>
          <cell r="BM92">
            <v>0</v>
          </cell>
          <cell r="BN92">
            <v>0</v>
          </cell>
          <cell r="BO92">
            <v>68586</v>
          </cell>
          <cell r="BP92">
            <v>4744.2</v>
          </cell>
          <cell r="BQ92">
            <v>8546.5116279069807</v>
          </cell>
          <cell r="BR92">
            <v>63000</v>
          </cell>
          <cell r="BS92">
            <v>0</v>
          </cell>
          <cell r="BT92">
            <v>46343</v>
          </cell>
          <cell r="BY92">
            <v>0</v>
          </cell>
          <cell r="BZ92">
            <v>0</v>
          </cell>
          <cell r="CA92">
            <v>0</v>
          </cell>
          <cell r="CB92">
            <v>0</v>
          </cell>
          <cell r="CC92">
            <v>1895784</v>
          </cell>
          <cell r="CD92">
            <v>12958017</v>
          </cell>
          <cell r="CE92">
            <v>393973</v>
          </cell>
          <cell r="CF92">
            <v>-7973</v>
          </cell>
          <cell r="CG92">
            <v>393973</v>
          </cell>
          <cell r="CH92">
            <v>393973</v>
          </cell>
          <cell r="CI92">
            <v>393973</v>
          </cell>
          <cell r="CJ92">
            <v>393973</v>
          </cell>
          <cell r="CK92">
            <v>0</v>
          </cell>
          <cell r="CL92">
            <v>0</v>
          </cell>
          <cell r="CM92">
            <v>0</v>
          </cell>
          <cell r="CN92">
            <v>0</v>
          </cell>
          <cell r="CO92">
            <v>0</v>
          </cell>
          <cell r="CP92">
            <v>0</v>
          </cell>
          <cell r="CQ92">
            <v>3491516</v>
          </cell>
          <cell r="CR92">
            <v>3342912</v>
          </cell>
          <cell r="CS92">
            <v>3282140</v>
          </cell>
          <cell r="CT92">
            <v>3252051</v>
          </cell>
          <cell r="CU92">
            <v>3199471</v>
          </cell>
          <cell r="CV92">
            <v>29122</v>
          </cell>
          <cell r="CW92">
            <v>0</v>
          </cell>
          <cell r="CX92">
            <v>0</v>
          </cell>
          <cell r="CY92">
            <v>0</v>
          </cell>
          <cell r="CZ92">
            <v>0</v>
          </cell>
          <cell r="DA92">
            <v>80000</v>
          </cell>
          <cell r="DC92">
            <v>0</v>
          </cell>
          <cell r="DD92">
            <v>0</v>
          </cell>
          <cell r="DE92">
            <v>0</v>
          </cell>
          <cell r="DF92">
            <v>0</v>
          </cell>
          <cell r="DG92">
            <v>0</v>
          </cell>
          <cell r="DH92">
            <v>0</v>
          </cell>
          <cell r="DI92">
            <v>0</v>
          </cell>
          <cell r="DJ92">
            <v>0</v>
          </cell>
          <cell r="DK92">
            <v>0</v>
          </cell>
          <cell r="DL92">
            <v>0</v>
          </cell>
        </row>
        <row r="93">
          <cell r="A93">
            <v>221</v>
          </cell>
          <cell r="B93" t="str">
            <v>Doesburg</v>
          </cell>
          <cell r="C93">
            <v>5</v>
          </cell>
          <cell r="D93">
            <v>12666</v>
          </cell>
          <cell r="E93">
            <v>6333</v>
          </cell>
          <cell r="F93">
            <v>0</v>
          </cell>
          <cell r="G93">
            <v>0</v>
          </cell>
          <cell r="H93">
            <v>-2967</v>
          </cell>
          <cell r="I93">
            <v>0</v>
          </cell>
          <cell r="K93">
            <v>0</v>
          </cell>
          <cell r="L93">
            <v>73954</v>
          </cell>
          <cell r="M93">
            <v>77993</v>
          </cell>
          <cell r="N93">
            <v>0</v>
          </cell>
          <cell r="O93">
            <v>0</v>
          </cell>
          <cell r="P93">
            <v>0</v>
          </cell>
          <cell r="Q93">
            <v>0</v>
          </cell>
          <cell r="R93">
            <v>0</v>
          </cell>
          <cell r="S93">
            <v>0</v>
          </cell>
          <cell r="T93">
            <v>0</v>
          </cell>
          <cell r="U93">
            <v>0</v>
          </cell>
          <cell r="V93">
            <v>0</v>
          </cell>
          <cell r="W93">
            <v>35558</v>
          </cell>
          <cell r="X93">
            <v>0</v>
          </cell>
          <cell r="Z93">
            <v>0</v>
          </cell>
          <cell r="AA93">
            <v>0</v>
          </cell>
          <cell r="AB93">
            <v>0</v>
          </cell>
          <cell r="AD93">
            <v>34223</v>
          </cell>
          <cell r="AE93">
            <v>0</v>
          </cell>
          <cell r="AF93">
            <v>0</v>
          </cell>
          <cell r="AG93">
            <v>0</v>
          </cell>
          <cell r="AH93">
            <v>0</v>
          </cell>
          <cell r="AI93">
            <v>0</v>
          </cell>
          <cell r="AJ93">
            <v>0</v>
          </cell>
          <cell r="AK93">
            <v>0</v>
          </cell>
          <cell r="AM93">
            <v>0</v>
          </cell>
          <cell r="AN93">
            <v>0</v>
          </cell>
          <cell r="AO93">
            <v>0</v>
          </cell>
          <cell r="AP93">
            <v>0</v>
          </cell>
          <cell r="AQ93">
            <v>0</v>
          </cell>
          <cell r="AR93">
            <v>0</v>
          </cell>
          <cell r="AS93">
            <v>0</v>
          </cell>
          <cell r="AT93">
            <v>0</v>
          </cell>
          <cell r="AU93">
            <v>0</v>
          </cell>
          <cell r="AV93">
            <v>0</v>
          </cell>
          <cell r="AW93">
            <v>0</v>
          </cell>
          <cell r="AX93">
            <v>0</v>
          </cell>
          <cell r="BA93">
            <v>0</v>
          </cell>
          <cell r="BC93">
            <v>0</v>
          </cell>
          <cell r="BD93">
            <v>3981</v>
          </cell>
          <cell r="BF93">
            <v>0</v>
          </cell>
          <cell r="BG93">
            <v>0</v>
          </cell>
          <cell r="BH93">
            <v>0</v>
          </cell>
          <cell r="BI93">
            <v>23887</v>
          </cell>
          <cell r="BJ93">
            <v>19662</v>
          </cell>
          <cell r="BK93">
            <v>19662</v>
          </cell>
          <cell r="BL93">
            <v>0</v>
          </cell>
          <cell r="BM93">
            <v>0</v>
          </cell>
          <cell r="BN93">
            <v>0</v>
          </cell>
          <cell r="BO93">
            <v>20430</v>
          </cell>
          <cell r="BP93">
            <v>0</v>
          </cell>
          <cell r="BQ93">
            <v>0</v>
          </cell>
          <cell r="BR93">
            <v>0</v>
          </cell>
          <cell r="BS93">
            <v>0</v>
          </cell>
          <cell r="BT93">
            <v>19770</v>
          </cell>
          <cell r="BY93">
            <v>0</v>
          </cell>
          <cell r="BZ93">
            <v>0</v>
          </cell>
          <cell r="CA93">
            <v>0</v>
          </cell>
          <cell r="CB93">
            <v>0</v>
          </cell>
          <cell r="CC93">
            <v>1158498</v>
          </cell>
          <cell r="CD93">
            <v>7442844</v>
          </cell>
          <cell r="CE93">
            <v>200292</v>
          </cell>
          <cell r="CF93">
            <v>0</v>
          </cell>
          <cell r="CG93">
            <v>200292</v>
          </cell>
          <cell r="CH93">
            <v>200292</v>
          </cell>
          <cell r="CI93">
            <v>200292</v>
          </cell>
          <cell r="CJ93">
            <v>200292</v>
          </cell>
          <cell r="CK93">
            <v>0</v>
          </cell>
          <cell r="CL93">
            <v>0</v>
          </cell>
          <cell r="CM93">
            <v>0</v>
          </cell>
          <cell r="CN93">
            <v>0</v>
          </cell>
          <cell r="CO93">
            <v>0</v>
          </cell>
          <cell r="CP93">
            <v>0</v>
          </cell>
          <cell r="CQ93">
            <v>1660401</v>
          </cell>
          <cell r="CR93">
            <v>1506439</v>
          </cell>
          <cell r="CS93">
            <v>1441086</v>
          </cell>
          <cell r="CT93">
            <v>1396568</v>
          </cell>
          <cell r="CU93">
            <v>1354164</v>
          </cell>
          <cell r="CV93">
            <v>40206</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row>
        <row r="94">
          <cell r="A94">
            <v>222</v>
          </cell>
          <cell r="B94" t="str">
            <v>Doetinchem</v>
          </cell>
          <cell r="C94">
            <v>5</v>
          </cell>
          <cell r="D94">
            <v>-19349</v>
          </cell>
          <cell r="E94">
            <v>-9674</v>
          </cell>
          <cell r="F94">
            <v>0</v>
          </cell>
          <cell r="G94">
            <v>0</v>
          </cell>
          <cell r="H94">
            <v>-15440</v>
          </cell>
          <cell r="I94">
            <v>0</v>
          </cell>
          <cell r="K94">
            <v>7500</v>
          </cell>
          <cell r="L94">
            <v>247309</v>
          </cell>
          <cell r="M94">
            <v>248406</v>
          </cell>
          <cell r="N94">
            <v>0</v>
          </cell>
          <cell r="O94">
            <v>0</v>
          </cell>
          <cell r="P94">
            <v>0</v>
          </cell>
          <cell r="Q94">
            <v>0</v>
          </cell>
          <cell r="R94">
            <v>1012240</v>
          </cell>
          <cell r="S94">
            <v>0</v>
          </cell>
          <cell r="T94">
            <v>0</v>
          </cell>
          <cell r="U94">
            <v>0</v>
          </cell>
          <cell r="V94">
            <v>3000</v>
          </cell>
          <cell r="W94">
            <v>226062</v>
          </cell>
          <cell r="X94">
            <v>0</v>
          </cell>
          <cell r="Z94">
            <v>0</v>
          </cell>
          <cell r="AA94">
            <v>0</v>
          </cell>
          <cell r="AB94">
            <v>0</v>
          </cell>
          <cell r="AD94">
            <v>68446</v>
          </cell>
          <cell r="AE94">
            <v>0</v>
          </cell>
          <cell r="AF94">
            <v>0</v>
          </cell>
          <cell r="AG94">
            <v>0</v>
          </cell>
          <cell r="AH94">
            <v>0</v>
          </cell>
          <cell r="AI94">
            <v>0</v>
          </cell>
          <cell r="AJ94">
            <v>0</v>
          </cell>
          <cell r="AK94">
            <v>0</v>
          </cell>
          <cell r="AM94">
            <v>0</v>
          </cell>
          <cell r="AN94">
            <v>0</v>
          </cell>
          <cell r="AO94">
            <v>0</v>
          </cell>
          <cell r="AP94">
            <v>0</v>
          </cell>
          <cell r="AQ94">
            <v>0</v>
          </cell>
          <cell r="AR94">
            <v>0</v>
          </cell>
          <cell r="AS94">
            <v>0</v>
          </cell>
          <cell r="AT94">
            <v>0</v>
          </cell>
          <cell r="AU94">
            <v>4740</v>
          </cell>
          <cell r="AV94">
            <v>3846776.7189462199</v>
          </cell>
          <cell r="AW94">
            <v>63000</v>
          </cell>
          <cell r="AX94">
            <v>0</v>
          </cell>
          <cell r="BA94">
            <v>0</v>
          </cell>
          <cell r="BC94">
            <v>0</v>
          </cell>
          <cell r="BD94">
            <v>20033</v>
          </cell>
          <cell r="BF94">
            <v>0</v>
          </cell>
          <cell r="BG94">
            <v>0</v>
          </cell>
          <cell r="BH94">
            <v>0</v>
          </cell>
          <cell r="BI94">
            <v>96881</v>
          </cell>
          <cell r="BJ94">
            <v>79747</v>
          </cell>
          <cell r="BK94">
            <v>79747</v>
          </cell>
          <cell r="BL94">
            <v>0</v>
          </cell>
          <cell r="BM94">
            <v>0</v>
          </cell>
          <cell r="BN94">
            <v>0</v>
          </cell>
          <cell r="BO94">
            <v>143983</v>
          </cell>
          <cell r="BP94">
            <v>17395.400000000001</v>
          </cell>
          <cell r="BQ94">
            <v>31337.209302325598</v>
          </cell>
          <cell r="BR94">
            <v>0</v>
          </cell>
          <cell r="BS94">
            <v>0</v>
          </cell>
          <cell r="BT94">
            <v>92387</v>
          </cell>
          <cell r="BY94">
            <v>0</v>
          </cell>
          <cell r="BZ94">
            <v>0</v>
          </cell>
          <cell r="CA94">
            <v>0</v>
          </cell>
          <cell r="CB94">
            <v>0</v>
          </cell>
          <cell r="CC94">
            <v>5176566</v>
          </cell>
          <cell r="CD94">
            <v>64928718</v>
          </cell>
          <cell r="CE94">
            <v>2369307</v>
          </cell>
          <cell r="CF94">
            <v>0</v>
          </cell>
          <cell r="CG94">
            <v>2369307</v>
          </cell>
          <cell r="CH94">
            <v>2369307</v>
          </cell>
          <cell r="CI94">
            <v>2369307</v>
          </cell>
          <cell r="CJ94">
            <v>2369307</v>
          </cell>
          <cell r="CK94">
            <v>32177189</v>
          </cell>
          <cell r="CL94">
            <v>32161039</v>
          </cell>
          <cell r="CM94">
            <v>32160778</v>
          </cell>
          <cell r="CN94">
            <v>32160203</v>
          </cell>
          <cell r="CO94">
            <v>32160999</v>
          </cell>
          <cell r="CP94">
            <v>0</v>
          </cell>
          <cell r="CQ94">
            <v>8740910</v>
          </cell>
          <cell r="CR94">
            <v>8350539</v>
          </cell>
          <cell r="CS94">
            <v>8112137</v>
          </cell>
          <cell r="CT94">
            <v>7915026</v>
          </cell>
          <cell r="CU94">
            <v>7694094</v>
          </cell>
          <cell r="CV94">
            <v>-28105</v>
          </cell>
          <cell r="CW94">
            <v>0</v>
          </cell>
          <cell r="CX94">
            <v>0</v>
          </cell>
          <cell r="CY94">
            <v>0</v>
          </cell>
          <cell r="CZ94">
            <v>0</v>
          </cell>
          <cell r="DA94">
            <v>0</v>
          </cell>
          <cell r="DC94">
            <v>0</v>
          </cell>
          <cell r="DD94">
            <v>0</v>
          </cell>
          <cell r="DE94">
            <v>0</v>
          </cell>
          <cell r="DF94">
            <v>0</v>
          </cell>
          <cell r="DG94">
            <v>0</v>
          </cell>
          <cell r="DH94">
            <v>0</v>
          </cell>
          <cell r="DI94">
            <v>0</v>
          </cell>
          <cell r="DJ94">
            <v>0</v>
          </cell>
          <cell r="DK94">
            <v>0</v>
          </cell>
          <cell r="DL94">
            <v>0</v>
          </cell>
        </row>
        <row r="95">
          <cell r="A95">
            <v>225</v>
          </cell>
          <cell r="B95" t="str">
            <v>Druten</v>
          </cell>
          <cell r="C95">
            <v>5</v>
          </cell>
          <cell r="D95">
            <v>24245</v>
          </cell>
          <cell r="E95">
            <v>12123</v>
          </cell>
          <cell r="F95">
            <v>0</v>
          </cell>
          <cell r="G95">
            <v>0</v>
          </cell>
          <cell r="H95">
            <v>-26365</v>
          </cell>
          <cell r="I95">
            <v>-19031</v>
          </cell>
          <cell r="K95">
            <v>0</v>
          </cell>
          <cell r="L95">
            <v>73337</v>
          </cell>
          <cell r="M95">
            <v>67851</v>
          </cell>
          <cell r="N95">
            <v>0</v>
          </cell>
          <cell r="O95">
            <v>0</v>
          </cell>
          <cell r="P95">
            <v>0</v>
          </cell>
          <cell r="Q95">
            <v>0</v>
          </cell>
          <cell r="R95">
            <v>0</v>
          </cell>
          <cell r="S95">
            <v>0</v>
          </cell>
          <cell r="T95">
            <v>0</v>
          </cell>
          <cell r="U95">
            <v>0</v>
          </cell>
          <cell r="V95">
            <v>3000</v>
          </cell>
          <cell r="W95">
            <v>78723</v>
          </cell>
          <cell r="X95">
            <v>0</v>
          </cell>
          <cell r="Z95">
            <v>0</v>
          </cell>
          <cell r="AA95">
            <v>0</v>
          </cell>
          <cell r="AB95">
            <v>0</v>
          </cell>
          <cell r="AD95">
            <v>0</v>
          </cell>
          <cell r="AE95">
            <v>0</v>
          </cell>
          <cell r="AF95">
            <v>0</v>
          </cell>
          <cell r="AG95">
            <v>0</v>
          </cell>
          <cell r="AH95">
            <v>0</v>
          </cell>
          <cell r="AI95">
            <v>0</v>
          </cell>
          <cell r="AJ95">
            <v>0</v>
          </cell>
          <cell r="AK95">
            <v>0</v>
          </cell>
          <cell r="AM95">
            <v>0</v>
          </cell>
          <cell r="AN95">
            <v>0</v>
          </cell>
          <cell r="AO95">
            <v>0</v>
          </cell>
          <cell r="AP95">
            <v>0</v>
          </cell>
          <cell r="AQ95">
            <v>0</v>
          </cell>
          <cell r="AR95">
            <v>0</v>
          </cell>
          <cell r="AS95">
            <v>0</v>
          </cell>
          <cell r="AT95">
            <v>0</v>
          </cell>
          <cell r="AU95">
            <v>0</v>
          </cell>
          <cell r="AV95">
            <v>0</v>
          </cell>
          <cell r="AW95">
            <v>0</v>
          </cell>
          <cell r="AX95">
            <v>0</v>
          </cell>
          <cell r="BA95">
            <v>0</v>
          </cell>
          <cell r="BC95">
            <v>0</v>
          </cell>
          <cell r="BD95">
            <v>6516</v>
          </cell>
          <cell r="BF95">
            <v>0</v>
          </cell>
          <cell r="BG95">
            <v>0</v>
          </cell>
          <cell r="BH95">
            <v>0</v>
          </cell>
          <cell r="BI95">
            <v>24633</v>
          </cell>
          <cell r="BJ95">
            <v>20276</v>
          </cell>
          <cell r="BK95">
            <v>20276</v>
          </cell>
          <cell r="BL95">
            <v>0</v>
          </cell>
          <cell r="BM95">
            <v>0</v>
          </cell>
          <cell r="BN95">
            <v>0</v>
          </cell>
          <cell r="BO95">
            <v>152738</v>
          </cell>
          <cell r="BP95">
            <v>11069.8</v>
          </cell>
          <cell r="BQ95">
            <v>19941.8604651163</v>
          </cell>
          <cell r="BR95">
            <v>0</v>
          </cell>
          <cell r="BS95">
            <v>0</v>
          </cell>
          <cell r="BT95">
            <v>31459</v>
          </cell>
          <cell r="BY95">
            <v>0</v>
          </cell>
          <cell r="BZ95">
            <v>0</v>
          </cell>
          <cell r="CA95">
            <v>0</v>
          </cell>
          <cell r="CB95">
            <v>0</v>
          </cell>
          <cell r="CC95">
            <v>1472507</v>
          </cell>
          <cell r="CD95">
            <v>9311036</v>
          </cell>
          <cell r="CE95">
            <v>354866</v>
          </cell>
          <cell r="CF95">
            <v>-24208</v>
          </cell>
          <cell r="CG95">
            <v>354866</v>
          </cell>
          <cell r="CH95">
            <v>354866</v>
          </cell>
          <cell r="CI95">
            <v>354866</v>
          </cell>
          <cell r="CJ95">
            <v>354866</v>
          </cell>
          <cell r="CK95">
            <v>0</v>
          </cell>
          <cell r="CL95">
            <v>0</v>
          </cell>
          <cell r="CM95">
            <v>0</v>
          </cell>
          <cell r="CN95">
            <v>0</v>
          </cell>
          <cell r="CO95">
            <v>0</v>
          </cell>
          <cell r="CP95">
            <v>-3227</v>
          </cell>
          <cell r="CQ95">
            <v>2257909</v>
          </cell>
          <cell r="CR95">
            <v>2114704</v>
          </cell>
          <cell r="CS95">
            <v>2065738</v>
          </cell>
          <cell r="CT95">
            <v>2021576</v>
          </cell>
          <cell r="CU95">
            <v>1973231</v>
          </cell>
          <cell r="CV95">
            <v>-7285</v>
          </cell>
          <cell r="CW95">
            <v>0</v>
          </cell>
          <cell r="CX95">
            <v>0</v>
          </cell>
          <cell r="CY95">
            <v>0</v>
          </cell>
          <cell r="CZ95">
            <v>0</v>
          </cell>
          <cell r="DA95">
            <v>0</v>
          </cell>
          <cell r="DC95">
            <v>0</v>
          </cell>
          <cell r="DD95">
            <v>0</v>
          </cell>
          <cell r="DE95">
            <v>0</v>
          </cell>
          <cell r="DF95">
            <v>0</v>
          </cell>
          <cell r="DG95">
            <v>0</v>
          </cell>
          <cell r="DH95">
            <v>0</v>
          </cell>
          <cell r="DI95">
            <v>0</v>
          </cell>
          <cell r="DJ95">
            <v>0</v>
          </cell>
          <cell r="DK95">
            <v>0</v>
          </cell>
          <cell r="DL95">
            <v>0</v>
          </cell>
        </row>
        <row r="96">
          <cell r="A96">
            <v>226</v>
          </cell>
          <cell r="B96" t="str">
            <v>Duiven</v>
          </cell>
          <cell r="C96">
            <v>5</v>
          </cell>
          <cell r="D96">
            <v>-10226</v>
          </cell>
          <cell r="E96">
            <v>-5113</v>
          </cell>
          <cell r="F96">
            <v>0</v>
          </cell>
          <cell r="G96">
            <v>0</v>
          </cell>
          <cell r="H96">
            <v>0</v>
          </cell>
          <cell r="I96">
            <v>-6788</v>
          </cell>
          <cell r="K96">
            <v>0</v>
          </cell>
          <cell r="L96">
            <v>98486</v>
          </cell>
          <cell r="M96">
            <v>95586</v>
          </cell>
          <cell r="N96">
            <v>0</v>
          </cell>
          <cell r="O96">
            <v>0</v>
          </cell>
          <cell r="P96">
            <v>0</v>
          </cell>
          <cell r="Q96">
            <v>0</v>
          </cell>
          <cell r="R96">
            <v>0</v>
          </cell>
          <cell r="S96">
            <v>0</v>
          </cell>
          <cell r="T96">
            <v>0</v>
          </cell>
          <cell r="U96">
            <v>0</v>
          </cell>
          <cell r="V96">
            <v>0</v>
          </cell>
          <cell r="W96">
            <v>72531</v>
          </cell>
          <cell r="X96">
            <v>0</v>
          </cell>
          <cell r="Z96">
            <v>0</v>
          </cell>
          <cell r="AA96">
            <v>0</v>
          </cell>
          <cell r="AB96">
            <v>0</v>
          </cell>
          <cell r="AD96">
            <v>0</v>
          </cell>
          <cell r="AE96">
            <v>0</v>
          </cell>
          <cell r="AF96">
            <v>0</v>
          </cell>
          <cell r="AG96">
            <v>0</v>
          </cell>
          <cell r="AH96">
            <v>0</v>
          </cell>
          <cell r="AI96">
            <v>0</v>
          </cell>
          <cell r="AJ96">
            <v>0</v>
          </cell>
          <cell r="AK96">
            <v>0</v>
          </cell>
          <cell r="AM96">
            <v>0</v>
          </cell>
          <cell r="AN96">
            <v>0</v>
          </cell>
          <cell r="AO96">
            <v>0</v>
          </cell>
          <cell r="AP96">
            <v>0</v>
          </cell>
          <cell r="AQ96">
            <v>0</v>
          </cell>
          <cell r="AR96">
            <v>0</v>
          </cell>
          <cell r="AS96">
            <v>0</v>
          </cell>
          <cell r="AT96">
            <v>0</v>
          </cell>
          <cell r="AU96">
            <v>2370</v>
          </cell>
          <cell r="AV96">
            <v>0</v>
          </cell>
          <cell r="AW96">
            <v>0</v>
          </cell>
          <cell r="AX96">
            <v>0</v>
          </cell>
          <cell r="BA96">
            <v>0</v>
          </cell>
          <cell r="BC96">
            <v>0</v>
          </cell>
          <cell r="BD96">
            <v>8916</v>
          </cell>
          <cell r="BF96">
            <v>0</v>
          </cell>
          <cell r="BG96">
            <v>0</v>
          </cell>
          <cell r="BH96">
            <v>0</v>
          </cell>
          <cell r="BI96">
            <v>30083</v>
          </cell>
          <cell r="BJ96">
            <v>24763</v>
          </cell>
          <cell r="BK96">
            <v>24763</v>
          </cell>
          <cell r="BL96">
            <v>0</v>
          </cell>
          <cell r="BM96">
            <v>0</v>
          </cell>
          <cell r="BN96">
            <v>0</v>
          </cell>
          <cell r="BO96">
            <v>63236</v>
          </cell>
          <cell r="BP96">
            <v>6325.6</v>
          </cell>
          <cell r="BQ96">
            <v>11395.3488372093</v>
          </cell>
          <cell r="BR96">
            <v>0</v>
          </cell>
          <cell r="BS96">
            <v>0</v>
          </cell>
          <cell r="BT96">
            <v>44503</v>
          </cell>
          <cell r="BY96">
            <v>0</v>
          </cell>
          <cell r="BZ96">
            <v>0</v>
          </cell>
          <cell r="CA96">
            <v>0</v>
          </cell>
          <cell r="CB96">
            <v>0</v>
          </cell>
          <cell r="CC96">
            <v>1782455</v>
          </cell>
          <cell r="CD96">
            <v>10826403</v>
          </cell>
          <cell r="CE96">
            <v>429827</v>
          </cell>
          <cell r="CF96">
            <v>0</v>
          </cell>
          <cell r="CG96">
            <v>429827</v>
          </cell>
          <cell r="CH96">
            <v>429827</v>
          </cell>
          <cell r="CI96">
            <v>429827</v>
          </cell>
          <cell r="CJ96">
            <v>429827</v>
          </cell>
          <cell r="CK96">
            <v>0</v>
          </cell>
          <cell r="CL96">
            <v>0</v>
          </cell>
          <cell r="CM96">
            <v>0</v>
          </cell>
          <cell r="CN96">
            <v>0</v>
          </cell>
          <cell r="CO96">
            <v>0</v>
          </cell>
          <cell r="CP96">
            <v>-2458</v>
          </cell>
          <cell r="CQ96">
            <v>1913392</v>
          </cell>
          <cell r="CR96">
            <v>1855875</v>
          </cell>
          <cell r="CS96">
            <v>1794151</v>
          </cell>
          <cell r="CT96">
            <v>1738140</v>
          </cell>
          <cell r="CU96">
            <v>1669932</v>
          </cell>
          <cell r="CV96">
            <v>69381</v>
          </cell>
          <cell r="CW96">
            <v>0</v>
          </cell>
          <cell r="CX96">
            <v>0</v>
          </cell>
          <cell r="CY96">
            <v>0</v>
          </cell>
          <cell r="CZ96">
            <v>0</v>
          </cell>
          <cell r="DA96">
            <v>0</v>
          </cell>
          <cell r="DC96">
            <v>0</v>
          </cell>
          <cell r="DD96">
            <v>0</v>
          </cell>
          <cell r="DE96">
            <v>0</v>
          </cell>
          <cell r="DF96">
            <v>0</v>
          </cell>
          <cell r="DG96">
            <v>0</v>
          </cell>
          <cell r="DH96">
            <v>0</v>
          </cell>
          <cell r="DI96">
            <v>0</v>
          </cell>
          <cell r="DJ96">
            <v>0</v>
          </cell>
          <cell r="DK96">
            <v>0</v>
          </cell>
          <cell r="DL96">
            <v>0</v>
          </cell>
        </row>
        <row r="97">
          <cell r="A97">
            <v>228</v>
          </cell>
          <cell r="B97" t="str">
            <v>Ede</v>
          </cell>
          <cell r="C97">
            <v>5</v>
          </cell>
          <cell r="D97">
            <v>195036</v>
          </cell>
          <cell r="E97">
            <v>97518</v>
          </cell>
          <cell r="F97">
            <v>0</v>
          </cell>
          <cell r="G97">
            <v>999978</v>
          </cell>
          <cell r="H97">
            <v>-10723</v>
          </cell>
          <cell r="I97">
            <v>0</v>
          </cell>
          <cell r="K97">
            <v>0</v>
          </cell>
          <cell r="L97">
            <v>478641</v>
          </cell>
          <cell r="M97">
            <v>439674</v>
          </cell>
          <cell r="N97">
            <v>0</v>
          </cell>
          <cell r="O97">
            <v>0</v>
          </cell>
          <cell r="P97">
            <v>150000</v>
          </cell>
          <cell r="Q97">
            <v>0</v>
          </cell>
          <cell r="R97">
            <v>0</v>
          </cell>
          <cell r="S97">
            <v>0</v>
          </cell>
          <cell r="T97">
            <v>0</v>
          </cell>
          <cell r="U97">
            <v>0</v>
          </cell>
          <cell r="V97">
            <v>18000</v>
          </cell>
          <cell r="W97">
            <v>474088</v>
          </cell>
          <cell r="X97">
            <v>0</v>
          </cell>
          <cell r="Z97">
            <v>0</v>
          </cell>
          <cell r="AA97">
            <v>0</v>
          </cell>
          <cell r="AB97">
            <v>0</v>
          </cell>
          <cell r="AD97">
            <v>116358</v>
          </cell>
          <cell r="AE97">
            <v>0</v>
          </cell>
          <cell r="AF97">
            <v>0</v>
          </cell>
          <cell r="AG97">
            <v>0</v>
          </cell>
          <cell r="AH97">
            <v>0</v>
          </cell>
          <cell r="AI97">
            <v>0</v>
          </cell>
          <cell r="AJ97">
            <v>0</v>
          </cell>
          <cell r="AK97">
            <v>58600</v>
          </cell>
          <cell r="AM97">
            <v>0</v>
          </cell>
          <cell r="AN97">
            <v>0</v>
          </cell>
          <cell r="AO97">
            <v>0</v>
          </cell>
          <cell r="AP97">
            <v>0</v>
          </cell>
          <cell r="AQ97">
            <v>0</v>
          </cell>
          <cell r="AR97">
            <v>0</v>
          </cell>
          <cell r="AS97">
            <v>0</v>
          </cell>
          <cell r="AT97">
            <v>0</v>
          </cell>
          <cell r="AU97">
            <v>18960</v>
          </cell>
          <cell r="AV97">
            <v>2282247.0085415202</v>
          </cell>
          <cell r="AW97">
            <v>117852</v>
          </cell>
          <cell r="AX97">
            <v>0</v>
          </cell>
          <cell r="BA97">
            <v>0</v>
          </cell>
          <cell r="BC97">
            <v>0</v>
          </cell>
          <cell r="BD97">
            <v>39815</v>
          </cell>
          <cell r="BF97">
            <v>0</v>
          </cell>
          <cell r="BG97">
            <v>0</v>
          </cell>
          <cell r="BH97">
            <v>0</v>
          </cell>
          <cell r="BI97">
            <v>135324</v>
          </cell>
          <cell r="BJ97">
            <v>111392</v>
          </cell>
          <cell r="BK97">
            <v>111392</v>
          </cell>
          <cell r="BL97">
            <v>0</v>
          </cell>
          <cell r="BM97">
            <v>0</v>
          </cell>
          <cell r="BN97">
            <v>0</v>
          </cell>
          <cell r="BO97">
            <v>314719</v>
          </cell>
          <cell r="BP97">
            <v>45860.6</v>
          </cell>
          <cell r="BQ97">
            <v>82616.279069767406</v>
          </cell>
          <cell r="BR97">
            <v>0</v>
          </cell>
          <cell r="BS97">
            <v>0</v>
          </cell>
          <cell r="BT97">
            <v>200532</v>
          </cell>
          <cell r="BY97">
            <v>1375795.6280091901</v>
          </cell>
          <cell r="BZ97">
            <v>1594824.7405703799</v>
          </cell>
          <cell r="CA97">
            <v>1613535.7702866599</v>
          </cell>
          <cell r="CB97">
            <v>1666366.91301498</v>
          </cell>
          <cell r="CC97">
            <v>7827019</v>
          </cell>
          <cell r="CD97">
            <v>71427110</v>
          </cell>
          <cell r="CE97">
            <v>7002124</v>
          </cell>
          <cell r="CF97">
            <v>0</v>
          </cell>
          <cell r="CG97">
            <v>7002124</v>
          </cell>
          <cell r="CH97">
            <v>7002124</v>
          </cell>
          <cell r="CI97">
            <v>7002124</v>
          </cell>
          <cell r="CJ97">
            <v>7002124</v>
          </cell>
          <cell r="CK97">
            <v>21264386</v>
          </cell>
          <cell r="CL97">
            <v>21253924</v>
          </cell>
          <cell r="CM97">
            <v>21253754</v>
          </cell>
          <cell r="CN97">
            <v>21253382</v>
          </cell>
          <cell r="CO97">
            <v>21253898</v>
          </cell>
          <cell r="CP97">
            <v>0</v>
          </cell>
          <cell r="CQ97">
            <v>9317607</v>
          </cell>
          <cell r="CR97">
            <v>8875663</v>
          </cell>
          <cell r="CS97">
            <v>8633055</v>
          </cell>
          <cell r="CT97">
            <v>8480691</v>
          </cell>
          <cell r="CU97">
            <v>8214019</v>
          </cell>
          <cell r="CV97">
            <v>72812</v>
          </cell>
          <cell r="CW97">
            <v>0</v>
          </cell>
          <cell r="CX97">
            <v>0</v>
          </cell>
          <cell r="CY97">
            <v>0</v>
          </cell>
          <cell r="CZ97">
            <v>0</v>
          </cell>
          <cell r="DA97">
            <v>0</v>
          </cell>
          <cell r="DC97">
            <v>0</v>
          </cell>
          <cell r="DD97">
            <v>0</v>
          </cell>
          <cell r="DE97">
            <v>0</v>
          </cell>
          <cell r="DF97">
            <v>0</v>
          </cell>
          <cell r="DG97">
            <v>0</v>
          </cell>
          <cell r="DH97">
            <v>0</v>
          </cell>
          <cell r="DI97">
            <v>0</v>
          </cell>
          <cell r="DJ97">
            <v>0</v>
          </cell>
          <cell r="DK97">
            <v>0</v>
          </cell>
          <cell r="DL97">
            <v>0</v>
          </cell>
        </row>
        <row r="98">
          <cell r="A98">
            <v>230</v>
          </cell>
          <cell r="B98" t="str">
            <v>Elburg</v>
          </cell>
          <cell r="C98">
            <v>5</v>
          </cell>
          <cell r="D98">
            <v>-30844</v>
          </cell>
          <cell r="E98">
            <v>-15422</v>
          </cell>
          <cell r="F98">
            <v>0</v>
          </cell>
          <cell r="G98">
            <v>0</v>
          </cell>
          <cell r="H98">
            <v>-7115</v>
          </cell>
          <cell r="I98">
            <v>-2730</v>
          </cell>
          <cell r="K98">
            <v>0</v>
          </cell>
          <cell r="L98">
            <v>80142</v>
          </cell>
          <cell r="M98">
            <v>68137</v>
          </cell>
          <cell r="N98">
            <v>0</v>
          </cell>
          <cell r="O98">
            <v>0</v>
          </cell>
          <cell r="P98">
            <v>0</v>
          </cell>
          <cell r="Q98">
            <v>0</v>
          </cell>
          <cell r="R98">
            <v>0</v>
          </cell>
          <cell r="S98">
            <v>0</v>
          </cell>
          <cell r="T98">
            <v>0</v>
          </cell>
          <cell r="U98">
            <v>0</v>
          </cell>
          <cell r="V98">
            <v>0</v>
          </cell>
          <cell r="W98">
            <v>99910</v>
          </cell>
          <cell r="X98">
            <v>0</v>
          </cell>
          <cell r="Z98">
            <v>0</v>
          </cell>
          <cell r="AA98">
            <v>0</v>
          </cell>
          <cell r="AB98">
            <v>0</v>
          </cell>
          <cell r="AD98">
            <v>0</v>
          </cell>
          <cell r="AE98">
            <v>0</v>
          </cell>
          <cell r="AF98">
            <v>0</v>
          </cell>
          <cell r="AG98">
            <v>0</v>
          </cell>
          <cell r="AH98">
            <v>0</v>
          </cell>
          <cell r="AI98">
            <v>0</v>
          </cell>
          <cell r="AJ98">
            <v>0</v>
          </cell>
          <cell r="AK98">
            <v>0</v>
          </cell>
          <cell r="AM98">
            <v>0</v>
          </cell>
          <cell r="AN98">
            <v>0</v>
          </cell>
          <cell r="AO98">
            <v>0</v>
          </cell>
          <cell r="AP98">
            <v>0</v>
          </cell>
          <cell r="AQ98">
            <v>0</v>
          </cell>
          <cell r="AR98">
            <v>0</v>
          </cell>
          <cell r="AS98">
            <v>0</v>
          </cell>
          <cell r="AT98">
            <v>0</v>
          </cell>
          <cell r="AU98">
            <v>2370</v>
          </cell>
          <cell r="AV98">
            <v>0</v>
          </cell>
          <cell r="AW98">
            <v>0</v>
          </cell>
          <cell r="AX98">
            <v>0</v>
          </cell>
          <cell r="BA98">
            <v>0</v>
          </cell>
          <cell r="BC98">
            <v>0</v>
          </cell>
          <cell r="BD98">
            <v>8083</v>
          </cell>
          <cell r="BF98">
            <v>0</v>
          </cell>
          <cell r="BG98">
            <v>0</v>
          </cell>
          <cell r="BH98">
            <v>0</v>
          </cell>
          <cell r="BI98">
            <v>24964</v>
          </cell>
          <cell r="BJ98">
            <v>20549</v>
          </cell>
          <cell r="BK98">
            <v>20549</v>
          </cell>
          <cell r="BL98">
            <v>0</v>
          </cell>
          <cell r="BM98">
            <v>0</v>
          </cell>
          <cell r="BN98">
            <v>0</v>
          </cell>
          <cell r="BO98">
            <v>27240</v>
          </cell>
          <cell r="BP98">
            <v>9488.4</v>
          </cell>
          <cell r="BQ98">
            <v>17093.023255814001</v>
          </cell>
          <cell r="BR98">
            <v>0</v>
          </cell>
          <cell r="BS98">
            <v>0</v>
          </cell>
          <cell r="BT98">
            <v>40500</v>
          </cell>
          <cell r="BY98">
            <v>0</v>
          </cell>
          <cell r="BZ98">
            <v>0</v>
          </cell>
          <cell r="CA98">
            <v>0</v>
          </cell>
          <cell r="CB98">
            <v>0</v>
          </cell>
          <cell r="CC98">
            <v>1647279</v>
          </cell>
          <cell r="CD98">
            <v>11711379</v>
          </cell>
          <cell r="CE98">
            <v>626235</v>
          </cell>
          <cell r="CF98">
            <v>-6544</v>
          </cell>
          <cell r="CG98">
            <v>626235</v>
          </cell>
          <cell r="CH98">
            <v>626235</v>
          </cell>
          <cell r="CI98">
            <v>626235</v>
          </cell>
          <cell r="CJ98">
            <v>626235</v>
          </cell>
          <cell r="CK98">
            <v>0</v>
          </cell>
          <cell r="CL98">
            <v>0</v>
          </cell>
          <cell r="CM98">
            <v>0</v>
          </cell>
          <cell r="CN98">
            <v>0</v>
          </cell>
          <cell r="CO98">
            <v>0</v>
          </cell>
          <cell r="CP98">
            <v>0</v>
          </cell>
          <cell r="CQ98">
            <v>3241037</v>
          </cell>
          <cell r="CR98">
            <v>3079177</v>
          </cell>
          <cell r="CS98">
            <v>3000269</v>
          </cell>
          <cell r="CT98">
            <v>2953251</v>
          </cell>
          <cell r="CU98">
            <v>2886321</v>
          </cell>
          <cell r="CV98">
            <v>-33907</v>
          </cell>
          <cell r="CW98">
            <v>0</v>
          </cell>
          <cell r="CX98">
            <v>0</v>
          </cell>
          <cell r="CY98">
            <v>0</v>
          </cell>
          <cell r="CZ98">
            <v>0</v>
          </cell>
          <cell r="DA98">
            <v>0</v>
          </cell>
          <cell r="DC98">
            <v>0</v>
          </cell>
          <cell r="DD98">
            <v>0</v>
          </cell>
          <cell r="DE98">
            <v>0</v>
          </cell>
          <cell r="DF98">
            <v>0</v>
          </cell>
          <cell r="DG98">
            <v>0</v>
          </cell>
          <cell r="DH98">
            <v>0</v>
          </cell>
          <cell r="DI98">
            <v>0</v>
          </cell>
          <cell r="DJ98">
            <v>0</v>
          </cell>
          <cell r="DK98">
            <v>0</v>
          </cell>
          <cell r="DL98">
            <v>0</v>
          </cell>
        </row>
        <row r="99">
          <cell r="A99">
            <v>232</v>
          </cell>
          <cell r="B99" t="str">
            <v>Epe</v>
          </cell>
          <cell r="C99">
            <v>5</v>
          </cell>
          <cell r="D99">
            <v>-52374</v>
          </cell>
          <cell r="E99">
            <v>-26187</v>
          </cell>
          <cell r="F99">
            <v>0</v>
          </cell>
          <cell r="G99">
            <v>0</v>
          </cell>
          <cell r="H99">
            <v>-19604</v>
          </cell>
          <cell r="I99">
            <v>-8471</v>
          </cell>
          <cell r="K99">
            <v>0</v>
          </cell>
          <cell r="L99">
            <v>113408</v>
          </cell>
          <cell r="M99">
            <v>114275</v>
          </cell>
          <cell r="N99">
            <v>0</v>
          </cell>
          <cell r="O99">
            <v>0</v>
          </cell>
          <cell r="P99">
            <v>0</v>
          </cell>
          <cell r="Q99">
            <v>0</v>
          </cell>
          <cell r="R99">
            <v>0</v>
          </cell>
          <cell r="S99">
            <v>0</v>
          </cell>
          <cell r="T99">
            <v>0</v>
          </cell>
          <cell r="U99">
            <v>0</v>
          </cell>
          <cell r="V99">
            <v>3000</v>
          </cell>
          <cell r="W99">
            <v>125374</v>
          </cell>
          <cell r="X99">
            <v>0</v>
          </cell>
          <cell r="Z99">
            <v>0</v>
          </cell>
          <cell r="AA99">
            <v>0</v>
          </cell>
          <cell r="AB99">
            <v>0</v>
          </cell>
          <cell r="AD99">
            <v>24445</v>
          </cell>
          <cell r="AE99">
            <v>0</v>
          </cell>
          <cell r="AF99">
            <v>0</v>
          </cell>
          <cell r="AG99">
            <v>0</v>
          </cell>
          <cell r="AH99">
            <v>0</v>
          </cell>
          <cell r="AI99">
            <v>0</v>
          </cell>
          <cell r="AJ99">
            <v>0</v>
          </cell>
          <cell r="AK99">
            <v>0</v>
          </cell>
          <cell r="AM99">
            <v>0</v>
          </cell>
          <cell r="AN99">
            <v>0</v>
          </cell>
          <cell r="AO99">
            <v>0</v>
          </cell>
          <cell r="AP99">
            <v>0</v>
          </cell>
          <cell r="AQ99">
            <v>0</v>
          </cell>
          <cell r="AR99">
            <v>0</v>
          </cell>
          <cell r="AS99">
            <v>0</v>
          </cell>
          <cell r="AT99">
            <v>0</v>
          </cell>
          <cell r="AU99">
            <v>7110</v>
          </cell>
          <cell r="AV99">
            <v>0</v>
          </cell>
          <cell r="AW99">
            <v>0</v>
          </cell>
          <cell r="AX99">
            <v>0</v>
          </cell>
          <cell r="BA99">
            <v>0</v>
          </cell>
          <cell r="BC99">
            <v>0</v>
          </cell>
          <cell r="BD99">
            <v>11422</v>
          </cell>
          <cell r="BF99">
            <v>0</v>
          </cell>
          <cell r="BG99">
            <v>0</v>
          </cell>
          <cell r="BH99">
            <v>0</v>
          </cell>
          <cell r="BI99">
            <v>43820</v>
          </cell>
          <cell r="BJ99">
            <v>36070</v>
          </cell>
          <cell r="BK99">
            <v>36070</v>
          </cell>
          <cell r="BL99">
            <v>0</v>
          </cell>
          <cell r="BM99">
            <v>0</v>
          </cell>
          <cell r="BN99">
            <v>0</v>
          </cell>
          <cell r="BO99">
            <v>72964</v>
          </cell>
          <cell r="BP99">
            <v>9488.4</v>
          </cell>
          <cell r="BQ99">
            <v>17093.023255814001</v>
          </cell>
          <cell r="BR99">
            <v>0</v>
          </cell>
          <cell r="BS99">
            <v>0</v>
          </cell>
          <cell r="BT99">
            <v>53794</v>
          </cell>
          <cell r="BY99">
            <v>0</v>
          </cell>
          <cell r="BZ99">
            <v>0</v>
          </cell>
          <cell r="CA99">
            <v>0</v>
          </cell>
          <cell r="CB99">
            <v>0</v>
          </cell>
          <cell r="CC99">
            <v>2998318</v>
          </cell>
          <cell r="CD99">
            <v>15937451</v>
          </cell>
          <cell r="CE99">
            <v>808183</v>
          </cell>
          <cell r="CF99">
            <v>-20569</v>
          </cell>
          <cell r="CG99">
            <v>808183</v>
          </cell>
          <cell r="CH99">
            <v>808183</v>
          </cell>
          <cell r="CI99">
            <v>808183</v>
          </cell>
          <cell r="CJ99">
            <v>808183</v>
          </cell>
          <cell r="CK99">
            <v>0</v>
          </cell>
          <cell r="CL99">
            <v>0</v>
          </cell>
          <cell r="CM99">
            <v>0</v>
          </cell>
          <cell r="CN99">
            <v>0</v>
          </cell>
          <cell r="CO99">
            <v>0</v>
          </cell>
          <cell r="CP99">
            <v>0</v>
          </cell>
          <cell r="CQ99">
            <v>4496062</v>
          </cell>
          <cell r="CR99">
            <v>4179718</v>
          </cell>
          <cell r="CS99">
            <v>4068670</v>
          </cell>
          <cell r="CT99">
            <v>3928972</v>
          </cell>
          <cell r="CU99">
            <v>3736013</v>
          </cell>
          <cell r="CV99">
            <v>6781</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row>
        <row r="100">
          <cell r="A100">
            <v>233</v>
          </cell>
          <cell r="B100" t="str">
            <v>Ermelo</v>
          </cell>
          <cell r="C100">
            <v>5</v>
          </cell>
          <cell r="D100">
            <v>-21960</v>
          </cell>
          <cell r="E100">
            <v>-10980</v>
          </cell>
          <cell r="F100">
            <v>0</v>
          </cell>
          <cell r="G100">
            <v>0</v>
          </cell>
          <cell r="H100">
            <v>-15101</v>
          </cell>
          <cell r="I100">
            <v>-10170</v>
          </cell>
          <cell r="K100">
            <v>0</v>
          </cell>
          <cell r="L100">
            <v>80918</v>
          </cell>
          <cell r="M100">
            <v>66494</v>
          </cell>
          <cell r="N100">
            <v>0</v>
          </cell>
          <cell r="O100">
            <v>0</v>
          </cell>
          <cell r="P100">
            <v>0</v>
          </cell>
          <cell r="Q100">
            <v>0</v>
          </cell>
          <cell r="R100">
            <v>0</v>
          </cell>
          <cell r="S100">
            <v>0</v>
          </cell>
          <cell r="T100">
            <v>0</v>
          </cell>
          <cell r="U100">
            <v>0</v>
          </cell>
          <cell r="V100">
            <v>9000</v>
          </cell>
          <cell r="W100">
            <v>94755</v>
          </cell>
          <cell r="X100">
            <v>0</v>
          </cell>
          <cell r="Z100">
            <v>0</v>
          </cell>
          <cell r="AA100">
            <v>0</v>
          </cell>
          <cell r="AB100">
            <v>0</v>
          </cell>
          <cell r="AD100">
            <v>0</v>
          </cell>
          <cell r="AE100">
            <v>0</v>
          </cell>
          <cell r="AF100">
            <v>0</v>
          </cell>
          <cell r="AG100">
            <v>0</v>
          </cell>
          <cell r="AH100">
            <v>0</v>
          </cell>
          <cell r="AI100">
            <v>0</v>
          </cell>
          <cell r="AJ100">
            <v>0</v>
          </cell>
          <cell r="AK100">
            <v>0</v>
          </cell>
          <cell r="AM100">
            <v>0</v>
          </cell>
          <cell r="AN100">
            <v>0</v>
          </cell>
          <cell r="AO100">
            <v>0</v>
          </cell>
          <cell r="AP100">
            <v>0</v>
          </cell>
          <cell r="AQ100">
            <v>0</v>
          </cell>
          <cell r="AR100">
            <v>0</v>
          </cell>
          <cell r="AS100">
            <v>0</v>
          </cell>
          <cell r="AT100">
            <v>0</v>
          </cell>
          <cell r="AU100">
            <v>9480</v>
          </cell>
          <cell r="AV100">
            <v>0</v>
          </cell>
          <cell r="AW100">
            <v>0</v>
          </cell>
          <cell r="AX100">
            <v>0</v>
          </cell>
          <cell r="BA100">
            <v>0</v>
          </cell>
          <cell r="BC100">
            <v>0</v>
          </cell>
          <cell r="BD100">
            <v>9334</v>
          </cell>
          <cell r="BF100">
            <v>0</v>
          </cell>
          <cell r="BG100">
            <v>0</v>
          </cell>
          <cell r="BH100">
            <v>0</v>
          </cell>
          <cell r="BI100">
            <v>30489</v>
          </cell>
          <cell r="BJ100">
            <v>25097</v>
          </cell>
          <cell r="BK100">
            <v>25097</v>
          </cell>
          <cell r="BL100">
            <v>0</v>
          </cell>
          <cell r="BM100">
            <v>0</v>
          </cell>
          <cell r="BN100">
            <v>0</v>
          </cell>
          <cell r="BO100">
            <v>53994</v>
          </cell>
          <cell r="BP100">
            <v>9488.4</v>
          </cell>
          <cell r="BQ100">
            <v>17093.023255814001</v>
          </cell>
          <cell r="BR100">
            <v>0</v>
          </cell>
          <cell r="BS100">
            <v>0</v>
          </cell>
          <cell r="BT100">
            <v>42848</v>
          </cell>
          <cell r="BY100">
            <v>0</v>
          </cell>
          <cell r="BZ100">
            <v>0</v>
          </cell>
          <cell r="CA100">
            <v>0</v>
          </cell>
          <cell r="CB100">
            <v>0</v>
          </cell>
          <cell r="CC100">
            <v>2472437</v>
          </cell>
          <cell r="CD100">
            <v>18354432</v>
          </cell>
          <cell r="CE100">
            <v>4755455</v>
          </cell>
          <cell r="CF100">
            <v>0</v>
          </cell>
          <cell r="CG100">
            <v>4755455</v>
          </cell>
          <cell r="CH100">
            <v>4755455</v>
          </cell>
          <cell r="CI100">
            <v>4755455</v>
          </cell>
          <cell r="CJ100">
            <v>4755455</v>
          </cell>
          <cell r="CK100">
            <v>0</v>
          </cell>
          <cell r="CL100">
            <v>0</v>
          </cell>
          <cell r="CM100">
            <v>0</v>
          </cell>
          <cell r="CN100">
            <v>0</v>
          </cell>
          <cell r="CO100">
            <v>0</v>
          </cell>
          <cell r="CP100">
            <v>-3653</v>
          </cell>
          <cell r="CQ100">
            <v>3383897</v>
          </cell>
          <cell r="CR100">
            <v>3249810</v>
          </cell>
          <cell r="CS100">
            <v>3180970</v>
          </cell>
          <cell r="CT100">
            <v>3136308</v>
          </cell>
          <cell r="CU100">
            <v>3041763</v>
          </cell>
          <cell r="CV100">
            <v>25655</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row>
        <row r="101">
          <cell r="A101">
            <v>236</v>
          </cell>
          <cell r="B101" t="str">
            <v>Geldermalsen</v>
          </cell>
          <cell r="C101">
            <v>5</v>
          </cell>
          <cell r="D101">
            <v>-12763</v>
          </cell>
          <cell r="E101">
            <v>-6381</v>
          </cell>
          <cell r="F101">
            <v>0</v>
          </cell>
          <cell r="G101">
            <v>0</v>
          </cell>
          <cell r="H101">
            <v>-11250</v>
          </cell>
          <cell r="I101">
            <v>-4304</v>
          </cell>
          <cell r="K101">
            <v>0</v>
          </cell>
          <cell r="L101">
            <v>84519</v>
          </cell>
          <cell r="M101">
            <v>78564</v>
          </cell>
          <cell r="N101">
            <v>0</v>
          </cell>
          <cell r="O101">
            <v>0</v>
          </cell>
          <cell r="P101">
            <v>0</v>
          </cell>
          <cell r="Q101">
            <v>0</v>
          </cell>
          <cell r="R101">
            <v>0</v>
          </cell>
          <cell r="S101">
            <v>0</v>
          </cell>
          <cell r="T101">
            <v>0</v>
          </cell>
          <cell r="U101">
            <v>0</v>
          </cell>
          <cell r="V101">
            <v>18000</v>
          </cell>
          <cell r="W101">
            <v>88088</v>
          </cell>
          <cell r="X101">
            <v>0</v>
          </cell>
          <cell r="Z101">
            <v>0</v>
          </cell>
          <cell r="AA101">
            <v>0</v>
          </cell>
          <cell r="AB101">
            <v>0</v>
          </cell>
          <cell r="AD101">
            <v>0</v>
          </cell>
          <cell r="AE101">
            <v>0</v>
          </cell>
          <cell r="AF101">
            <v>0</v>
          </cell>
          <cell r="AG101">
            <v>0</v>
          </cell>
          <cell r="AH101">
            <v>0</v>
          </cell>
          <cell r="AI101">
            <v>0</v>
          </cell>
          <cell r="AJ101">
            <v>0</v>
          </cell>
          <cell r="AK101">
            <v>0</v>
          </cell>
          <cell r="AM101">
            <v>0</v>
          </cell>
          <cell r="AN101">
            <v>0</v>
          </cell>
          <cell r="AO101">
            <v>0</v>
          </cell>
          <cell r="AP101">
            <v>0</v>
          </cell>
          <cell r="AQ101">
            <v>0</v>
          </cell>
          <cell r="AR101">
            <v>0</v>
          </cell>
          <cell r="AS101">
            <v>0</v>
          </cell>
          <cell r="AT101">
            <v>0</v>
          </cell>
          <cell r="AU101">
            <v>0</v>
          </cell>
          <cell r="AV101">
            <v>0</v>
          </cell>
          <cell r="AW101">
            <v>0</v>
          </cell>
          <cell r="AX101">
            <v>0</v>
          </cell>
          <cell r="BA101">
            <v>0</v>
          </cell>
          <cell r="BC101">
            <v>0</v>
          </cell>
          <cell r="BD101">
            <v>46645</v>
          </cell>
          <cell r="BF101">
            <v>0</v>
          </cell>
          <cell r="BG101">
            <v>0</v>
          </cell>
          <cell r="BH101">
            <v>0</v>
          </cell>
          <cell r="BI101">
            <v>24859</v>
          </cell>
          <cell r="BJ101">
            <v>20463</v>
          </cell>
          <cell r="BK101">
            <v>20463</v>
          </cell>
          <cell r="BL101">
            <v>0</v>
          </cell>
          <cell r="BM101">
            <v>0</v>
          </cell>
          <cell r="BN101">
            <v>0</v>
          </cell>
          <cell r="BO101">
            <v>67127</v>
          </cell>
          <cell r="BP101">
            <v>20558.2</v>
          </cell>
          <cell r="BQ101">
            <v>37034.8837209302</v>
          </cell>
          <cell r="BR101">
            <v>0</v>
          </cell>
          <cell r="BS101">
            <v>0</v>
          </cell>
          <cell r="BT101">
            <v>45393</v>
          </cell>
          <cell r="BY101">
            <v>0</v>
          </cell>
          <cell r="BZ101">
            <v>0</v>
          </cell>
          <cell r="CA101">
            <v>0</v>
          </cell>
          <cell r="CB101">
            <v>0</v>
          </cell>
          <cell r="CC101">
            <v>1692793</v>
          </cell>
          <cell r="CD101">
            <v>9523106</v>
          </cell>
          <cell r="CE101">
            <v>427456</v>
          </cell>
          <cell r="CF101">
            <v>0</v>
          </cell>
          <cell r="CG101">
            <v>427456</v>
          </cell>
          <cell r="CH101">
            <v>427456</v>
          </cell>
          <cell r="CI101">
            <v>427456</v>
          </cell>
          <cell r="CJ101">
            <v>427456</v>
          </cell>
          <cell r="CK101">
            <v>0</v>
          </cell>
          <cell r="CL101">
            <v>0</v>
          </cell>
          <cell r="CM101">
            <v>0</v>
          </cell>
          <cell r="CN101">
            <v>0</v>
          </cell>
          <cell r="CO101">
            <v>0</v>
          </cell>
          <cell r="CP101">
            <v>-1553</v>
          </cell>
          <cell r="CQ101">
            <v>2236981</v>
          </cell>
          <cell r="CR101">
            <v>2142898</v>
          </cell>
          <cell r="CS101">
            <v>2101952</v>
          </cell>
          <cell r="CT101">
            <v>2012349</v>
          </cell>
          <cell r="CU101">
            <v>2008039</v>
          </cell>
          <cell r="CV101">
            <v>-26395</v>
          </cell>
          <cell r="CW101">
            <v>0</v>
          </cell>
          <cell r="CX101">
            <v>0</v>
          </cell>
          <cell r="CY101">
            <v>0</v>
          </cell>
          <cell r="CZ101">
            <v>0</v>
          </cell>
          <cell r="DA101">
            <v>0</v>
          </cell>
          <cell r="DC101">
            <v>0</v>
          </cell>
          <cell r="DD101">
            <v>0</v>
          </cell>
          <cell r="DE101">
            <v>0</v>
          </cell>
          <cell r="DF101">
            <v>0</v>
          </cell>
          <cell r="DG101">
            <v>0</v>
          </cell>
          <cell r="DH101">
            <v>0</v>
          </cell>
          <cell r="DI101">
            <v>0</v>
          </cell>
          <cell r="DJ101">
            <v>0</v>
          </cell>
          <cell r="DK101">
            <v>0</v>
          </cell>
          <cell r="DL101">
            <v>0</v>
          </cell>
        </row>
        <row r="102">
          <cell r="A102">
            <v>243</v>
          </cell>
          <cell r="B102" t="str">
            <v>Harderwijk</v>
          </cell>
          <cell r="C102">
            <v>5</v>
          </cell>
          <cell r="D102">
            <v>-24162</v>
          </cell>
          <cell r="E102">
            <v>-12081</v>
          </cell>
          <cell r="F102">
            <v>0</v>
          </cell>
          <cell r="G102">
            <v>903020</v>
          </cell>
          <cell r="H102">
            <v>-22304</v>
          </cell>
          <cell r="I102">
            <v>-16414</v>
          </cell>
          <cell r="K102">
            <v>0</v>
          </cell>
          <cell r="L102">
            <v>219037</v>
          </cell>
          <cell r="M102">
            <v>214004</v>
          </cell>
          <cell r="N102">
            <v>0</v>
          </cell>
          <cell r="O102">
            <v>0</v>
          </cell>
          <cell r="P102">
            <v>0</v>
          </cell>
          <cell r="Q102">
            <v>0</v>
          </cell>
          <cell r="R102">
            <v>0</v>
          </cell>
          <cell r="S102">
            <v>0</v>
          </cell>
          <cell r="T102">
            <v>0</v>
          </cell>
          <cell r="U102">
            <v>0</v>
          </cell>
          <cell r="V102">
            <v>3000</v>
          </cell>
          <cell r="W102">
            <v>180383</v>
          </cell>
          <cell r="X102">
            <v>0</v>
          </cell>
          <cell r="Z102">
            <v>0</v>
          </cell>
          <cell r="AA102">
            <v>0</v>
          </cell>
          <cell r="AB102">
            <v>0</v>
          </cell>
          <cell r="AD102">
            <v>30311</v>
          </cell>
          <cell r="AE102">
            <v>0</v>
          </cell>
          <cell r="AF102">
            <v>0</v>
          </cell>
          <cell r="AG102">
            <v>0</v>
          </cell>
          <cell r="AH102">
            <v>0</v>
          </cell>
          <cell r="AI102">
            <v>0</v>
          </cell>
          <cell r="AJ102">
            <v>0</v>
          </cell>
          <cell r="AK102">
            <v>0</v>
          </cell>
          <cell r="AM102">
            <v>0</v>
          </cell>
          <cell r="AN102">
            <v>0</v>
          </cell>
          <cell r="AO102">
            <v>0</v>
          </cell>
          <cell r="AP102">
            <v>0</v>
          </cell>
          <cell r="AQ102">
            <v>0</v>
          </cell>
          <cell r="AR102">
            <v>0</v>
          </cell>
          <cell r="AS102">
            <v>0</v>
          </cell>
          <cell r="AT102">
            <v>0</v>
          </cell>
          <cell r="AU102">
            <v>2370</v>
          </cell>
          <cell r="AV102">
            <v>0</v>
          </cell>
          <cell r="AW102">
            <v>0</v>
          </cell>
          <cell r="AX102">
            <v>0</v>
          </cell>
          <cell r="BA102">
            <v>0</v>
          </cell>
          <cell r="BC102">
            <v>0</v>
          </cell>
          <cell r="BD102">
            <v>16271</v>
          </cell>
          <cell r="BF102">
            <v>0</v>
          </cell>
          <cell r="BG102">
            <v>0</v>
          </cell>
          <cell r="BH102">
            <v>0</v>
          </cell>
          <cell r="BI102">
            <v>62021</v>
          </cell>
          <cell r="BJ102">
            <v>51052</v>
          </cell>
          <cell r="BK102">
            <v>51052</v>
          </cell>
          <cell r="BL102">
            <v>0</v>
          </cell>
          <cell r="BM102">
            <v>0</v>
          </cell>
          <cell r="BN102">
            <v>0</v>
          </cell>
          <cell r="BO102">
            <v>175114</v>
          </cell>
          <cell r="BP102">
            <v>20558.2</v>
          </cell>
          <cell r="BQ102">
            <v>37034.8837209302</v>
          </cell>
          <cell r="BR102">
            <v>0</v>
          </cell>
          <cell r="BS102">
            <v>0</v>
          </cell>
          <cell r="BT102">
            <v>74728</v>
          </cell>
          <cell r="BY102">
            <v>0</v>
          </cell>
          <cell r="BZ102">
            <v>0</v>
          </cell>
          <cell r="CA102">
            <v>0</v>
          </cell>
          <cell r="CB102">
            <v>0</v>
          </cell>
          <cell r="CC102">
            <v>3479219</v>
          </cell>
          <cell r="CD102">
            <v>22338643</v>
          </cell>
          <cell r="CE102">
            <v>1150359</v>
          </cell>
          <cell r="CF102">
            <v>-39649</v>
          </cell>
          <cell r="CG102">
            <v>1150359</v>
          </cell>
          <cell r="CH102">
            <v>1150359</v>
          </cell>
          <cell r="CI102">
            <v>1150359</v>
          </cell>
          <cell r="CJ102">
            <v>1150359</v>
          </cell>
          <cell r="CK102">
            <v>0</v>
          </cell>
          <cell r="CL102">
            <v>0</v>
          </cell>
          <cell r="CM102">
            <v>0</v>
          </cell>
          <cell r="CN102">
            <v>0</v>
          </cell>
          <cell r="CO102">
            <v>0</v>
          </cell>
          <cell r="CP102">
            <v>0</v>
          </cell>
          <cell r="CQ102">
            <v>4839167</v>
          </cell>
          <cell r="CR102">
            <v>4628604</v>
          </cell>
          <cell r="CS102">
            <v>4503175</v>
          </cell>
          <cell r="CT102">
            <v>4475561</v>
          </cell>
          <cell r="CU102">
            <v>4447218</v>
          </cell>
          <cell r="CV102">
            <v>-15156</v>
          </cell>
          <cell r="CW102">
            <v>0</v>
          </cell>
          <cell r="CX102">
            <v>0</v>
          </cell>
          <cell r="CY102">
            <v>0</v>
          </cell>
          <cell r="CZ102">
            <v>0</v>
          </cell>
          <cell r="DA102">
            <v>0</v>
          </cell>
          <cell r="DC102">
            <v>0</v>
          </cell>
          <cell r="DD102">
            <v>0</v>
          </cell>
          <cell r="DE102">
            <v>0</v>
          </cell>
          <cell r="DF102">
            <v>0</v>
          </cell>
          <cell r="DG102">
            <v>0</v>
          </cell>
          <cell r="DH102">
            <v>0</v>
          </cell>
          <cell r="DI102">
            <v>0</v>
          </cell>
          <cell r="DJ102">
            <v>0</v>
          </cell>
          <cell r="DK102">
            <v>0</v>
          </cell>
          <cell r="DL102">
            <v>0</v>
          </cell>
        </row>
        <row r="103">
          <cell r="A103">
            <v>244</v>
          </cell>
          <cell r="B103" t="str">
            <v>Hattem</v>
          </cell>
          <cell r="C103">
            <v>5</v>
          </cell>
          <cell r="D103">
            <v>-290</v>
          </cell>
          <cell r="E103">
            <v>-145</v>
          </cell>
          <cell r="F103">
            <v>0</v>
          </cell>
          <cell r="G103">
            <v>0</v>
          </cell>
          <cell r="H103">
            <v>0</v>
          </cell>
          <cell r="I103">
            <v>0</v>
          </cell>
          <cell r="K103">
            <v>0</v>
          </cell>
          <cell r="L103">
            <v>39295</v>
          </cell>
          <cell r="M103">
            <v>32140</v>
          </cell>
          <cell r="N103">
            <v>0</v>
          </cell>
          <cell r="O103">
            <v>0</v>
          </cell>
          <cell r="P103">
            <v>0</v>
          </cell>
          <cell r="Q103">
            <v>0</v>
          </cell>
          <cell r="R103">
            <v>0</v>
          </cell>
          <cell r="S103">
            <v>0</v>
          </cell>
          <cell r="T103">
            <v>0</v>
          </cell>
          <cell r="U103">
            <v>0</v>
          </cell>
          <cell r="V103">
            <v>0</v>
          </cell>
          <cell r="W103">
            <v>49178</v>
          </cell>
          <cell r="X103">
            <v>0</v>
          </cell>
          <cell r="Z103">
            <v>0</v>
          </cell>
          <cell r="AA103">
            <v>0</v>
          </cell>
          <cell r="AB103">
            <v>0</v>
          </cell>
          <cell r="AD103">
            <v>0</v>
          </cell>
          <cell r="AE103">
            <v>0</v>
          </cell>
          <cell r="AF103">
            <v>0</v>
          </cell>
          <cell r="AG103">
            <v>0</v>
          </cell>
          <cell r="AH103">
            <v>0</v>
          </cell>
          <cell r="AI103">
            <v>0</v>
          </cell>
          <cell r="AJ103">
            <v>0</v>
          </cell>
          <cell r="AK103">
            <v>0</v>
          </cell>
          <cell r="AM103">
            <v>0</v>
          </cell>
          <cell r="AN103">
            <v>0</v>
          </cell>
          <cell r="AO103">
            <v>0</v>
          </cell>
          <cell r="AP103">
            <v>0</v>
          </cell>
          <cell r="AQ103">
            <v>0</v>
          </cell>
          <cell r="AR103">
            <v>0</v>
          </cell>
          <cell r="AS103">
            <v>0</v>
          </cell>
          <cell r="AT103">
            <v>0</v>
          </cell>
          <cell r="AU103">
            <v>0</v>
          </cell>
          <cell r="AV103">
            <v>0</v>
          </cell>
          <cell r="AW103">
            <v>0</v>
          </cell>
          <cell r="AX103">
            <v>0</v>
          </cell>
          <cell r="BA103">
            <v>0</v>
          </cell>
          <cell r="BC103">
            <v>0</v>
          </cell>
          <cell r="BD103">
            <v>4226</v>
          </cell>
          <cell r="BF103">
            <v>0</v>
          </cell>
          <cell r="BG103">
            <v>0</v>
          </cell>
          <cell r="BH103">
            <v>0</v>
          </cell>
          <cell r="BI103">
            <v>13389</v>
          </cell>
          <cell r="BJ103">
            <v>11021</v>
          </cell>
          <cell r="BK103">
            <v>11021</v>
          </cell>
          <cell r="BL103">
            <v>0</v>
          </cell>
          <cell r="BM103">
            <v>0</v>
          </cell>
          <cell r="BN103">
            <v>0</v>
          </cell>
          <cell r="BO103">
            <v>43779</v>
          </cell>
          <cell r="BP103">
            <v>0</v>
          </cell>
          <cell r="BQ103">
            <v>0</v>
          </cell>
          <cell r="BR103">
            <v>0</v>
          </cell>
          <cell r="BS103">
            <v>0</v>
          </cell>
          <cell r="BT103">
            <v>18372</v>
          </cell>
          <cell r="BY103">
            <v>0</v>
          </cell>
          <cell r="BZ103">
            <v>0</v>
          </cell>
          <cell r="CA103">
            <v>0</v>
          </cell>
          <cell r="CB103">
            <v>0</v>
          </cell>
          <cell r="CC103">
            <v>891485</v>
          </cell>
          <cell r="CD103">
            <v>4522743</v>
          </cell>
          <cell r="CE103">
            <v>303981</v>
          </cell>
          <cell r="CF103">
            <v>0</v>
          </cell>
          <cell r="CG103">
            <v>303981</v>
          </cell>
          <cell r="CH103">
            <v>303981</v>
          </cell>
          <cell r="CI103">
            <v>303981</v>
          </cell>
          <cell r="CJ103">
            <v>303981</v>
          </cell>
          <cell r="CK103">
            <v>0</v>
          </cell>
          <cell r="CL103">
            <v>0</v>
          </cell>
          <cell r="CM103">
            <v>0</v>
          </cell>
          <cell r="CN103">
            <v>0</v>
          </cell>
          <cell r="CO103">
            <v>0</v>
          </cell>
          <cell r="CP103">
            <v>0</v>
          </cell>
          <cell r="CQ103">
            <v>826267</v>
          </cell>
          <cell r="CR103">
            <v>764433</v>
          </cell>
          <cell r="CS103">
            <v>716843</v>
          </cell>
          <cell r="CT103">
            <v>693543</v>
          </cell>
          <cell r="CU103">
            <v>668172</v>
          </cell>
          <cell r="CV103">
            <v>-27501</v>
          </cell>
          <cell r="CW103">
            <v>0</v>
          </cell>
          <cell r="CX103">
            <v>0</v>
          </cell>
          <cell r="CY103">
            <v>0</v>
          </cell>
          <cell r="CZ103">
            <v>0</v>
          </cell>
          <cell r="DA103">
            <v>0</v>
          </cell>
          <cell r="DC103">
            <v>0</v>
          </cell>
          <cell r="DD103">
            <v>0</v>
          </cell>
          <cell r="DE103">
            <v>0</v>
          </cell>
          <cell r="DF103">
            <v>0</v>
          </cell>
          <cell r="DG103">
            <v>0</v>
          </cell>
          <cell r="DH103">
            <v>0</v>
          </cell>
          <cell r="DI103">
            <v>0</v>
          </cell>
          <cell r="DJ103">
            <v>0</v>
          </cell>
          <cell r="DK103">
            <v>0</v>
          </cell>
          <cell r="DL103">
            <v>0</v>
          </cell>
        </row>
        <row r="104">
          <cell r="A104">
            <v>246</v>
          </cell>
          <cell r="B104" t="str">
            <v>Heerde</v>
          </cell>
          <cell r="C104">
            <v>5</v>
          </cell>
          <cell r="D104">
            <v>-44366</v>
          </cell>
          <cell r="E104">
            <v>-22183</v>
          </cell>
          <cell r="F104">
            <v>0</v>
          </cell>
          <cell r="G104">
            <v>0</v>
          </cell>
          <cell r="H104">
            <v>-9882</v>
          </cell>
          <cell r="I104">
            <v>-2655</v>
          </cell>
          <cell r="K104">
            <v>0</v>
          </cell>
          <cell r="L104">
            <v>55212</v>
          </cell>
          <cell r="M104">
            <v>43163</v>
          </cell>
          <cell r="N104">
            <v>0</v>
          </cell>
          <cell r="O104">
            <v>0</v>
          </cell>
          <cell r="P104">
            <v>0</v>
          </cell>
          <cell r="Q104">
            <v>0</v>
          </cell>
          <cell r="R104">
            <v>0</v>
          </cell>
          <cell r="S104">
            <v>0</v>
          </cell>
          <cell r="T104">
            <v>0</v>
          </cell>
          <cell r="U104">
            <v>0</v>
          </cell>
          <cell r="V104">
            <v>0</v>
          </cell>
          <cell r="W104">
            <v>72697</v>
          </cell>
          <cell r="X104">
            <v>0</v>
          </cell>
          <cell r="Z104">
            <v>0</v>
          </cell>
          <cell r="AA104">
            <v>0</v>
          </cell>
          <cell r="AB104">
            <v>0</v>
          </cell>
          <cell r="AD104">
            <v>0</v>
          </cell>
          <cell r="AE104">
            <v>0</v>
          </cell>
          <cell r="AF104">
            <v>0</v>
          </cell>
          <cell r="AG104">
            <v>0</v>
          </cell>
          <cell r="AH104">
            <v>0</v>
          </cell>
          <cell r="AI104">
            <v>0</v>
          </cell>
          <cell r="AJ104">
            <v>0</v>
          </cell>
          <cell r="AK104">
            <v>0</v>
          </cell>
          <cell r="AM104">
            <v>0</v>
          </cell>
          <cell r="AN104">
            <v>0</v>
          </cell>
          <cell r="AO104">
            <v>0</v>
          </cell>
          <cell r="AP104">
            <v>0</v>
          </cell>
          <cell r="AQ104">
            <v>0</v>
          </cell>
          <cell r="AR104">
            <v>0</v>
          </cell>
          <cell r="AS104">
            <v>0</v>
          </cell>
          <cell r="AT104">
            <v>0</v>
          </cell>
          <cell r="AU104">
            <v>0</v>
          </cell>
          <cell r="AV104">
            <v>0</v>
          </cell>
          <cell r="AW104">
            <v>0</v>
          </cell>
          <cell r="AX104">
            <v>0</v>
          </cell>
          <cell r="BA104">
            <v>0</v>
          </cell>
          <cell r="BC104">
            <v>0</v>
          </cell>
          <cell r="BD104">
            <v>6516</v>
          </cell>
          <cell r="BF104">
            <v>0</v>
          </cell>
          <cell r="BG104">
            <v>0</v>
          </cell>
          <cell r="BH104">
            <v>0</v>
          </cell>
          <cell r="BI104">
            <v>22553</v>
          </cell>
          <cell r="BJ104">
            <v>18565</v>
          </cell>
          <cell r="BK104">
            <v>18565</v>
          </cell>
          <cell r="BL104">
            <v>0</v>
          </cell>
          <cell r="BM104">
            <v>0</v>
          </cell>
          <cell r="BN104">
            <v>0</v>
          </cell>
          <cell r="BO104">
            <v>56912</v>
          </cell>
          <cell r="BP104">
            <v>0</v>
          </cell>
          <cell r="BQ104">
            <v>0</v>
          </cell>
          <cell r="BR104">
            <v>0</v>
          </cell>
          <cell r="BS104">
            <v>0</v>
          </cell>
          <cell r="BT104">
            <v>31238</v>
          </cell>
          <cell r="BY104">
            <v>0</v>
          </cell>
          <cell r="BZ104">
            <v>0</v>
          </cell>
          <cell r="CA104">
            <v>0</v>
          </cell>
          <cell r="CB104">
            <v>0</v>
          </cell>
          <cell r="CC104">
            <v>1534606</v>
          </cell>
          <cell r="CD104">
            <v>10409783</v>
          </cell>
          <cell r="CE104">
            <v>2953525</v>
          </cell>
          <cell r="CF104">
            <v>-6412</v>
          </cell>
          <cell r="CG104">
            <v>2953525</v>
          </cell>
          <cell r="CH104">
            <v>2953525</v>
          </cell>
          <cell r="CI104">
            <v>2953525</v>
          </cell>
          <cell r="CJ104">
            <v>2953525</v>
          </cell>
          <cell r="CK104">
            <v>0</v>
          </cell>
          <cell r="CL104">
            <v>0</v>
          </cell>
          <cell r="CM104">
            <v>0</v>
          </cell>
          <cell r="CN104">
            <v>0</v>
          </cell>
          <cell r="CO104">
            <v>0</v>
          </cell>
          <cell r="CP104">
            <v>0</v>
          </cell>
          <cell r="CQ104">
            <v>2167424</v>
          </cell>
          <cell r="CR104">
            <v>2085310</v>
          </cell>
          <cell r="CS104">
            <v>2032863</v>
          </cell>
          <cell r="CT104">
            <v>1979083</v>
          </cell>
          <cell r="CU104">
            <v>1877901</v>
          </cell>
          <cell r="CV104">
            <v>-33863</v>
          </cell>
          <cell r="CW104">
            <v>0</v>
          </cell>
          <cell r="CX104">
            <v>0</v>
          </cell>
          <cell r="CY104">
            <v>0</v>
          </cell>
          <cell r="CZ104">
            <v>0</v>
          </cell>
          <cell r="DA104">
            <v>0</v>
          </cell>
          <cell r="DC104">
            <v>0</v>
          </cell>
          <cell r="DD104">
            <v>0</v>
          </cell>
          <cell r="DE104">
            <v>0</v>
          </cell>
          <cell r="DF104">
            <v>0</v>
          </cell>
          <cell r="DG104">
            <v>0</v>
          </cell>
          <cell r="DH104">
            <v>0</v>
          </cell>
          <cell r="DI104">
            <v>0</v>
          </cell>
          <cell r="DJ104">
            <v>0</v>
          </cell>
          <cell r="DK104">
            <v>0</v>
          </cell>
          <cell r="DL104">
            <v>0</v>
          </cell>
        </row>
        <row r="105">
          <cell r="A105">
            <v>252</v>
          </cell>
          <cell r="B105" t="str">
            <v>Heumen</v>
          </cell>
          <cell r="C105">
            <v>5</v>
          </cell>
          <cell r="D105">
            <v>-41253</v>
          </cell>
          <cell r="E105">
            <v>-20626</v>
          </cell>
          <cell r="F105">
            <v>0</v>
          </cell>
          <cell r="G105">
            <v>0</v>
          </cell>
          <cell r="H105">
            <v>0</v>
          </cell>
          <cell r="I105">
            <v>0</v>
          </cell>
          <cell r="K105">
            <v>0</v>
          </cell>
          <cell r="L105">
            <v>50059</v>
          </cell>
          <cell r="M105">
            <v>40472</v>
          </cell>
          <cell r="N105">
            <v>0</v>
          </cell>
          <cell r="O105">
            <v>0</v>
          </cell>
          <cell r="P105">
            <v>0</v>
          </cell>
          <cell r="Q105">
            <v>0</v>
          </cell>
          <cell r="R105">
            <v>0</v>
          </cell>
          <cell r="S105">
            <v>0</v>
          </cell>
          <cell r="T105">
            <v>0</v>
          </cell>
          <cell r="U105">
            <v>0</v>
          </cell>
          <cell r="V105">
            <v>0</v>
          </cell>
          <cell r="W105">
            <v>0</v>
          </cell>
          <cell r="X105">
            <v>0</v>
          </cell>
          <cell r="Z105">
            <v>0</v>
          </cell>
          <cell r="AA105">
            <v>0</v>
          </cell>
          <cell r="AB105">
            <v>0</v>
          </cell>
          <cell r="AD105">
            <v>0</v>
          </cell>
          <cell r="AE105">
            <v>0</v>
          </cell>
          <cell r="AF105">
            <v>0</v>
          </cell>
          <cell r="AG105">
            <v>0</v>
          </cell>
          <cell r="AH105">
            <v>0</v>
          </cell>
          <cell r="AI105">
            <v>0</v>
          </cell>
          <cell r="AJ105">
            <v>0</v>
          </cell>
          <cell r="AK105">
            <v>0</v>
          </cell>
          <cell r="AM105">
            <v>0</v>
          </cell>
          <cell r="AN105">
            <v>0</v>
          </cell>
          <cell r="AO105">
            <v>0</v>
          </cell>
          <cell r="AP105">
            <v>0</v>
          </cell>
          <cell r="AQ105">
            <v>0</v>
          </cell>
          <cell r="AR105">
            <v>0</v>
          </cell>
          <cell r="AS105">
            <v>0</v>
          </cell>
          <cell r="AT105">
            <v>0</v>
          </cell>
          <cell r="AU105">
            <v>0</v>
          </cell>
          <cell r="AV105">
            <v>0</v>
          </cell>
          <cell r="AW105">
            <v>0</v>
          </cell>
          <cell r="AX105">
            <v>0</v>
          </cell>
          <cell r="BA105">
            <v>0</v>
          </cell>
          <cell r="BC105">
            <v>0</v>
          </cell>
          <cell r="BD105">
            <v>5783</v>
          </cell>
          <cell r="BF105">
            <v>0</v>
          </cell>
          <cell r="BG105">
            <v>0</v>
          </cell>
          <cell r="BH105">
            <v>0</v>
          </cell>
          <cell r="BI105">
            <v>17245</v>
          </cell>
          <cell r="BJ105">
            <v>14196</v>
          </cell>
          <cell r="BK105">
            <v>14196</v>
          </cell>
          <cell r="BL105">
            <v>0</v>
          </cell>
          <cell r="BM105">
            <v>0</v>
          </cell>
          <cell r="BN105">
            <v>0</v>
          </cell>
          <cell r="BO105">
            <v>90476</v>
          </cell>
          <cell r="BP105">
            <v>0</v>
          </cell>
          <cell r="BQ105">
            <v>0</v>
          </cell>
          <cell r="BR105">
            <v>0</v>
          </cell>
          <cell r="BS105">
            <v>0</v>
          </cell>
          <cell r="BT105">
            <v>27327</v>
          </cell>
          <cell r="BY105">
            <v>0</v>
          </cell>
          <cell r="BZ105">
            <v>0</v>
          </cell>
          <cell r="CA105">
            <v>0</v>
          </cell>
          <cell r="CB105">
            <v>0</v>
          </cell>
          <cell r="CC105">
            <v>1177268</v>
          </cell>
          <cell r="CD105">
            <v>6524976</v>
          </cell>
          <cell r="CE105">
            <v>215248</v>
          </cell>
          <cell r="CF105">
            <v>0</v>
          </cell>
          <cell r="CG105">
            <v>215248</v>
          </cell>
          <cell r="CH105">
            <v>215248</v>
          </cell>
          <cell r="CI105">
            <v>215248</v>
          </cell>
          <cell r="CJ105">
            <v>215248</v>
          </cell>
          <cell r="CK105">
            <v>0</v>
          </cell>
          <cell r="CL105">
            <v>0</v>
          </cell>
          <cell r="CM105">
            <v>0</v>
          </cell>
          <cell r="CN105">
            <v>0</v>
          </cell>
          <cell r="CO105">
            <v>0</v>
          </cell>
          <cell r="CP105">
            <v>0</v>
          </cell>
          <cell r="CQ105">
            <v>1457500</v>
          </cell>
          <cell r="CR105">
            <v>1383720</v>
          </cell>
          <cell r="CS105">
            <v>1374124</v>
          </cell>
          <cell r="CT105">
            <v>1305397</v>
          </cell>
          <cell r="CU105">
            <v>1250454</v>
          </cell>
          <cell r="CV105">
            <v>50463</v>
          </cell>
          <cell r="CW105">
            <v>0</v>
          </cell>
          <cell r="CX105">
            <v>0</v>
          </cell>
          <cell r="CY105">
            <v>0</v>
          </cell>
          <cell r="CZ105">
            <v>0</v>
          </cell>
          <cell r="DA105">
            <v>0</v>
          </cell>
          <cell r="DC105">
            <v>0</v>
          </cell>
          <cell r="DD105">
            <v>0</v>
          </cell>
          <cell r="DE105">
            <v>0</v>
          </cell>
          <cell r="DF105">
            <v>0</v>
          </cell>
          <cell r="DG105">
            <v>0</v>
          </cell>
          <cell r="DH105">
            <v>0</v>
          </cell>
          <cell r="DI105">
            <v>0</v>
          </cell>
          <cell r="DJ105">
            <v>0</v>
          </cell>
          <cell r="DK105">
            <v>0</v>
          </cell>
          <cell r="DL105">
            <v>0</v>
          </cell>
        </row>
        <row r="106">
          <cell r="A106">
            <v>733</v>
          </cell>
          <cell r="B106" t="str">
            <v>Lingewaal</v>
          </cell>
          <cell r="C106">
            <v>5</v>
          </cell>
          <cell r="D106">
            <v>-13162</v>
          </cell>
          <cell r="E106">
            <v>-6581</v>
          </cell>
          <cell r="F106">
            <v>0</v>
          </cell>
          <cell r="G106">
            <v>0</v>
          </cell>
          <cell r="H106">
            <v>-20824</v>
          </cell>
          <cell r="I106">
            <v>-17989</v>
          </cell>
          <cell r="K106">
            <v>0</v>
          </cell>
          <cell r="L106">
            <v>34321</v>
          </cell>
          <cell r="M106">
            <v>31759</v>
          </cell>
          <cell r="N106">
            <v>0</v>
          </cell>
          <cell r="O106">
            <v>0</v>
          </cell>
          <cell r="P106">
            <v>0</v>
          </cell>
          <cell r="Q106">
            <v>0</v>
          </cell>
          <cell r="R106">
            <v>0</v>
          </cell>
          <cell r="S106">
            <v>0</v>
          </cell>
          <cell r="T106">
            <v>0</v>
          </cell>
          <cell r="U106">
            <v>0</v>
          </cell>
          <cell r="V106">
            <v>3000</v>
          </cell>
          <cell r="W106">
            <v>47428</v>
          </cell>
          <cell r="X106">
            <v>0</v>
          </cell>
          <cell r="Z106">
            <v>0</v>
          </cell>
          <cell r="AA106">
            <v>0</v>
          </cell>
          <cell r="AB106">
            <v>0</v>
          </cell>
          <cell r="AD106">
            <v>0</v>
          </cell>
          <cell r="AE106">
            <v>0</v>
          </cell>
          <cell r="AF106">
            <v>0</v>
          </cell>
          <cell r="AG106">
            <v>0</v>
          </cell>
          <cell r="AH106">
            <v>0</v>
          </cell>
          <cell r="AI106">
            <v>0</v>
          </cell>
          <cell r="AJ106">
            <v>0</v>
          </cell>
          <cell r="AK106">
            <v>0</v>
          </cell>
          <cell r="AM106">
            <v>0</v>
          </cell>
          <cell r="AN106">
            <v>0</v>
          </cell>
          <cell r="AO106">
            <v>0</v>
          </cell>
          <cell r="AP106">
            <v>0</v>
          </cell>
          <cell r="AQ106">
            <v>0</v>
          </cell>
          <cell r="AR106">
            <v>0</v>
          </cell>
          <cell r="AS106">
            <v>0</v>
          </cell>
          <cell r="AT106">
            <v>0</v>
          </cell>
          <cell r="AU106">
            <v>0</v>
          </cell>
          <cell r="AV106">
            <v>0</v>
          </cell>
          <cell r="AW106">
            <v>0</v>
          </cell>
          <cell r="AX106">
            <v>0</v>
          </cell>
          <cell r="BA106">
            <v>0</v>
          </cell>
          <cell r="BC106">
            <v>0</v>
          </cell>
          <cell r="BD106">
            <v>19576</v>
          </cell>
          <cell r="BF106">
            <v>0</v>
          </cell>
          <cell r="BG106">
            <v>0</v>
          </cell>
          <cell r="BH106">
            <v>0</v>
          </cell>
          <cell r="BI106">
            <v>11324</v>
          </cell>
          <cell r="BJ106">
            <v>9321</v>
          </cell>
          <cell r="BK106">
            <v>9321</v>
          </cell>
          <cell r="BL106">
            <v>0</v>
          </cell>
          <cell r="BM106">
            <v>0</v>
          </cell>
          <cell r="BN106">
            <v>0</v>
          </cell>
          <cell r="BO106">
            <v>32591</v>
          </cell>
          <cell r="BP106">
            <v>0</v>
          </cell>
          <cell r="BQ106">
            <v>0</v>
          </cell>
          <cell r="BR106">
            <v>0</v>
          </cell>
          <cell r="BS106">
            <v>0</v>
          </cell>
          <cell r="BT106">
            <v>22388</v>
          </cell>
          <cell r="BY106">
            <v>0</v>
          </cell>
          <cell r="BZ106">
            <v>0</v>
          </cell>
          <cell r="CA106">
            <v>0</v>
          </cell>
          <cell r="CB106">
            <v>0</v>
          </cell>
          <cell r="CC106">
            <v>712294</v>
          </cell>
          <cell r="CD106">
            <v>3444537</v>
          </cell>
          <cell r="CE106">
            <v>129711</v>
          </cell>
          <cell r="CF106">
            <v>-24292</v>
          </cell>
          <cell r="CG106">
            <v>129711</v>
          </cell>
          <cell r="CH106">
            <v>129711</v>
          </cell>
          <cell r="CI106">
            <v>129711</v>
          </cell>
          <cell r="CJ106">
            <v>129711</v>
          </cell>
          <cell r="CK106">
            <v>0</v>
          </cell>
          <cell r="CL106">
            <v>0</v>
          </cell>
          <cell r="CM106">
            <v>0</v>
          </cell>
          <cell r="CN106">
            <v>0</v>
          </cell>
          <cell r="CO106">
            <v>0</v>
          </cell>
          <cell r="CP106">
            <v>-2858</v>
          </cell>
          <cell r="CQ106">
            <v>465662</v>
          </cell>
          <cell r="CR106">
            <v>458106</v>
          </cell>
          <cell r="CS106">
            <v>451000</v>
          </cell>
          <cell r="CT106">
            <v>455543</v>
          </cell>
          <cell r="CU106">
            <v>460963</v>
          </cell>
          <cell r="CV106">
            <v>-3605</v>
          </cell>
          <cell r="CW106">
            <v>0</v>
          </cell>
          <cell r="CX106">
            <v>0</v>
          </cell>
          <cell r="CY106">
            <v>0</v>
          </cell>
          <cell r="CZ106">
            <v>0</v>
          </cell>
          <cell r="DA106">
            <v>0</v>
          </cell>
          <cell r="DC106">
            <v>0</v>
          </cell>
          <cell r="DD106">
            <v>0</v>
          </cell>
          <cell r="DE106">
            <v>0</v>
          </cell>
          <cell r="DF106">
            <v>0</v>
          </cell>
          <cell r="DG106">
            <v>0</v>
          </cell>
          <cell r="DH106">
            <v>0</v>
          </cell>
          <cell r="DI106">
            <v>0</v>
          </cell>
          <cell r="DJ106">
            <v>0</v>
          </cell>
          <cell r="DK106">
            <v>0</v>
          </cell>
          <cell r="DL106">
            <v>0</v>
          </cell>
        </row>
        <row r="107">
          <cell r="A107">
            <v>1705</v>
          </cell>
          <cell r="B107" t="str">
            <v>Lingewaard</v>
          </cell>
          <cell r="C107">
            <v>5</v>
          </cell>
          <cell r="D107">
            <v>-21960</v>
          </cell>
          <cell r="E107">
            <v>-10980</v>
          </cell>
          <cell r="F107">
            <v>0</v>
          </cell>
          <cell r="G107">
            <v>420503</v>
          </cell>
          <cell r="H107">
            <v>-44059</v>
          </cell>
          <cell r="I107">
            <v>-47650</v>
          </cell>
          <cell r="K107">
            <v>0</v>
          </cell>
          <cell r="L107">
            <v>142814</v>
          </cell>
          <cell r="M107">
            <v>120084</v>
          </cell>
          <cell r="N107">
            <v>0</v>
          </cell>
          <cell r="O107">
            <v>0</v>
          </cell>
          <cell r="P107">
            <v>0</v>
          </cell>
          <cell r="Q107">
            <v>0</v>
          </cell>
          <cell r="R107">
            <v>0</v>
          </cell>
          <cell r="S107">
            <v>0</v>
          </cell>
          <cell r="T107">
            <v>0</v>
          </cell>
          <cell r="U107">
            <v>0</v>
          </cell>
          <cell r="V107">
            <v>0</v>
          </cell>
          <cell r="W107">
            <v>186992</v>
          </cell>
          <cell r="X107">
            <v>0</v>
          </cell>
          <cell r="Z107">
            <v>0</v>
          </cell>
          <cell r="AA107">
            <v>0</v>
          </cell>
          <cell r="AB107">
            <v>0</v>
          </cell>
          <cell r="AD107">
            <v>0</v>
          </cell>
          <cell r="AE107">
            <v>0</v>
          </cell>
          <cell r="AF107">
            <v>0</v>
          </cell>
          <cell r="AG107">
            <v>0</v>
          </cell>
          <cell r="AH107">
            <v>0</v>
          </cell>
          <cell r="AI107">
            <v>0</v>
          </cell>
          <cell r="AJ107">
            <v>0</v>
          </cell>
          <cell r="AK107">
            <v>0</v>
          </cell>
          <cell r="AM107">
            <v>0</v>
          </cell>
          <cell r="AN107">
            <v>0</v>
          </cell>
          <cell r="AO107">
            <v>0</v>
          </cell>
          <cell r="AP107">
            <v>0</v>
          </cell>
          <cell r="AQ107">
            <v>0</v>
          </cell>
          <cell r="AR107">
            <v>0</v>
          </cell>
          <cell r="AS107">
            <v>0</v>
          </cell>
          <cell r="AT107">
            <v>0</v>
          </cell>
          <cell r="AU107">
            <v>4740</v>
          </cell>
          <cell r="AV107">
            <v>0</v>
          </cell>
          <cell r="AW107">
            <v>0</v>
          </cell>
          <cell r="AX107">
            <v>0</v>
          </cell>
          <cell r="BA107">
            <v>0</v>
          </cell>
          <cell r="BC107">
            <v>0</v>
          </cell>
          <cell r="BD107">
            <v>16212</v>
          </cell>
          <cell r="BF107">
            <v>0</v>
          </cell>
          <cell r="BG107">
            <v>0</v>
          </cell>
          <cell r="BH107">
            <v>0</v>
          </cell>
          <cell r="BI107">
            <v>57171</v>
          </cell>
          <cell r="BJ107">
            <v>47061</v>
          </cell>
          <cell r="BK107">
            <v>47061</v>
          </cell>
          <cell r="BL107">
            <v>0</v>
          </cell>
          <cell r="BM107">
            <v>0</v>
          </cell>
          <cell r="BN107">
            <v>0</v>
          </cell>
          <cell r="BO107">
            <v>160035</v>
          </cell>
          <cell r="BP107">
            <v>6325.6</v>
          </cell>
          <cell r="BQ107">
            <v>11395.3488372093</v>
          </cell>
          <cell r="BR107">
            <v>0</v>
          </cell>
          <cell r="BS107">
            <v>0</v>
          </cell>
          <cell r="BT107">
            <v>68419</v>
          </cell>
          <cell r="BY107">
            <v>0</v>
          </cell>
          <cell r="BZ107">
            <v>0</v>
          </cell>
          <cell r="CA107">
            <v>0</v>
          </cell>
          <cell r="CB107">
            <v>0</v>
          </cell>
          <cell r="CC107">
            <v>3386067</v>
          </cell>
          <cell r="CD107">
            <v>19542911</v>
          </cell>
          <cell r="CE107">
            <v>967407</v>
          </cell>
          <cell r="CF107">
            <v>-76729</v>
          </cell>
          <cell r="CG107">
            <v>967407</v>
          </cell>
          <cell r="CH107">
            <v>967407</v>
          </cell>
          <cell r="CI107">
            <v>967407</v>
          </cell>
          <cell r="CJ107">
            <v>967407</v>
          </cell>
          <cell r="CK107">
            <v>0</v>
          </cell>
          <cell r="CL107">
            <v>0</v>
          </cell>
          <cell r="CM107">
            <v>0</v>
          </cell>
          <cell r="CN107">
            <v>0</v>
          </cell>
          <cell r="CO107">
            <v>0</v>
          </cell>
          <cell r="CP107">
            <v>-5745</v>
          </cell>
          <cell r="CQ107">
            <v>4409984</v>
          </cell>
          <cell r="CR107">
            <v>4102496</v>
          </cell>
          <cell r="CS107">
            <v>3896761</v>
          </cell>
          <cell r="CT107">
            <v>3742754</v>
          </cell>
          <cell r="CU107">
            <v>3660824</v>
          </cell>
          <cell r="CV107">
            <v>42392</v>
          </cell>
          <cell r="CW107">
            <v>0</v>
          </cell>
          <cell r="CX107">
            <v>0</v>
          </cell>
          <cell r="CY107">
            <v>0</v>
          </cell>
          <cell r="CZ107">
            <v>0</v>
          </cell>
          <cell r="DA107">
            <v>0</v>
          </cell>
          <cell r="DC107">
            <v>0</v>
          </cell>
          <cell r="DD107">
            <v>0</v>
          </cell>
          <cell r="DE107">
            <v>0</v>
          </cell>
          <cell r="DF107">
            <v>0</v>
          </cell>
          <cell r="DG107">
            <v>0</v>
          </cell>
          <cell r="DH107">
            <v>0</v>
          </cell>
          <cell r="DI107">
            <v>0</v>
          </cell>
          <cell r="DJ107">
            <v>0</v>
          </cell>
          <cell r="DK107">
            <v>0</v>
          </cell>
          <cell r="DL107">
            <v>0</v>
          </cell>
        </row>
        <row r="108">
          <cell r="A108">
            <v>262</v>
          </cell>
          <cell r="B108" t="str">
            <v>Lochem</v>
          </cell>
          <cell r="C108">
            <v>5</v>
          </cell>
          <cell r="D108">
            <v>-42949</v>
          </cell>
          <cell r="E108">
            <v>-21474</v>
          </cell>
          <cell r="F108">
            <v>0</v>
          </cell>
          <cell r="G108">
            <v>357207</v>
          </cell>
          <cell r="H108">
            <v>-22526</v>
          </cell>
          <cell r="I108">
            <v>0</v>
          </cell>
          <cell r="K108">
            <v>0</v>
          </cell>
          <cell r="L108">
            <v>109230</v>
          </cell>
          <cell r="M108">
            <v>104800</v>
          </cell>
          <cell r="N108">
            <v>0</v>
          </cell>
          <cell r="O108">
            <v>0</v>
          </cell>
          <cell r="P108">
            <v>0</v>
          </cell>
          <cell r="Q108">
            <v>0</v>
          </cell>
          <cell r="R108">
            <v>0</v>
          </cell>
          <cell r="S108">
            <v>0</v>
          </cell>
          <cell r="T108">
            <v>0</v>
          </cell>
          <cell r="U108">
            <v>0</v>
          </cell>
          <cell r="V108">
            <v>0</v>
          </cell>
          <cell r="W108">
            <v>125957</v>
          </cell>
          <cell r="X108">
            <v>0</v>
          </cell>
          <cell r="Z108">
            <v>0</v>
          </cell>
          <cell r="AA108">
            <v>0</v>
          </cell>
          <cell r="AB108">
            <v>0</v>
          </cell>
          <cell r="AD108">
            <v>0</v>
          </cell>
          <cell r="AE108">
            <v>0</v>
          </cell>
          <cell r="AF108">
            <v>0</v>
          </cell>
          <cell r="AG108">
            <v>0</v>
          </cell>
          <cell r="AH108">
            <v>0</v>
          </cell>
          <cell r="AI108">
            <v>0</v>
          </cell>
          <cell r="AJ108">
            <v>0</v>
          </cell>
          <cell r="AK108">
            <v>0</v>
          </cell>
          <cell r="AM108">
            <v>0</v>
          </cell>
          <cell r="AN108">
            <v>0</v>
          </cell>
          <cell r="AO108">
            <v>0</v>
          </cell>
          <cell r="AP108">
            <v>0</v>
          </cell>
          <cell r="AQ108">
            <v>0</v>
          </cell>
          <cell r="AR108">
            <v>0</v>
          </cell>
          <cell r="AS108">
            <v>0</v>
          </cell>
          <cell r="AT108">
            <v>0</v>
          </cell>
          <cell r="AU108">
            <v>7110</v>
          </cell>
          <cell r="AV108">
            <v>0</v>
          </cell>
          <cell r="AW108">
            <v>0</v>
          </cell>
          <cell r="AX108">
            <v>0</v>
          </cell>
          <cell r="BA108">
            <v>0</v>
          </cell>
          <cell r="BC108">
            <v>0</v>
          </cell>
          <cell r="BD108">
            <v>11775</v>
          </cell>
          <cell r="BF108">
            <v>0</v>
          </cell>
          <cell r="BG108">
            <v>0</v>
          </cell>
          <cell r="BH108">
            <v>0</v>
          </cell>
          <cell r="BI108">
            <v>40216</v>
          </cell>
          <cell r="BJ108">
            <v>33104</v>
          </cell>
          <cell r="BK108">
            <v>33104</v>
          </cell>
          <cell r="BL108">
            <v>0</v>
          </cell>
          <cell r="BM108">
            <v>0</v>
          </cell>
          <cell r="BN108">
            <v>0</v>
          </cell>
          <cell r="BO108">
            <v>123066</v>
          </cell>
          <cell r="BP108">
            <v>15814</v>
          </cell>
          <cell r="BQ108">
            <v>28488.372093023299</v>
          </cell>
          <cell r="BR108">
            <v>0</v>
          </cell>
          <cell r="BS108">
            <v>0</v>
          </cell>
          <cell r="BT108">
            <v>59472</v>
          </cell>
          <cell r="BY108">
            <v>0</v>
          </cell>
          <cell r="BZ108">
            <v>0</v>
          </cell>
          <cell r="CA108">
            <v>0</v>
          </cell>
          <cell r="CB108">
            <v>0</v>
          </cell>
          <cell r="CC108">
            <v>2859570</v>
          </cell>
          <cell r="CD108">
            <v>14759615</v>
          </cell>
          <cell r="CE108">
            <v>3699593</v>
          </cell>
          <cell r="CF108">
            <v>0</v>
          </cell>
          <cell r="CG108">
            <v>3699593</v>
          </cell>
          <cell r="CH108">
            <v>3699593</v>
          </cell>
          <cell r="CI108">
            <v>3699593</v>
          </cell>
          <cell r="CJ108">
            <v>3699593</v>
          </cell>
          <cell r="CK108">
            <v>0</v>
          </cell>
          <cell r="CL108">
            <v>0</v>
          </cell>
          <cell r="CM108">
            <v>0</v>
          </cell>
          <cell r="CN108">
            <v>0</v>
          </cell>
          <cell r="CO108">
            <v>0</v>
          </cell>
          <cell r="CP108">
            <v>0</v>
          </cell>
          <cell r="CQ108">
            <v>2455284</v>
          </cell>
          <cell r="CR108">
            <v>2366585</v>
          </cell>
          <cell r="CS108">
            <v>2342287</v>
          </cell>
          <cell r="CT108">
            <v>2325838</v>
          </cell>
          <cell r="CU108">
            <v>2281662</v>
          </cell>
          <cell r="CV108">
            <v>41117</v>
          </cell>
          <cell r="CW108">
            <v>0</v>
          </cell>
          <cell r="CX108">
            <v>0</v>
          </cell>
          <cell r="CY108">
            <v>0</v>
          </cell>
          <cell r="CZ108">
            <v>0</v>
          </cell>
          <cell r="DA108">
            <v>0</v>
          </cell>
          <cell r="DC108">
            <v>0</v>
          </cell>
          <cell r="DD108">
            <v>0</v>
          </cell>
          <cell r="DE108">
            <v>0</v>
          </cell>
          <cell r="DF108">
            <v>0</v>
          </cell>
          <cell r="DG108">
            <v>0</v>
          </cell>
          <cell r="DH108">
            <v>0</v>
          </cell>
          <cell r="DI108">
            <v>0</v>
          </cell>
          <cell r="DJ108">
            <v>0</v>
          </cell>
          <cell r="DK108">
            <v>0</v>
          </cell>
          <cell r="DL108">
            <v>0</v>
          </cell>
        </row>
        <row r="109">
          <cell r="A109">
            <v>263</v>
          </cell>
          <cell r="B109" t="str">
            <v>Maasdriel</v>
          </cell>
          <cell r="C109">
            <v>5</v>
          </cell>
          <cell r="D109">
            <v>-7698</v>
          </cell>
          <cell r="E109">
            <v>-3849</v>
          </cell>
          <cell r="F109">
            <v>0</v>
          </cell>
          <cell r="G109">
            <v>24320</v>
          </cell>
          <cell r="H109">
            <v>0</v>
          </cell>
          <cell r="I109">
            <v>-4448</v>
          </cell>
          <cell r="K109">
            <v>0</v>
          </cell>
          <cell r="L109">
            <v>78968</v>
          </cell>
          <cell r="M109">
            <v>74660</v>
          </cell>
          <cell r="N109">
            <v>0</v>
          </cell>
          <cell r="O109">
            <v>0</v>
          </cell>
          <cell r="P109">
            <v>0</v>
          </cell>
          <cell r="Q109">
            <v>0</v>
          </cell>
          <cell r="R109">
            <v>0</v>
          </cell>
          <cell r="S109">
            <v>0</v>
          </cell>
          <cell r="T109">
            <v>0</v>
          </cell>
          <cell r="U109">
            <v>0</v>
          </cell>
          <cell r="V109">
            <v>0</v>
          </cell>
          <cell r="W109">
            <v>58186</v>
          </cell>
          <cell r="X109">
            <v>0</v>
          </cell>
          <cell r="Z109">
            <v>0</v>
          </cell>
          <cell r="AA109">
            <v>0</v>
          </cell>
          <cell r="AB109">
            <v>0</v>
          </cell>
          <cell r="AD109">
            <v>0</v>
          </cell>
          <cell r="AE109">
            <v>0</v>
          </cell>
          <cell r="AF109">
            <v>0</v>
          </cell>
          <cell r="AG109">
            <v>0</v>
          </cell>
          <cell r="AH109">
            <v>0</v>
          </cell>
          <cell r="AI109">
            <v>0</v>
          </cell>
          <cell r="AJ109">
            <v>0</v>
          </cell>
          <cell r="AK109">
            <v>0</v>
          </cell>
          <cell r="AM109">
            <v>0</v>
          </cell>
          <cell r="AN109">
            <v>0</v>
          </cell>
          <cell r="AO109">
            <v>0</v>
          </cell>
          <cell r="AP109">
            <v>0</v>
          </cell>
          <cell r="AQ109">
            <v>0</v>
          </cell>
          <cell r="AR109">
            <v>0</v>
          </cell>
          <cell r="AS109">
            <v>0</v>
          </cell>
          <cell r="AT109">
            <v>0</v>
          </cell>
          <cell r="AU109">
            <v>4740</v>
          </cell>
          <cell r="AV109">
            <v>0</v>
          </cell>
          <cell r="AW109">
            <v>0</v>
          </cell>
          <cell r="AX109">
            <v>0</v>
          </cell>
          <cell r="BA109">
            <v>0</v>
          </cell>
          <cell r="BC109">
            <v>0</v>
          </cell>
          <cell r="BD109">
            <v>8513</v>
          </cell>
          <cell r="BF109">
            <v>0</v>
          </cell>
          <cell r="BG109">
            <v>0</v>
          </cell>
          <cell r="BH109">
            <v>0</v>
          </cell>
          <cell r="BI109">
            <v>27595</v>
          </cell>
          <cell r="BJ109">
            <v>22715</v>
          </cell>
          <cell r="BK109">
            <v>22715</v>
          </cell>
          <cell r="BL109">
            <v>0</v>
          </cell>
          <cell r="BM109">
            <v>0</v>
          </cell>
          <cell r="BN109">
            <v>0</v>
          </cell>
          <cell r="BO109">
            <v>62749</v>
          </cell>
          <cell r="BP109">
            <v>25302.400000000001</v>
          </cell>
          <cell r="BQ109">
            <v>45581.395348837199</v>
          </cell>
          <cell r="BR109">
            <v>0</v>
          </cell>
          <cell r="BS109">
            <v>0</v>
          </cell>
          <cell r="BT109">
            <v>44993</v>
          </cell>
          <cell r="BY109">
            <v>0</v>
          </cell>
          <cell r="BZ109">
            <v>0</v>
          </cell>
          <cell r="CA109">
            <v>0</v>
          </cell>
          <cell r="CB109">
            <v>0</v>
          </cell>
          <cell r="CC109">
            <v>1559784</v>
          </cell>
          <cell r="CD109">
            <v>8780332</v>
          </cell>
          <cell r="CE109">
            <v>490605</v>
          </cell>
          <cell r="CF109">
            <v>0</v>
          </cell>
          <cell r="CG109">
            <v>490605</v>
          </cell>
          <cell r="CH109">
            <v>490605</v>
          </cell>
          <cell r="CI109">
            <v>490605</v>
          </cell>
          <cell r="CJ109">
            <v>490605</v>
          </cell>
          <cell r="CK109">
            <v>0</v>
          </cell>
          <cell r="CL109">
            <v>0</v>
          </cell>
          <cell r="CM109">
            <v>0</v>
          </cell>
          <cell r="CN109">
            <v>0</v>
          </cell>
          <cell r="CO109">
            <v>0</v>
          </cell>
          <cell r="CP109">
            <v>-1605</v>
          </cell>
          <cell r="CQ109">
            <v>2092201</v>
          </cell>
          <cell r="CR109">
            <v>1993134</v>
          </cell>
          <cell r="CS109">
            <v>1927536</v>
          </cell>
          <cell r="CT109">
            <v>1891286</v>
          </cell>
          <cell r="CU109">
            <v>1860076</v>
          </cell>
          <cell r="CV109">
            <v>-21568</v>
          </cell>
          <cell r="CW109">
            <v>0</v>
          </cell>
          <cell r="CX109">
            <v>0</v>
          </cell>
          <cell r="CY109">
            <v>0</v>
          </cell>
          <cell r="CZ109">
            <v>0</v>
          </cell>
          <cell r="DA109">
            <v>0</v>
          </cell>
          <cell r="DC109">
            <v>0</v>
          </cell>
          <cell r="DD109">
            <v>0</v>
          </cell>
          <cell r="DE109">
            <v>0</v>
          </cell>
          <cell r="DF109">
            <v>0</v>
          </cell>
          <cell r="DG109">
            <v>0</v>
          </cell>
          <cell r="DH109">
            <v>0</v>
          </cell>
          <cell r="DI109">
            <v>0</v>
          </cell>
          <cell r="DJ109">
            <v>0</v>
          </cell>
          <cell r="DK109">
            <v>0</v>
          </cell>
          <cell r="DL109">
            <v>0</v>
          </cell>
        </row>
        <row r="110">
          <cell r="A110">
            <v>1955</v>
          </cell>
          <cell r="B110" t="str">
            <v>Montferland</v>
          </cell>
          <cell r="C110">
            <v>5</v>
          </cell>
          <cell r="D110">
            <v>-60758</v>
          </cell>
          <cell r="E110">
            <v>-30379</v>
          </cell>
          <cell r="F110">
            <v>0</v>
          </cell>
          <cell r="G110">
            <v>0</v>
          </cell>
          <cell r="H110">
            <v>0</v>
          </cell>
          <cell r="I110">
            <v>0</v>
          </cell>
          <cell r="K110">
            <v>0</v>
          </cell>
          <cell r="L110">
            <v>147709</v>
          </cell>
          <cell r="M110">
            <v>127988</v>
          </cell>
          <cell r="N110">
            <v>0</v>
          </cell>
          <cell r="O110">
            <v>0</v>
          </cell>
          <cell r="P110">
            <v>0</v>
          </cell>
          <cell r="Q110">
            <v>0</v>
          </cell>
          <cell r="R110">
            <v>0</v>
          </cell>
          <cell r="S110">
            <v>0</v>
          </cell>
          <cell r="T110">
            <v>0</v>
          </cell>
          <cell r="U110">
            <v>0</v>
          </cell>
          <cell r="V110">
            <v>0</v>
          </cell>
          <cell r="W110">
            <v>139952</v>
          </cell>
          <cell r="X110">
            <v>0</v>
          </cell>
          <cell r="Z110">
            <v>0</v>
          </cell>
          <cell r="AA110">
            <v>0</v>
          </cell>
          <cell r="AB110">
            <v>0</v>
          </cell>
          <cell r="AD110">
            <v>38134</v>
          </cell>
          <cell r="AE110">
            <v>0</v>
          </cell>
          <cell r="AF110">
            <v>0</v>
          </cell>
          <cell r="AG110">
            <v>0</v>
          </cell>
          <cell r="AH110">
            <v>0</v>
          </cell>
          <cell r="AI110">
            <v>0</v>
          </cell>
          <cell r="AJ110">
            <v>0</v>
          </cell>
          <cell r="AK110">
            <v>0</v>
          </cell>
          <cell r="AM110">
            <v>0</v>
          </cell>
          <cell r="AN110">
            <v>0</v>
          </cell>
          <cell r="AO110">
            <v>0</v>
          </cell>
          <cell r="AP110">
            <v>0</v>
          </cell>
          <cell r="AQ110">
            <v>0</v>
          </cell>
          <cell r="AR110">
            <v>0</v>
          </cell>
          <cell r="AS110">
            <v>0</v>
          </cell>
          <cell r="AT110">
            <v>0</v>
          </cell>
          <cell r="AU110">
            <v>0</v>
          </cell>
          <cell r="AV110">
            <v>0</v>
          </cell>
          <cell r="AW110">
            <v>0</v>
          </cell>
          <cell r="AX110">
            <v>0</v>
          </cell>
          <cell r="BA110">
            <v>0</v>
          </cell>
          <cell r="BC110">
            <v>0</v>
          </cell>
          <cell r="BD110">
            <v>12397</v>
          </cell>
          <cell r="BF110">
            <v>0</v>
          </cell>
          <cell r="BG110">
            <v>0</v>
          </cell>
          <cell r="BH110">
            <v>0</v>
          </cell>
          <cell r="BI110">
            <v>54963</v>
          </cell>
          <cell r="BJ110">
            <v>45243</v>
          </cell>
          <cell r="BK110">
            <v>45243</v>
          </cell>
          <cell r="BL110">
            <v>0</v>
          </cell>
          <cell r="BM110">
            <v>0</v>
          </cell>
          <cell r="BN110">
            <v>0</v>
          </cell>
          <cell r="BO110">
            <v>22376</v>
          </cell>
          <cell r="BP110">
            <v>7907</v>
          </cell>
          <cell r="BQ110">
            <v>14244.186046511601</v>
          </cell>
          <cell r="BR110">
            <v>0</v>
          </cell>
          <cell r="BS110">
            <v>0</v>
          </cell>
          <cell r="BT110">
            <v>57678</v>
          </cell>
          <cell r="BY110">
            <v>0</v>
          </cell>
          <cell r="BZ110">
            <v>0</v>
          </cell>
          <cell r="CA110">
            <v>0</v>
          </cell>
          <cell r="CB110">
            <v>0</v>
          </cell>
          <cell r="CC110">
            <v>3222604</v>
          </cell>
          <cell r="CD110">
            <v>18603050</v>
          </cell>
          <cell r="CE110">
            <v>553229</v>
          </cell>
          <cell r="CF110">
            <v>0</v>
          </cell>
          <cell r="CG110">
            <v>553229</v>
          </cell>
          <cell r="CH110">
            <v>553229</v>
          </cell>
          <cell r="CI110">
            <v>553229</v>
          </cell>
          <cell r="CJ110">
            <v>553229</v>
          </cell>
          <cell r="CK110">
            <v>0</v>
          </cell>
          <cell r="CL110">
            <v>0</v>
          </cell>
          <cell r="CM110">
            <v>0</v>
          </cell>
          <cell r="CN110">
            <v>0</v>
          </cell>
          <cell r="CO110">
            <v>0</v>
          </cell>
          <cell r="CP110">
            <v>0</v>
          </cell>
          <cell r="CQ110">
            <v>4987435</v>
          </cell>
          <cell r="CR110">
            <v>4768695</v>
          </cell>
          <cell r="CS110">
            <v>4569716</v>
          </cell>
          <cell r="CT110">
            <v>4469644</v>
          </cell>
          <cell r="CU110">
            <v>4381510</v>
          </cell>
          <cell r="CV110">
            <v>56133</v>
          </cell>
          <cell r="CW110">
            <v>0</v>
          </cell>
          <cell r="CX110">
            <v>0</v>
          </cell>
          <cell r="CY110">
            <v>0</v>
          </cell>
          <cell r="CZ110">
            <v>0</v>
          </cell>
          <cell r="DA110">
            <v>0</v>
          </cell>
          <cell r="DC110">
            <v>0</v>
          </cell>
          <cell r="DD110">
            <v>0</v>
          </cell>
          <cell r="DE110">
            <v>0</v>
          </cell>
          <cell r="DF110">
            <v>0</v>
          </cell>
          <cell r="DG110">
            <v>0</v>
          </cell>
          <cell r="DH110">
            <v>0</v>
          </cell>
          <cell r="DI110">
            <v>0</v>
          </cell>
          <cell r="DJ110">
            <v>0</v>
          </cell>
          <cell r="DK110">
            <v>0</v>
          </cell>
          <cell r="DL110">
            <v>0</v>
          </cell>
        </row>
        <row r="111">
          <cell r="A111">
            <v>1740</v>
          </cell>
          <cell r="B111" t="str">
            <v>Neder-Betuwe</v>
          </cell>
          <cell r="C111">
            <v>5</v>
          </cell>
          <cell r="D111">
            <v>36482</v>
          </cell>
          <cell r="E111">
            <v>18241</v>
          </cell>
          <cell r="F111">
            <v>0</v>
          </cell>
          <cell r="G111">
            <v>267003</v>
          </cell>
          <cell r="H111">
            <v>-28635</v>
          </cell>
          <cell r="I111">
            <v>-14126</v>
          </cell>
          <cell r="K111">
            <v>0</v>
          </cell>
          <cell r="L111">
            <v>80520</v>
          </cell>
          <cell r="M111">
            <v>75993</v>
          </cell>
          <cell r="N111">
            <v>0</v>
          </cell>
          <cell r="O111">
            <v>0</v>
          </cell>
          <cell r="P111">
            <v>0</v>
          </cell>
          <cell r="Q111">
            <v>0</v>
          </cell>
          <cell r="R111">
            <v>0</v>
          </cell>
          <cell r="S111">
            <v>0</v>
          </cell>
          <cell r="T111">
            <v>0</v>
          </cell>
          <cell r="U111">
            <v>0</v>
          </cell>
          <cell r="V111">
            <v>3000</v>
          </cell>
          <cell r="W111">
            <v>116627</v>
          </cell>
          <cell r="X111">
            <v>0</v>
          </cell>
          <cell r="Z111">
            <v>0</v>
          </cell>
          <cell r="AA111">
            <v>0</v>
          </cell>
          <cell r="AB111">
            <v>0</v>
          </cell>
          <cell r="AD111">
            <v>0</v>
          </cell>
          <cell r="AE111">
            <v>0</v>
          </cell>
          <cell r="AF111">
            <v>0</v>
          </cell>
          <cell r="AG111">
            <v>0</v>
          </cell>
          <cell r="AH111">
            <v>0</v>
          </cell>
          <cell r="AI111">
            <v>0</v>
          </cell>
          <cell r="AJ111">
            <v>0</v>
          </cell>
          <cell r="AK111">
            <v>0</v>
          </cell>
          <cell r="AM111">
            <v>0</v>
          </cell>
          <cell r="AN111">
            <v>0</v>
          </cell>
          <cell r="AO111">
            <v>0</v>
          </cell>
          <cell r="AP111">
            <v>0</v>
          </cell>
          <cell r="AQ111">
            <v>0</v>
          </cell>
          <cell r="AR111">
            <v>0</v>
          </cell>
          <cell r="AS111">
            <v>0</v>
          </cell>
          <cell r="AT111">
            <v>0</v>
          </cell>
          <cell r="AU111">
            <v>4740</v>
          </cell>
          <cell r="AV111">
            <v>0</v>
          </cell>
          <cell r="AW111">
            <v>0</v>
          </cell>
          <cell r="AX111">
            <v>0</v>
          </cell>
          <cell r="BA111">
            <v>0</v>
          </cell>
          <cell r="BC111">
            <v>0</v>
          </cell>
          <cell r="BD111">
            <v>8180</v>
          </cell>
          <cell r="BF111">
            <v>0</v>
          </cell>
          <cell r="BG111">
            <v>0</v>
          </cell>
          <cell r="BH111">
            <v>0</v>
          </cell>
          <cell r="BI111">
            <v>24045</v>
          </cell>
          <cell r="BJ111">
            <v>19793</v>
          </cell>
          <cell r="BK111">
            <v>19793</v>
          </cell>
          <cell r="BL111">
            <v>0</v>
          </cell>
          <cell r="BM111">
            <v>0</v>
          </cell>
          <cell r="BN111">
            <v>0</v>
          </cell>
          <cell r="BO111">
            <v>119661</v>
          </cell>
          <cell r="BP111">
            <v>6325.6</v>
          </cell>
          <cell r="BQ111">
            <v>11395.3488372093</v>
          </cell>
          <cell r="BR111">
            <v>0</v>
          </cell>
          <cell r="BS111">
            <v>0</v>
          </cell>
          <cell r="BT111">
            <v>47525</v>
          </cell>
          <cell r="BY111">
            <v>0</v>
          </cell>
          <cell r="BZ111">
            <v>0</v>
          </cell>
          <cell r="CA111">
            <v>0</v>
          </cell>
          <cell r="CB111">
            <v>0</v>
          </cell>
          <cell r="CC111">
            <v>1615479</v>
          </cell>
          <cell r="CD111">
            <v>9578405</v>
          </cell>
          <cell r="CE111">
            <v>755917</v>
          </cell>
          <cell r="CF111">
            <v>-33896</v>
          </cell>
          <cell r="CG111">
            <v>755917</v>
          </cell>
          <cell r="CH111">
            <v>755917</v>
          </cell>
          <cell r="CI111">
            <v>755917</v>
          </cell>
          <cell r="CJ111">
            <v>755917</v>
          </cell>
          <cell r="CK111">
            <v>0</v>
          </cell>
          <cell r="CL111">
            <v>0</v>
          </cell>
          <cell r="CM111">
            <v>0</v>
          </cell>
          <cell r="CN111">
            <v>0</v>
          </cell>
          <cell r="CO111">
            <v>0</v>
          </cell>
          <cell r="CP111">
            <v>0</v>
          </cell>
          <cell r="CQ111">
            <v>1343227</v>
          </cell>
          <cell r="CR111">
            <v>1243165</v>
          </cell>
          <cell r="CS111">
            <v>1224647</v>
          </cell>
          <cell r="CT111">
            <v>1183502</v>
          </cell>
          <cell r="CU111">
            <v>1159619</v>
          </cell>
          <cell r="CV111">
            <v>25983</v>
          </cell>
          <cell r="CW111">
            <v>0</v>
          </cell>
          <cell r="CX111">
            <v>0</v>
          </cell>
          <cell r="CY111">
            <v>0</v>
          </cell>
          <cell r="CZ111">
            <v>0</v>
          </cell>
          <cell r="DA111">
            <v>0</v>
          </cell>
          <cell r="DC111">
            <v>0</v>
          </cell>
          <cell r="DD111">
            <v>0</v>
          </cell>
          <cell r="DE111">
            <v>0</v>
          </cell>
          <cell r="DF111">
            <v>0</v>
          </cell>
          <cell r="DG111">
            <v>0</v>
          </cell>
          <cell r="DH111">
            <v>0</v>
          </cell>
          <cell r="DI111">
            <v>0</v>
          </cell>
          <cell r="DJ111">
            <v>0</v>
          </cell>
          <cell r="DK111">
            <v>0</v>
          </cell>
          <cell r="DL111">
            <v>0</v>
          </cell>
        </row>
        <row r="112">
          <cell r="A112">
            <v>304</v>
          </cell>
          <cell r="B112" t="str">
            <v>Neerijnen</v>
          </cell>
          <cell r="C112">
            <v>5</v>
          </cell>
          <cell r="D112">
            <v>-3950</v>
          </cell>
          <cell r="E112">
            <v>-1975</v>
          </cell>
          <cell r="F112">
            <v>0</v>
          </cell>
          <cell r="G112">
            <v>0</v>
          </cell>
          <cell r="H112">
            <v>-6131</v>
          </cell>
          <cell r="I112">
            <v>-246</v>
          </cell>
          <cell r="K112">
            <v>0</v>
          </cell>
          <cell r="L112">
            <v>39554</v>
          </cell>
          <cell r="M112">
            <v>43329</v>
          </cell>
          <cell r="N112">
            <v>0</v>
          </cell>
          <cell r="O112">
            <v>0</v>
          </cell>
          <cell r="P112">
            <v>0</v>
          </cell>
          <cell r="Q112">
            <v>0</v>
          </cell>
          <cell r="R112">
            <v>0</v>
          </cell>
          <cell r="S112">
            <v>0</v>
          </cell>
          <cell r="T112">
            <v>0</v>
          </cell>
          <cell r="U112">
            <v>0</v>
          </cell>
          <cell r="V112">
            <v>0</v>
          </cell>
          <cell r="W112">
            <v>40205</v>
          </cell>
          <cell r="X112">
            <v>0</v>
          </cell>
          <cell r="Z112">
            <v>0</v>
          </cell>
          <cell r="AA112">
            <v>0</v>
          </cell>
          <cell r="AB112">
            <v>0</v>
          </cell>
          <cell r="AD112">
            <v>0</v>
          </cell>
          <cell r="AE112">
            <v>0</v>
          </cell>
          <cell r="AF112">
            <v>0</v>
          </cell>
          <cell r="AG112">
            <v>0</v>
          </cell>
          <cell r="AH112">
            <v>0</v>
          </cell>
          <cell r="AI112">
            <v>0</v>
          </cell>
          <cell r="AJ112">
            <v>0</v>
          </cell>
          <cell r="AK112">
            <v>0</v>
          </cell>
          <cell r="AM112">
            <v>0</v>
          </cell>
          <cell r="AN112">
            <v>0</v>
          </cell>
          <cell r="AO112">
            <v>0</v>
          </cell>
          <cell r="AP112">
            <v>0</v>
          </cell>
          <cell r="AQ112">
            <v>0</v>
          </cell>
          <cell r="AR112">
            <v>0</v>
          </cell>
          <cell r="AS112">
            <v>0</v>
          </cell>
          <cell r="AT112">
            <v>0</v>
          </cell>
          <cell r="AU112">
            <v>0</v>
          </cell>
          <cell r="AV112">
            <v>0</v>
          </cell>
          <cell r="AW112">
            <v>0</v>
          </cell>
          <cell r="AX112">
            <v>0</v>
          </cell>
          <cell r="BA112">
            <v>0</v>
          </cell>
          <cell r="BC112">
            <v>0</v>
          </cell>
          <cell r="BD112">
            <v>21657</v>
          </cell>
          <cell r="BF112">
            <v>0</v>
          </cell>
          <cell r="BG112">
            <v>0</v>
          </cell>
          <cell r="BH112">
            <v>0</v>
          </cell>
          <cell r="BI112">
            <v>11113</v>
          </cell>
          <cell r="BJ112">
            <v>9147</v>
          </cell>
          <cell r="BK112">
            <v>9147</v>
          </cell>
          <cell r="BL112">
            <v>0</v>
          </cell>
          <cell r="BM112">
            <v>0</v>
          </cell>
          <cell r="BN112">
            <v>0</v>
          </cell>
          <cell r="BO112">
            <v>35023</v>
          </cell>
          <cell r="BP112">
            <v>1581.4</v>
          </cell>
          <cell r="BQ112">
            <v>2848.8372093023299</v>
          </cell>
          <cell r="BR112">
            <v>0</v>
          </cell>
          <cell r="BS112">
            <v>0</v>
          </cell>
          <cell r="BT112">
            <v>27968</v>
          </cell>
          <cell r="BY112">
            <v>0</v>
          </cell>
          <cell r="BZ112">
            <v>0</v>
          </cell>
          <cell r="CA112">
            <v>0</v>
          </cell>
          <cell r="CB112">
            <v>0</v>
          </cell>
          <cell r="CC112">
            <v>706829</v>
          </cell>
          <cell r="CD112">
            <v>4351557</v>
          </cell>
          <cell r="CE112">
            <v>111467</v>
          </cell>
          <cell r="CF112">
            <v>0</v>
          </cell>
          <cell r="CG112">
            <v>111467</v>
          </cell>
          <cell r="CH112">
            <v>111467</v>
          </cell>
          <cell r="CI112">
            <v>111467</v>
          </cell>
          <cell r="CJ112">
            <v>111467</v>
          </cell>
          <cell r="CK112">
            <v>0</v>
          </cell>
          <cell r="CL112">
            <v>0</v>
          </cell>
          <cell r="CM112">
            <v>0</v>
          </cell>
          <cell r="CN112">
            <v>0</v>
          </cell>
          <cell r="CO112">
            <v>0</v>
          </cell>
          <cell r="CP112">
            <v>-89</v>
          </cell>
          <cell r="CQ112">
            <v>1020614</v>
          </cell>
          <cell r="CR112">
            <v>965500</v>
          </cell>
          <cell r="CS112">
            <v>935243</v>
          </cell>
          <cell r="CT112">
            <v>926617</v>
          </cell>
          <cell r="CU112">
            <v>913948</v>
          </cell>
          <cell r="CV112">
            <v>-25787</v>
          </cell>
          <cell r="CW112">
            <v>0</v>
          </cell>
          <cell r="CX112">
            <v>0</v>
          </cell>
          <cell r="CY112">
            <v>0</v>
          </cell>
          <cell r="CZ112">
            <v>0</v>
          </cell>
          <cell r="DA112">
            <v>0</v>
          </cell>
          <cell r="DC112">
            <v>0</v>
          </cell>
          <cell r="DD112">
            <v>0</v>
          </cell>
          <cell r="DE112">
            <v>0</v>
          </cell>
          <cell r="DF112">
            <v>0</v>
          </cell>
          <cell r="DG112">
            <v>0</v>
          </cell>
          <cell r="DH112">
            <v>0</v>
          </cell>
          <cell r="DI112">
            <v>0</v>
          </cell>
          <cell r="DJ112">
            <v>0</v>
          </cell>
          <cell r="DK112">
            <v>0</v>
          </cell>
          <cell r="DL112">
            <v>0</v>
          </cell>
        </row>
        <row r="113">
          <cell r="A113">
            <v>267</v>
          </cell>
          <cell r="B113" t="str">
            <v>Nijkerk</v>
          </cell>
          <cell r="C113">
            <v>5</v>
          </cell>
          <cell r="D113">
            <v>-32291</v>
          </cell>
          <cell r="E113">
            <v>-16145</v>
          </cell>
          <cell r="F113">
            <v>0</v>
          </cell>
          <cell r="G113">
            <v>0</v>
          </cell>
          <cell r="H113">
            <v>0</v>
          </cell>
          <cell r="I113">
            <v>0</v>
          </cell>
          <cell r="K113">
            <v>0</v>
          </cell>
          <cell r="L113">
            <v>125823</v>
          </cell>
          <cell r="M113">
            <v>132035</v>
          </cell>
          <cell r="N113">
            <v>0</v>
          </cell>
          <cell r="O113">
            <v>0</v>
          </cell>
          <cell r="P113">
            <v>0</v>
          </cell>
          <cell r="Q113">
            <v>0</v>
          </cell>
          <cell r="R113">
            <v>0</v>
          </cell>
          <cell r="S113">
            <v>0</v>
          </cell>
          <cell r="T113">
            <v>0</v>
          </cell>
          <cell r="U113">
            <v>0</v>
          </cell>
          <cell r="V113">
            <v>3000</v>
          </cell>
          <cell r="W113">
            <v>171247</v>
          </cell>
          <cell r="X113">
            <v>0</v>
          </cell>
          <cell r="Z113">
            <v>0</v>
          </cell>
          <cell r="AA113">
            <v>0</v>
          </cell>
          <cell r="AB113">
            <v>0</v>
          </cell>
          <cell r="AD113">
            <v>0</v>
          </cell>
          <cell r="AE113">
            <v>0</v>
          </cell>
          <cell r="AF113">
            <v>0</v>
          </cell>
          <cell r="AG113">
            <v>0</v>
          </cell>
          <cell r="AH113">
            <v>0</v>
          </cell>
          <cell r="AI113">
            <v>0</v>
          </cell>
          <cell r="AJ113">
            <v>0</v>
          </cell>
          <cell r="AK113">
            <v>0</v>
          </cell>
          <cell r="AM113">
            <v>0</v>
          </cell>
          <cell r="AN113">
            <v>0</v>
          </cell>
          <cell r="AO113">
            <v>0</v>
          </cell>
          <cell r="AP113">
            <v>0</v>
          </cell>
          <cell r="AQ113">
            <v>0</v>
          </cell>
          <cell r="AR113">
            <v>0</v>
          </cell>
          <cell r="AS113">
            <v>0</v>
          </cell>
          <cell r="AT113">
            <v>0</v>
          </cell>
          <cell r="AU113">
            <v>0</v>
          </cell>
          <cell r="AV113">
            <v>0</v>
          </cell>
          <cell r="AW113">
            <v>0</v>
          </cell>
          <cell r="AX113">
            <v>0</v>
          </cell>
          <cell r="BA113">
            <v>0</v>
          </cell>
          <cell r="BC113">
            <v>0</v>
          </cell>
          <cell r="BD113">
            <v>14665</v>
          </cell>
          <cell r="BF113">
            <v>0</v>
          </cell>
          <cell r="BG113">
            <v>0</v>
          </cell>
          <cell r="BH113">
            <v>0</v>
          </cell>
          <cell r="BI113">
            <v>44947</v>
          </cell>
          <cell r="BJ113">
            <v>36998</v>
          </cell>
          <cell r="BK113">
            <v>36998</v>
          </cell>
          <cell r="BL113">
            <v>0</v>
          </cell>
          <cell r="BM113">
            <v>0</v>
          </cell>
          <cell r="BN113">
            <v>0</v>
          </cell>
          <cell r="BO113">
            <v>142523</v>
          </cell>
          <cell r="BP113">
            <v>23721</v>
          </cell>
          <cell r="BQ113">
            <v>42732.5581395349</v>
          </cell>
          <cell r="BR113">
            <v>0</v>
          </cell>
          <cell r="BS113">
            <v>0</v>
          </cell>
          <cell r="BT113">
            <v>67873</v>
          </cell>
          <cell r="BY113">
            <v>0</v>
          </cell>
          <cell r="BZ113">
            <v>0</v>
          </cell>
          <cell r="CA113">
            <v>0</v>
          </cell>
          <cell r="CB113">
            <v>0</v>
          </cell>
          <cell r="CC113">
            <v>2693901</v>
          </cell>
          <cell r="CD113">
            <v>14593397</v>
          </cell>
          <cell r="CE113">
            <v>1277094</v>
          </cell>
          <cell r="CF113">
            <v>0</v>
          </cell>
          <cell r="CG113">
            <v>1277094</v>
          </cell>
          <cell r="CH113">
            <v>1277094</v>
          </cell>
          <cell r="CI113">
            <v>1277094</v>
          </cell>
          <cell r="CJ113">
            <v>1277094</v>
          </cell>
          <cell r="CK113">
            <v>0</v>
          </cell>
          <cell r="CL113">
            <v>0</v>
          </cell>
          <cell r="CM113">
            <v>0</v>
          </cell>
          <cell r="CN113">
            <v>0</v>
          </cell>
          <cell r="CO113">
            <v>0</v>
          </cell>
          <cell r="CP113">
            <v>0</v>
          </cell>
          <cell r="CQ113">
            <v>1905687</v>
          </cell>
          <cell r="CR113">
            <v>1848796</v>
          </cell>
          <cell r="CS113">
            <v>1834425</v>
          </cell>
          <cell r="CT113">
            <v>1838481</v>
          </cell>
          <cell r="CU113">
            <v>1793955</v>
          </cell>
          <cell r="CV113">
            <v>-31866</v>
          </cell>
          <cell r="CW113">
            <v>0</v>
          </cell>
          <cell r="CX113">
            <v>0</v>
          </cell>
          <cell r="CY113">
            <v>0</v>
          </cell>
          <cell r="CZ113">
            <v>0</v>
          </cell>
          <cell r="DA113">
            <v>0</v>
          </cell>
          <cell r="DC113">
            <v>0</v>
          </cell>
          <cell r="DD113">
            <v>0</v>
          </cell>
          <cell r="DE113">
            <v>0</v>
          </cell>
          <cell r="DF113">
            <v>0</v>
          </cell>
          <cell r="DG113">
            <v>0</v>
          </cell>
          <cell r="DH113">
            <v>0</v>
          </cell>
          <cell r="DI113">
            <v>0</v>
          </cell>
          <cell r="DJ113">
            <v>0</v>
          </cell>
          <cell r="DK113">
            <v>0</v>
          </cell>
          <cell r="DL113">
            <v>0</v>
          </cell>
        </row>
        <row r="114">
          <cell r="A114">
            <v>268</v>
          </cell>
          <cell r="B114" t="str">
            <v>Nijmegen</v>
          </cell>
          <cell r="C114">
            <v>5</v>
          </cell>
          <cell r="D114">
            <v>865114</v>
          </cell>
          <cell r="E114">
            <v>432557</v>
          </cell>
          <cell r="F114">
            <v>0</v>
          </cell>
          <cell r="G114">
            <v>137208</v>
          </cell>
          <cell r="H114">
            <v>-137754</v>
          </cell>
          <cell r="I114">
            <v>-59299</v>
          </cell>
          <cell r="K114">
            <v>7500</v>
          </cell>
          <cell r="L114">
            <v>939018</v>
          </cell>
          <cell r="M114">
            <v>972481</v>
          </cell>
          <cell r="N114">
            <v>0</v>
          </cell>
          <cell r="O114">
            <v>0</v>
          </cell>
          <cell r="P114">
            <v>150000</v>
          </cell>
          <cell r="Q114">
            <v>0</v>
          </cell>
          <cell r="R114">
            <v>0</v>
          </cell>
          <cell r="S114">
            <v>1164076</v>
          </cell>
          <cell r="T114">
            <v>1164076</v>
          </cell>
          <cell r="U114">
            <v>1164076</v>
          </cell>
          <cell r="V114">
            <v>12000</v>
          </cell>
          <cell r="W114">
            <v>523654</v>
          </cell>
          <cell r="X114">
            <v>0</v>
          </cell>
          <cell r="Z114">
            <v>0</v>
          </cell>
          <cell r="AA114">
            <v>36000</v>
          </cell>
          <cell r="AB114">
            <v>0</v>
          </cell>
          <cell r="AD114">
            <v>386231</v>
          </cell>
          <cell r="AE114">
            <v>0</v>
          </cell>
          <cell r="AF114">
            <v>0</v>
          </cell>
          <cell r="AG114">
            <v>0</v>
          </cell>
          <cell r="AH114">
            <v>0</v>
          </cell>
          <cell r="AI114">
            <v>0</v>
          </cell>
          <cell r="AJ114">
            <v>0</v>
          </cell>
          <cell r="AK114">
            <v>605273</v>
          </cell>
          <cell r="AM114">
            <v>0</v>
          </cell>
          <cell r="AN114">
            <v>0</v>
          </cell>
          <cell r="AO114">
            <v>0</v>
          </cell>
          <cell r="AP114">
            <v>0</v>
          </cell>
          <cell r="AQ114">
            <v>0</v>
          </cell>
          <cell r="AR114">
            <v>0</v>
          </cell>
          <cell r="AS114">
            <v>0</v>
          </cell>
          <cell r="AT114">
            <v>20000</v>
          </cell>
          <cell r="AU114">
            <v>21330</v>
          </cell>
          <cell r="AV114">
            <v>10249480.083199199</v>
          </cell>
          <cell r="AW114">
            <v>80000</v>
          </cell>
          <cell r="AX114">
            <v>0</v>
          </cell>
          <cell r="BA114">
            <v>0</v>
          </cell>
          <cell r="BC114">
            <v>0</v>
          </cell>
          <cell r="BD114">
            <v>60924</v>
          </cell>
          <cell r="BF114">
            <v>0</v>
          </cell>
          <cell r="BG114">
            <v>0</v>
          </cell>
          <cell r="BH114">
            <v>0</v>
          </cell>
          <cell r="BI114">
            <v>363163</v>
          </cell>
          <cell r="BJ114">
            <v>298937</v>
          </cell>
          <cell r="BK114">
            <v>298937</v>
          </cell>
          <cell r="BL114">
            <v>0</v>
          </cell>
          <cell r="BM114">
            <v>0</v>
          </cell>
          <cell r="BN114">
            <v>218680</v>
          </cell>
          <cell r="BO114">
            <v>410545</v>
          </cell>
          <cell r="BP114">
            <v>71163</v>
          </cell>
          <cell r="BQ114">
            <v>128197.67441860501</v>
          </cell>
          <cell r="BR114">
            <v>35000</v>
          </cell>
          <cell r="BS114">
            <v>0</v>
          </cell>
          <cell r="BT114">
            <v>311853</v>
          </cell>
          <cell r="BY114">
            <v>3282160.1947428901</v>
          </cell>
          <cell r="BZ114">
            <v>3804762.2534568999</v>
          </cell>
          <cell r="CA114">
            <v>3849406.6504324698</v>
          </cell>
          <cell r="CB114">
            <v>3975461.4183634799</v>
          </cell>
          <cell r="CC114">
            <v>12578255</v>
          </cell>
          <cell r="CD114">
            <v>155289463</v>
          </cell>
          <cell r="CE114">
            <v>6559063</v>
          </cell>
          <cell r="CF114">
            <v>0</v>
          </cell>
          <cell r="CG114">
            <v>6559063</v>
          </cell>
          <cell r="CH114">
            <v>6559063</v>
          </cell>
          <cell r="CI114">
            <v>6559063</v>
          </cell>
          <cell r="CJ114">
            <v>6559063</v>
          </cell>
          <cell r="CK114">
            <v>60271430</v>
          </cell>
          <cell r="CL114">
            <v>60242746</v>
          </cell>
          <cell r="CM114">
            <v>60242282</v>
          </cell>
          <cell r="CN114">
            <v>60241262</v>
          </cell>
          <cell r="CO114">
            <v>60242676</v>
          </cell>
          <cell r="CP114">
            <v>-21122</v>
          </cell>
          <cell r="CQ114">
            <v>23820168</v>
          </cell>
          <cell r="CR114">
            <v>22753894</v>
          </cell>
          <cell r="CS114">
            <v>22199688</v>
          </cell>
          <cell r="CT114">
            <v>21737064</v>
          </cell>
          <cell r="CU114">
            <v>21180542</v>
          </cell>
          <cell r="CV114">
            <v>682803</v>
          </cell>
          <cell r="CW114">
            <v>0</v>
          </cell>
          <cell r="CX114">
            <v>0</v>
          </cell>
          <cell r="CY114">
            <v>0</v>
          </cell>
          <cell r="CZ114">
            <v>0</v>
          </cell>
          <cell r="DA114">
            <v>0</v>
          </cell>
          <cell r="DC114">
            <v>0</v>
          </cell>
          <cell r="DD114">
            <v>0</v>
          </cell>
          <cell r="DE114">
            <v>0</v>
          </cell>
          <cell r="DF114">
            <v>0</v>
          </cell>
          <cell r="DG114">
            <v>0</v>
          </cell>
          <cell r="DH114">
            <v>0</v>
          </cell>
          <cell r="DI114">
            <v>0</v>
          </cell>
          <cell r="DJ114">
            <v>0</v>
          </cell>
          <cell r="DK114">
            <v>0</v>
          </cell>
          <cell r="DL114">
            <v>0</v>
          </cell>
        </row>
        <row r="115">
          <cell r="A115">
            <v>302</v>
          </cell>
          <cell r="B115" t="str">
            <v>Nunspeet</v>
          </cell>
          <cell r="C115">
            <v>5</v>
          </cell>
          <cell r="D115">
            <v>-51813</v>
          </cell>
          <cell r="E115">
            <v>-25906</v>
          </cell>
          <cell r="F115">
            <v>0</v>
          </cell>
          <cell r="G115">
            <v>0</v>
          </cell>
          <cell r="H115">
            <v>-10321</v>
          </cell>
          <cell r="I115">
            <v>-1918</v>
          </cell>
          <cell r="K115">
            <v>0</v>
          </cell>
          <cell r="L115">
            <v>78789</v>
          </cell>
          <cell r="M115">
            <v>68565</v>
          </cell>
          <cell r="N115">
            <v>0</v>
          </cell>
          <cell r="O115">
            <v>0</v>
          </cell>
          <cell r="P115">
            <v>0</v>
          </cell>
          <cell r="Q115">
            <v>0</v>
          </cell>
          <cell r="R115">
            <v>0</v>
          </cell>
          <cell r="S115">
            <v>0</v>
          </cell>
          <cell r="T115">
            <v>0</v>
          </cell>
          <cell r="U115">
            <v>0</v>
          </cell>
          <cell r="V115">
            <v>9000</v>
          </cell>
          <cell r="W115">
            <v>121681</v>
          </cell>
          <cell r="X115">
            <v>0</v>
          </cell>
          <cell r="Z115">
            <v>0</v>
          </cell>
          <cell r="AA115">
            <v>0</v>
          </cell>
          <cell r="AB115">
            <v>0</v>
          </cell>
          <cell r="AD115">
            <v>0</v>
          </cell>
          <cell r="AE115">
            <v>0</v>
          </cell>
          <cell r="AF115">
            <v>0</v>
          </cell>
          <cell r="AG115">
            <v>0</v>
          </cell>
          <cell r="AH115">
            <v>0</v>
          </cell>
          <cell r="AI115">
            <v>0</v>
          </cell>
          <cell r="AJ115">
            <v>0</v>
          </cell>
          <cell r="AK115">
            <v>0</v>
          </cell>
          <cell r="AM115">
            <v>0</v>
          </cell>
          <cell r="AN115">
            <v>0</v>
          </cell>
          <cell r="AO115">
            <v>0</v>
          </cell>
          <cell r="AP115">
            <v>0</v>
          </cell>
          <cell r="AQ115">
            <v>0</v>
          </cell>
          <cell r="AR115">
            <v>0</v>
          </cell>
          <cell r="AS115">
            <v>0</v>
          </cell>
          <cell r="AT115">
            <v>0</v>
          </cell>
          <cell r="AU115">
            <v>0</v>
          </cell>
          <cell r="AV115">
            <v>0</v>
          </cell>
          <cell r="AW115">
            <v>0</v>
          </cell>
          <cell r="AX115">
            <v>0</v>
          </cell>
          <cell r="BA115">
            <v>0</v>
          </cell>
          <cell r="BC115">
            <v>0</v>
          </cell>
          <cell r="BD115">
            <v>9440</v>
          </cell>
          <cell r="BF115">
            <v>0</v>
          </cell>
          <cell r="BG115">
            <v>0</v>
          </cell>
          <cell r="BH115">
            <v>0</v>
          </cell>
          <cell r="BI115">
            <v>29638</v>
          </cell>
          <cell r="BJ115">
            <v>24397</v>
          </cell>
          <cell r="BK115">
            <v>24397</v>
          </cell>
          <cell r="BL115">
            <v>0</v>
          </cell>
          <cell r="BM115">
            <v>0</v>
          </cell>
          <cell r="BN115">
            <v>0</v>
          </cell>
          <cell r="BO115">
            <v>74423</v>
          </cell>
          <cell r="BP115">
            <v>7907</v>
          </cell>
          <cell r="BQ115">
            <v>14244.186046511601</v>
          </cell>
          <cell r="BR115">
            <v>0</v>
          </cell>
          <cell r="BS115">
            <v>0</v>
          </cell>
          <cell r="BT115">
            <v>52909</v>
          </cell>
          <cell r="BY115">
            <v>0</v>
          </cell>
          <cell r="BZ115">
            <v>0</v>
          </cell>
          <cell r="CA115">
            <v>0</v>
          </cell>
          <cell r="CB115">
            <v>0</v>
          </cell>
          <cell r="CC115">
            <v>2073654</v>
          </cell>
          <cell r="CD115">
            <v>13001996</v>
          </cell>
          <cell r="CE115">
            <v>806509</v>
          </cell>
          <cell r="CF115">
            <v>-4626</v>
          </cell>
          <cell r="CG115">
            <v>806509</v>
          </cell>
          <cell r="CH115">
            <v>806509</v>
          </cell>
          <cell r="CI115">
            <v>806509</v>
          </cell>
          <cell r="CJ115">
            <v>806509</v>
          </cell>
          <cell r="CK115">
            <v>0</v>
          </cell>
          <cell r="CL115">
            <v>0</v>
          </cell>
          <cell r="CM115">
            <v>0</v>
          </cell>
          <cell r="CN115">
            <v>0</v>
          </cell>
          <cell r="CO115">
            <v>0</v>
          </cell>
          <cell r="CP115">
            <v>0</v>
          </cell>
          <cell r="CQ115">
            <v>3677728</v>
          </cell>
          <cell r="CR115">
            <v>3460231</v>
          </cell>
          <cell r="CS115">
            <v>3360096</v>
          </cell>
          <cell r="CT115">
            <v>3303303</v>
          </cell>
          <cell r="CU115">
            <v>3219564</v>
          </cell>
          <cell r="CV115">
            <v>-36075</v>
          </cell>
          <cell r="CW115">
            <v>0</v>
          </cell>
          <cell r="CX115">
            <v>0</v>
          </cell>
          <cell r="CY115">
            <v>0</v>
          </cell>
          <cell r="CZ115">
            <v>0</v>
          </cell>
          <cell r="DA115">
            <v>0</v>
          </cell>
          <cell r="DC115">
            <v>0</v>
          </cell>
          <cell r="DD115">
            <v>0</v>
          </cell>
          <cell r="DE115">
            <v>0</v>
          </cell>
          <cell r="DF115">
            <v>0</v>
          </cell>
          <cell r="DG115">
            <v>0</v>
          </cell>
          <cell r="DH115">
            <v>0</v>
          </cell>
          <cell r="DI115">
            <v>0</v>
          </cell>
          <cell r="DJ115">
            <v>0</v>
          </cell>
          <cell r="DK115">
            <v>0</v>
          </cell>
          <cell r="DL115">
            <v>0</v>
          </cell>
        </row>
        <row r="116">
          <cell r="A116">
            <v>269</v>
          </cell>
          <cell r="B116" t="str">
            <v>Oldebroek</v>
          </cell>
          <cell r="C116">
            <v>5</v>
          </cell>
          <cell r="D116">
            <v>-3685</v>
          </cell>
          <cell r="E116">
            <v>-1842</v>
          </cell>
          <cell r="F116">
            <v>0</v>
          </cell>
          <cell r="G116">
            <v>0</v>
          </cell>
          <cell r="H116">
            <v>0</v>
          </cell>
          <cell r="I116">
            <v>0</v>
          </cell>
          <cell r="K116">
            <v>0</v>
          </cell>
          <cell r="L116">
            <v>63926</v>
          </cell>
          <cell r="M116">
            <v>63137</v>
          </cell>
          <cell r="N116">
            <v>0</v>
          </cell>
          <cell r="O116">
            <v>0</v>
          </cell>
          <cell r="P116">
            <v>0</v>
          </cell>
          <cell r="Q116">
            <v>0</v>
          </cell>
          <cell r="R116">
            <v>0</v>
          </cell>
          <cell r="S116">
            <v>0</v>
          </cell>
          <cell r="T116">
            <v>0</v>
          </cell>
          <cell r="U116">
            <v>0</v>
          </cell>
          <cell r="V116">
            <v>0</v>
          </cell>
          <cell r="W116">
            <v>90108</v>
          </cell>
          <cell r="X116">
            <v>0</v>
          </cell>
          <cell r="Z116">
            <v>0</v>
          </cell>
          <cell r="AA116">
            <v>0</v>
          </cell>
          <cell r="AB116">
            <v>0</v>
          </cell>
          <cell r="AD116">
            <v>0</v>
          </cell>
          <cell r="AE116">
            <v>0</v>
          </cell>
          <cell r="AF116">
            <v>0</v>
          </cell>
          <cell r="AG116">
            <v>0</v>
          </cell>
          <cell r="AH116">
            <v>0</v>
          </cell>
          <cell r="AI116">
            <v>0</v>
          </cell>
          <cell r="AJ116">
            <v>0</v>
          </cell>
          <cell r="AK116">
            <v>0</v>
          </cell>
          <cell r="AM116">
            <v>0</v>
          </cell>
          <cell r="AN116">
            <v>0</v>
          </cell>
          <cell r="AO116">
            <v>0</v>
          </cell>
          <cell r="AP116">
            <v>0</v>
          </cell>
          <cell r="AQ116">
            <v>0</v>
          </cell>
          <cell r="AR116">
            <v>0</v>
          </cell>
          <cell r="AS116">
            <v>0</v>
          </cell>
          <cell r="AT116">
            <v>0</v>
          </cell>
          <cell r="AU116">
            <v>0</v>
          </cell>
          <cell r="AV116">
            <v>0</v>
          </cell>
          <cell r="AW116">
            <v>0</v>
          </cell>
          <cell r="AX116">
            <v>0</v>
          </cell>
          <cell r="BA116">
            <v>0</v>
          </cell>
          <cell r="BC116">
            <v>0</v>
          </cell>
          <cell r="BD116">
            <v>8164</v>
          </cell>
          <cell r="BF116">
            <v>0</v>
          </cell>
          <cell r="BG116">
            <v>0</v>
          </cell>
          <cell r="BH116">
            <v>0</v>
          </cell>
          <cell r="BI116">
            <v>23825</v>
          </cell>
          <cell r="BJ116">
            <v>19612</v>
          </cell>
          <cell r="BK116">
            <v>19612</v>
          </cell>
          <cell r="BL116">
            <v>0</v>
          </cell>
          <cell r="BM116">
            <v>0</v>
          </cell>
          <cell r="BN116">
            <v>0</v>
          </cell>
          <cell r="BO116">
            <v>32104</v>
          </cell>
          <cell r="BP116">
            <v>1581.4</v>
          </cell>
          <cell r="BQ116">
            <v>2848.8372093023299</v>
          </cell>
          <cell r="BR116">
            <v>0</v>
          </cell>
          <cell r="BS116">
            <v>0</v>
          </cell>
          <cell r="BT116">
            <v>42458</v>
          </cell>
          <cell r="BY116">
            <v>0</v>
          </cell>
          <cell r="BZ116">
            <v>0</v>
          </cell>
          <cell r="CA116">
            <v>0</v>
          </cell>
          <cell r="CB116">
            <v>0</v>
          </cell>
          <cell r="CC116">
            <v>1665736</v>
          </cell>
          <cell r="CD116">
            <v>9710448</v>
          </cell>
          <cell r="CE116">
            <v>803364</v>
          </cell>
          <cell r="CF116">
            <v>0</v>
          </cell>
          <cell r="CG116">
            <v>803364</v>
          </cell>
          <cell r="CH116">
            <v>803364</v>
          </cell>
          <cell r="CI116">
            <v>803364</v>
          </cell>
          <cell r="CJ116">
            <v>803364</v>
          </cell>
          <cell r="CK116">
            <v>0</v>
          </cell>
          <cell r="CL116">
            <v>0</v>
          </cell>
          <cell r="CM116">
            <v>0</v>
          </cell>
          <cell r="CN116">
            <v>0</v>
          </cell>
          <cell r="CO116">
            <v>0</v>
          </cell>
          <cell r="CP116">
            <v>0</v>
          </cell>
          <cell r="CQ116">
            <v>2175220</v>
          </cell>
          <cell r="CR116">
            <v>2080163</v>
          </cell>
          <cell r="CS116">
            <v>2051212</v>
          </cell>
          <cell r="CT116">
            <v>1968530</v>
          </cell>
          <cell r="CU116">
            <v>1873587</v>
          </cell>
          <cell r="CV116">
            <v>-58799</v>
          </cell>
          <cell r="CW116">
            <v>0</v>
          </cell>
          <cell r="CX116">
            <v>0</v>
          </cell>
          <cell r="CY116">
            <v>0</v>
          </cell>
          <cell r="CZ116">
            <v>0</v>
          </cell>
          <cell r="DA116">
            <v>0</v>
          </cell>
          <cell r="DC116">
            <v>0</v>
          </cell>
          <cell r="DD116">
            <v>0</v>
          </cell>
          <cell r="DE116">
            <v>0</v>
          </cell>
          <cell r="DF116">
            <v>0</v>
          </cell>
          <cell r="DG116">
            <v>0</v>
          </cell>
          <cell r="DH116">
            <v>0</v>
          </cell>
          <cell r="DI116">
            <v>0</v>
          </cell>
          <cell r="DJ116">
            <v>0</v>
          </cell>
          <cell r="DK116">
            <v>0</v>
          </cell>
          <cell r="DL116">
            <v>0</v>
          </cell>
        </row>
        <row r="117">
          <cell r="A117">
            <v>1586</v>
          </cell>
          <cell r="B117" t="str">
            <v>Oost Gelre</v>
          </cell>
          <cell r="C117">
            <v>5</v>
          </cell>
          <cell r="D117">
            <v>-6710</v>
          </cell>
          <cell r="E117">
            <v>-3355</v>
          </cell>
          <cell r="F117">
            <v>0</v>
          </cell>
          <cell r="G117">
            <v>0</v>
          </cell>
          <cell r="H117">
            <v>-22118</v>
          </cell>
          <cell r="I117">
            <v>-8472</v>
          </cell>
          <cell r="K117">
            <v>0</v>
          </cell>
          <cell r="L117">
            <v>78789</v>
          </cell>
          <cell r="M117">
            <v>74279</v>
          </cell>
          <cell r="N117">
            <v>0</v>
          </cell>
          <cell r="O117">
            <v>0</v>
          </cell>
          <cell r="P117">
            <v>0</v>
          </cell>
          <cell r="Q117">
            <v>0</v>
          </cell>
          <cell r="R117">
            <v>0</v>
          </cell>
          <cell r="S117">
            <v>0</v>
          </cell>
          <cell r="T117">
            <v>0</v>
          </cell>
          <cell r="U117">
            <v>0</v>
          </cell>
          <cell r="V117">
            <v>0</v>
          </cell>
          <cell r="W117">
            <v>129067</v>
          </cell>
          <cell r="X117">
            <v>0</v>
          </cell>
          <cell r="Z117">
            <v>0</v>
          </cell>
          <cell r="AA117">
            <v>0</v>
          </cell>
          <cell r="AB117">
            <v>0</v>
          </cell>
          <cell r="AD117">
            <v>0</v>
          </cell>
          <cell r="AE117">
            <v>0</v>
          </cell>
          <cell r="AF117">
            <v>0</v>
          </cell>
          <cell r="AG117">
            <v>0</v>
          </cell>
          <cell r="AH117">
            <v>0</v>
          </cell>
          <cell r="AI117">
            <v>0</v>
          </cell>
          <cell r="AJ117">
            <v>0</v>
          </cell>
          <cell r="AK117">
            <v>0</v>
          </cell>
          <cell r="AM117">
            <v>0</v>
          </cell>
          <cell r="AN117">
            <v>0</v>
          </cell>
          <cell r="AO117">
            <v>0</v>
          </cell>
          <cell r="AP117">
            <v>0</v>
          </cell>
          <cell r="AQ117">
            <v>0</v>
          </cell>
          <cell r="AR117">
            <v>0</v>
          </cell>
          <cell r="AS117">
            <v>0</v>
          </cell>
          <cell r="AT117">
            <v>0</v>
          </cell>
          <cell r="AU117">
            <v>0</v>
          </cell>
          <cell r="AV117">
            <v>0</v>
          </cell>
          <cell r="AW117">
            <v>0</v>
          </cell>
          <cell r="AX117">
            <v>0</v>
          </cell>
          <cell r="BA117">
            <v>0</v>
          </cell>
          <cell r="BC117">
            <v>0</v>
          </cell>
          <cell r="BD117">
            <v>10403</v>
          </cell>
          <cell r="BF117">
            <v>0</v>
          </cell>
          <cell r="BG117">
            <v>0</v>
          </cell>
          <cell r="BH117">
            <v>0</v>
          </cell>
          <cell r="BI117">
            <v>41062</v>
          </cell>
          <cell r="BJ117">
            <v>33800</v>
          </cell>
          <cell r="BK117">
            <v>33800</v>
          </cell>
          <cell r="BL117">
            <v>0</v>
          </cell>
          <cell r="BM117">
            <v>0</v>
          </cell>
          <cell r="BN117">
            <v>0</v>
          </cell>
          <cell r="BO117">
            <v>125985</v>
          </cell>
          <cell r="BP117">
            <v>0</v>
          </cell>
          <cell r="BQ117">
            <v>0</v>
          </cell>
          <cell r="BR117">
            <v>0</v>
          </cell>
          <cell r="BS117">
            <v>0</v>
          </cell>
          <cell r="BT117">
            <v>48142</v>
          </cell>
          <cell r="BY117">
            <v>0</v>
          </cell>
          <cell r="BZ117">
            <v>0</v>
          </cell>
          <cell r="CA117">
            <v>0</v>
          </cell>
          <cell r="CB117">
            <v>0</v>
          </cell>
          <cell r="CC117">
            <v>2289463</v>
          </cell>
          <cell r="CD117">
            <v>20180370</v>
          </cell>
          <cell r="CE117">
            <v>5127286</v>
          </cell>
          <cell r="CF117">
            <v>-20600</v>
          </cell>
          <cell r="CG117">
            <v>5127286</v>
          </cell>
          <cell r="CH117">
            <v>5127286</v>
          </cell>
          <cell r="CI117">
            <v>5127286</v>
          </cell>
          <cell r="CJ117">
            <v>5127286</v>
          </cell>
          <cell r="CK117">
            <v>0</v>
          </cell>
          <cell r="CL117">
            <v>0</v>
          </cell>
          <cell r="CM117">
            <v>0</v>
          </cell>
          <cell r="CN117">
            <v>0</v>
          </cell>
          <cell r="CO117">
            <v>0</v>
          </cell>
          <cell r="CP117">
            <v>0</v>
          </cell>
          <cell r="CQ117">
            <v>6253956</v>
          </cell>
          <cell r="CR117">
            <v>5861300</v>
          </cell>
          <cell r="CS117">
            <v>5621234</v>
          </cell>
          <cell r="CT117">
            <v>5377186</v>
          </cell>
          <cell r="CU117">
            <v>5230925</v>
          </cell>
          <cell r="CV117">
            <v>372</v>
          </cell>
          <cell r="CW117">
            <v>0</v>
          </cell>
          <cell r="CX117">
            <v>0</v>
          </cell>
          <cell r="CY117">
            <v>0</v>
          </cell>
          <cell r="CZ117">
            <v>0</v>
          </cell>
          <cell r="DA117">
            <v>0</v>
          </cell>
          <cell r="DC117">
            <v>0</v>
          </cell>
          <cell r="DD117">
            <v>0</v>
          </cell>
          <cell r="DE117">
            <v>0</v>
          </cell>
          <cell r="DF117">
            <v>0</v>
          </cell>
          <cell r="DG117">
            <v>0</v>
          </cell>
          <cell r="DH117">
            <v>0</v>
          </cell>
          <cell r="DI117">
            <v>0</v>
          </cell>
          <cell r="DJ117">
            <v>0</v>
          </cell>
          <cell r="DK117">
            <v>0</v>
          </cell>
          <cell r="DL117">
            <v>0</v>
          </cell>
        </row>
        <row r="118">
          <cell r="A118">
            <v>1509</v>
          </cell>
          <cell r="B118" t="str">
            <v>Oude IJsselstreek</v>
          </cell>
          <cell r="C118">
            <v>5</v>
          </cell>
          <cell r="D118">
            <v>-42575</v>
          </cell>
          <cell r="E118">
            <v>-21287</v>
          </cell>
          <cell r="F118">
            <v>0</v>
          </cell>
          <cell r="G118">
            <v>0</v>
          </cell>
          <cell r="H118">
            <v>-55661</v>
          </cell>
          <cell r="I118">
            <v>-15787</v>
          </cell>
          <cell r="K118">
            <v>0</v>
          </cell>
          <cell r="L118">
            <v>163924</v>
          </cell>
          <cell r="M118">
            <v>166818</v>
          </cell>
          <cell r="N118">
            <v>0</v>
          </cell>
          <cell r="O118">
            <v>0</v>
          </cell>
          <cell r="P118">
            <v>0</v>
          </cell>
          <cell r="Q118">
            <v>0</v>
          </cell>
          <cell r="R118">
            <v>0</v>
          </cell>
          <cell r="S118">
            <v>0</v>
          </cell>
          <cell r="T118">
            <v>0</v>
          </cell>
          <cell r="U118">
            <v>0</v>
          </cell>
          <cell r="V118">
            <v>3000</v>
          </cell>
          <cell r="W118">
            <v>121222</v>
          </cell>
          <cell r="X118">
            <v>0</v>
          </cell>
          <cell r="Z118">
            <v>0</v>
          </cell>
          <cell r="AA118">
            <v>0</v>
          </cell>
          <cell r="AB118">
            <v>0</v>
          </cell>
          <cell r="AD118">
            <v>78224</v>
          </cell>
          <cell r="AE118">
            <v>0</v>
          </cell>
          <cell r="AF118">
            <v>0</v>
          </cell>
          <cell r="AG118">
            <v>0</v>
          </cell>
          <cell r="AH118">
            <v>0</v>
          </cell>
          <cell r="AI118">
            <v>0</v>
          </cell>
          <cell r="AJ118">
            <v>0</v>
          </cell>
          <cell r="AK118">
            <v>0</v>
          </cell>
          <cell r="AM118">
            <v>0</v>
          </cell>
          <cell r="AN118">
            <v>0</v>
          </cell>
          <cell r="AO118">
            <v>0</v>
          </cell>
          <cell r="AP118">
            <v>0</v>
          </cell>
          <cell r="AQ118">
            <v>0</v>
          </cell>
          <cell r="AR118">
            <v>0</v>
          </cell>
          <cell r="AS118">
            <v>0</v>
          </cell>
          <cell r="AT118">
            <v>0</v>
          </cell>
          <cell r="AU118">
            <v>7110</v>
          </cell>
          <cell r="AV118">
            <v>0</v>
          </cell>
          <cell r="AW118">
            <v>0</v>
          </cell>
          <cell r="AX118">
            <v>0</v>
          </cell>
          <cell r="BA118">
            <v>0</v>
          </cell>
          <cell r="BC118">
            <v>0</v>
          </cell>
          <cell r="BD118">
            <v>13890</v>
          </cell>
          <cell r="BF118">
            <v>0</v>
          </cell>
          <cell r="BG118">
            <v>0</v>
          </cell>
          <cell r="BH118">
            <v>0</v>
          </cell>
          <cell r="BI118">
            <v>68647</v>
          </cell>
          <cell r="BJ118">
            <v>56506</v>
          </cell>
          <cell r="BK118">
            <v>56506</v>
          </cell>
          <cell r="BL118">
            <v>0</v>
          </cell>
          <cell r="BM118">
            <v>0</v>
          </cell>
          <cell r="BN118">
            <v>0</v>
          </cell>
          <cell r="BO118">
            <v>130363</v>
          </cell>
          <cell r="BP118">
            <v>11069.8</v>
          </cell>
          <cell r="BQ118">
            <v>19941.8604651163</v>
          </cell>
          <cell r="BR118">
            <v>0</v>
          </cell>
          <cell r="BS118">
            <v>0</v>
          </cell>
          <cell r="BT118">
            <v>66730</v>
          </cell>
          <cell r="BY118">
            <v>0</v>
          </cell>
          <cell r="BZ118">
            <v>0</v>
          </cell>
          <cell r="CA118">
            <v>0</v>
          </cell>
          <cell r="CB118">
            <v>0</v>
          </cell>
          <cell r="CC118">
            <v>3697783</v>
          </cell>
          <cell r="CD118">
            <v>20724176</v>
          </cell>
          <cell r="CE118">
            <v>1395317</v>
          </cell>
          <cell r="CF118">
            <v>-20597</v>
          </cell>
          <cell r="CG118">
            <v>1395317</v>
          </cell>
          <cell r="CH118">
            <v>1395317</v>
          </cell>
          <cell r="CI118">
            <v>1395317</v>
          </cell>
          <cell r="CJ118">
            <v>1395317</v>
          </cell>
          <cell r="CK118">
            <v>0</v>
          </cell>
          <cell r="CL118">
            <v>0</v>
          </cell>
          <cell r="CM118">
            <v>0</v>
          </cell>
          <cell r="CN118">
            <v>0</v>
          </cell>
          <cell r="CO118">
            <v>0</v>
          </cell>
          <cell r="CP118">
            <v>-2631</v>
          </cell>
          <cell r="CQ118">
            <v>4927646</v>
          </cell>
          <cell r="CR118">
            <v>4663093</v>
          </cell>
          <cell r="CS118">
            <v>4470618</v>
          </cell>
          <cell r="CT118">
            <v>4373718</v>
          </cell>
          <cell r="CU118">
            <v>4276968</v>
          </cell>
          <cell r="CV118">
            <v>10792</v>
          </cell>
          <cell r="CW118">
            <v>0</v>
          </cell>
          <cell r="CX118">
            <v>0</v>
          </cell>
          <cell r="CY118">
            <v>0</v>
          </cell>
          <cell r="CZ118">
            <v>0</v>
          </cell>
          <cell r="DA118">
            <v>0</v>
          </cell>
          <cell r="DC118">
            <v>0</v>
          </cell>
          <cell r="DD118">
            <v>0</v>
          </cell>
          <cell r="DE118">
            <v>0</v>
          </cell>
          <cell r="DF118">
            <v>0</v>
          </cell>
          <cell r="DG118">
            <v>0</v>
          </cell>
          <cell r="DH118">
            <v>0</v>
          </cell>
          <cell r="DI118">
            <v>0</v>
          </cell>
          <cell r="DJ118">
            <v>0</v>
          </cell>
          <cell r="DK118">
            <v>0</v>
          </cell>
          <cell r="DL118">
            <v>0</v>
          </cell>
        </row>
        <row r="119">
          <cell r="A119">
            <v>1734</v>
          </cell>
          <cell r="B119" t="str">
            <v>Overbetuwe</v>
          </cell>
          <cell r="C119">
            <v>5</v>
          </cell>
          <cell r="D119">
            <v>-57400</v>
          </cell>
          <cell r="E119">
            <v>-28700</v>
          </cell>
          <cell r="F119">
            <v>0</v>
          </cell>
          <cell r="G119">
            <v>402821</v>
          </cell>
          <cell r="H119">
            <v>-71297</v>
          </cell>
          <cell r="I119">
            <v>-54173</v>
          </cell>
          <cell r="K119">
            <v>0</v>
          </cell>
          <cell r="L119">
            <v>171306</v>
          </cell>
          <cell r="M119">
            <v>157485</v>
          </cell>
          <cell r="N119">
            <v>0</v>
          </cell>
          <cell r="O119">
            <v>0</v>
          </cell>
          <cell r="P119">
            <v>0</v>
          </cell>
          <cell r="Q119">
            <v>0</v>
          </cell>
          <cell r="R119">
            <v>0</v>
          </cell>
          <cell r="S119">
            <v>0</v>
          </cell>
          <cell r="T119">
            <v>0</v>
          </cell>
          <cell r="U119">
            <v>0</v>
          </cell>
          <cell r="V119">
            <v>0</v>
          </cell>
          <cell r="W119">
            <v>195933</v>
          </cell>
          <cell r="X119">
            <v>0</v>
          </cell>
          <cell r="Z119">
            <v>0</v>
          </cell>
          <cell r="AA119">
            <v>0</v>
          </cell>
          <cell r="AB119">
            <v>0</v>
          </cell>
          <cell r="AD119">
            <v>0</v>
          </cell>
          <cell r="AE119">
            <v>0</v>
          </cell>
          <cell r="AF119">
            <v>0</v>
          </cell>
          <cell r="AG119">
            <v>0</v>
          </cell>
          <cell r="AH119">
            <v>0</v>
          </cell>
          <cell r="AI119">
            <v>0</v>
          </cell>
          <cell r="AJ119">
            <v>0</v>
          </cell>
          <cell r="AK119">
            <v>0</v>
          </cell>
          <cell r="AM119">
            <v>0</v>
          </cell>
          <cell r="AN119">
            <v>0</v>
          </cell>
          <cell r="AO119">
            <v>0</v>
          </cell>
          <cell r="AP119">
            <v>0</v>
          </cell>
          <cell r="AQ119">
            <v>0</v>
          </cell>
          <cell r="AR119">
            <v>0</v>
          </cell>
          <cell r="AS119">
            <v>0</v>
          </cell>
          <cell r="AT119">
            <v>0</v>
          </cell>
          <cell r="AU119">
            <v>9480</v>
          </cell>
          <cell r="AV119">
            <v>0</v>
          </cell>
          <cell r="AW119">
            <v>0</v>
          </cell>
          <cell r="AX119">
            <v>0</v>
          </cell>
          <cell r="BA119">
            <v>0</v>
          </cell>
          <cell r="BC119">
            <v>0</v>
          </cell>
          <cell r="BD119">
            <v>16637</v>
          </cell>
          <cell r="BF119">
            <v>0</v>
          </cell>
          <cell r="BG119">
            <v>0</v>
          </cell>
          <cell r="BH119">
            <v>0</v>
          </cell>
          <cell r="BI119">
            <v>48456</v>
          </cell>
          <cell r="BJ119">
            <v>39886</v>
          </cell>
          <cell r="BK119">
            <v>39886</v>
          </cell>
          <cell r="BL119">
            <v>0</v>
          </cell>
          <cell r="BM119">
            <v>0</v>
          </cell>
          <cell r="BN119">
            <v>0</v>
          </cell>
          <cell r="BO119">
            <v>121121</v>
          </cell>
          <cell r="BP119">
            <v>53767.6</v>
          </cell>
          <cell r="BQ119">
            <v>96860.465116279098</v>
          </cell>
          <cell r="BR119">
            <v>0</v>
          </cell>
          <cell r="BS119">
            <v>0</v>
          </cell>
          <cell r="BT119">
            <v>82006</v>
          </cell>
          <cell r="BY119">
            <v>0</v>
          </cell>
          <cell r="BZ119">
            <v>0</v>
          </cell>
          <cell r="CA119">
            <v>0</v>
          </cell>
          <cell r="CB119">
            <v>0</v>
          </cell>
          <cell r="CC119">
            <v>3019909</v>
          </cell>
          <cell r="CD119">
            <v>21991745</v>
          </cell>
          <cell r="CE119">
            <v>3977396</v>
          </cell>
          <cell r="CF119">
            <v>-89008</v>
          </cell>
          <cell r="CG119">
            <v>3977396</v>
          </cell>
          <cell r="CH119">
            <v>3977396</v>
          </cell>
          <cell r="CI119">
            <v>3977396</v>
          </cell>
          <cell r="CJ119">
            <v>3977396</v>
          </cell>
          <cell r="CK119">
            <v>0</v>
          </cell>
          <cell r="CL119">
            <v>0</v>
          </cell>
          <cell r="CM119">
            <v>0</v>
          </cell>
          <cell r="CN119">
            <v>0</v>
          </cell>
          <cell r="CO119">
            <v>0</v>
          </cell>
          <cell r="CP119">
            <v>-6201</v>
          </cell>
          <cell r="CQ119">
            <v>3842243</v>
          </cell>
          <cell r="CR119">
            <v>3636323</v>
          </cell>
          <cell r="CS119">
            <v>3538319</v>
          </cell>
          <cell r="CT119">
            <v>3454953</v>
          </cell>
          <cell r="CU119">
            <v>3413748</v>
          </cell>
          <cell r="CV119">
            <v>32591</v>
          </cell>
          <cell r="CW119">
            <v>0</v>
          </cell>
          <cell r="CX119">
            <v>0</v>
          </cell>
          <cell r="CY119">
            <v>0</v>
          </cell>
          <cell r="CZ119">
            <v>0</v>
          </cell>
          <cell r="DA119">
            <v>0</v>
          </cell>
          <cell r="DC119">
            <v>0</v>
          </cell>
          <cell r="DD119">
            <v>0</v>
          </cell>
          <cell r="DE119">
            <v>0</v>
          </cell>
          <cell r="DF119">
            <v>0</v>
          </cell>
          <cell r="DG119">
            <v>0</v>
          </cell>
          <cell r="DH119">
            <v>0</v>
          </cell>
          <cell r="DI119">
            <v>0</v>
          </cell>
          <cell r="DJ119">
            <v>0</v>
          </cell>
          <cell r="DK119">
            <v>0</v>
          </cell>
          <cell r="DL119">
            <v>0</v>
          </cell>
        </row>
        <row r="120">
          <cell r="A120">
            <v>273</v>
          </cell>
          <cell r="B120" t="str">
            <v>Putten</v>
          </cell>
          <cell r="C120">
            <v>5</v>
          </cell>
          <cell r="D120">
            <v>-44520</v>
          </cell>
          <cell r="E120">
            <v>-22260</v>
          </cell>
          <cell r="F120">
            <v>0</v>
          </cell>
          <cell r="G120">
            <v>0</v>
          </cell>
          <cell r="H120">
            <v>-2783</v>
          </cell>
          <cell r="I120">
            <v>0</v>
          </cell>
          <cell r="K120">
            <v>0</v>
          </cell>
          <cell r="L120">
            <v>92079</v>
          </cell>
          <cell r="M120">
            <v>86659</v>
          </cell>
          <cell r="N120">
            <v>0</v>
          </cell>
          <cell r="O120">
            <v>0</v>
          </cell>
          <cell r="P120">
            <v>0</v>
          </cell>
          <cell r="Q120">
            <v>0</v>
          </cell>
          <cell r="R120">
            <v>0</v>
          </cell>
          <cell r="S120">
            <v>0</v>
          </cell>
          <cell r="T120">
            <v>0</v>
          </cell>
          <cell r="U120">
            <v>0</v>
          </cell>
          <cell r="V120">
            <v>0</v>
          </cell>
          <cell r="W120">
            <v>103409</v>
          </cell>
          <cell r="X120">
            <v>0</v>
          </cell>
          <cell r="Z120">
            <v>0</v>
          </cell>
          <cell r="AA120">
            <v>0</v>
          </cell>
          <cell r="AB120">
            <v>0</v>
          </cell>
          <cell r="AD120">
            <v>0</v>
          </cell>
          <cell r="AE120">
            <v>0</v>
          </cell>
          <cell r="AF120">
            <v>0</v>
          </cell>
          <cell r="AG120">
            <v>0</v>
          </cell>
          <cell r="AH120">
            <v>0</v>
          </cell>
          <cell r="AI120">
            <v>0</v>
          </cell>
          <cell r="AJ120">
            <v>0</v>
          </cell>
          <cell r="AK120">
            <v>0</v>
          </cell>
          <cell r="AM120">
            <v>0</v>
          </cell>
          <cell r="AN120">
            <v>0</v>
          </cell>
          <cell r="AO120">
            <v>0</v>
          </cell>
          <cell r="AP120">
            <v>0</v>
          </cell>
          <cell r="AQ120">
            <v>0</v>
          </cell>
          <cell r="AR120">
            <v>0</v>
          </cell>
          <cell r="AS120">
            <v>0</v>
          </cell>
          <cell r="AT120">
            <v>0</v>
          </cell>
          <cell r="AU120">
            <v>4740</v>
          </cell>
          <cell r="AV120">
            <v>0</v>
          </cell>
          <cell r="AW120">
            <v>0</v>
          </cell>
          <cell r="AX120">
            <v>0</v>
          </cell>
          <cell r="BA120">
            <v>0</v>
          </cell>
          <cell r="BC120">
            <v>0</v>
          </cell>
          <cell r="BD120">
            <v>8575</v>
          </cell>
          <cell r="BF120">
            <v>0</v>
          </cell>
          <cell r="BG120">
            <v>0</v>
          </cell>
          <cell r="BH120">
            <v>0</v>
          </cell>
          <cell r="BI120">
            <v>25145</v>
          </cell>
          <cell r="BJ120">
            <v>20698</v>
          </cell>
          <cell r="BK120">
            <v>20698</v>
          </cell>
          <cell r="BL120">
            <v>0</v>
          </cell>
          <cell r="BM120">
            <v>0</v>
          </cell>
          <cell r="BN120">
            <v>0</v>
          </cell>
          <cell r="BO120">
            <v>121121</v>
          </cell>
          <cell r="BP120">
            <v>11069.8</v>
          </cell>
          <cell r="BQ120">
            <v>19941.8604651163</v>
          </cell>
          <cell r="BR120">
            <v>0</v>
          </cell>
          <cell r="BS120">
            <v>0</v>
          </cell>
          <cell r="BT120">
            <v>39991</v>
          </cell>
          <cell r="BY120">
            <v>0</v>
          </cell>
          <cell r="BZ120">
            <v>0</v>
          </cell>
          <cell r="CA120">
            <v>0</v>
          </cell>
          <cell r="CB120">
            <v>0</v>
          </cell>
          <cell r="CC120">
            <v>1801772</v>
          </cell>
          <cell r="CD120">
            <v>10113050</v>
          </cell>
          <cell r="CE120">
            <v>845310</v>
          </cell>
          <cell r="CF120">
            <v>0</v>
          </cell>
          <cell r="CG120">
            <v>845310</v>
          </cell>
          <cell r="CH120">
            <v>845310</v>
          </cell>
          <cell r="CI120">
            <v>845310</v>
          </cell>
          <cell r="CJ120">
            <v>845310</v>
          </cell>
          <cell r="CK120">
            <v>0</v>
          </cell>
          <cell r="CL120">
            <v>0</v>
          </cell>
          <cell r="CM120">
            <v>0</v>
          </cell>
          <cell r="CN120">
            <v>0</v>
          </cell>
          <cell r="CO120">
            <v>0</v>
          </cell>
          <cell r="CP120">
            <v>0</v>
          </cell>
          <cell r="CQ120">
            <v>2047672</v>
          </cell>
          <cell r="CR120">
            <v>1941550</v>
          </cell>
          <cell r="CS120">
            <v>1907961</v>
          </cell>
          <cell r="CT120">
            <v>1848771</v>
          </cell>
          <cell r="CU120">
            <v>1787716</v>
          </cell>
          <cell r="CV120">
            <v>-20962</v>
          </cell>
          <cell r="CW120">
            <v>0</v>
          </cell>
          <cell r="CX120">
            <v>0</v>
          </cell>
          <cell r="CY120">
            <v>0</v>
          </cell>
          <cell r="CZ120">
            <v>0</v>
          </cell>
          <cell r="DA120">
            <v>0</v>
          </cell>
          <cell r="DC120">
            <v>0</v>
          </cell>
          <cell r="DD120">
            <v>0</v>
          </cell>
          <cell r="DE120">
            <v>0</v>
          </cell>
          <cell r="DF120">
            <v>0</v>
          </cell>
          <cell r="DG120">
            <v>0</v>
          </cell>
          <cell r="DH120">
            <v>0</v>
          </cell>
          <cell r="DI120">
            <v>0</v>
          </cell>
          <cell r="DJ120">
            <v>0</v>
          </cell>
          <cell r="DK120">
            <v>0</v>
          </cell>
          <cell r="DL120">
            <v>0</v>
          </cell>
        </row>
        <row r="121">
          <cell r="A121">
            <v>274</v>
          </cell>
          <cell r="B121" t="str">
            <v>Renkum</v>
          </cell>
          <cell r="C121">
            <v>5</v>
          </cell>
          <cell r="D121">
            <v>114642</v>
          </cell>
          <cell r="E121">
            <v>57321</v>
          </cell>
          <cell r="F121">
            <v>0</v>
          </cell>
          <cell r="G121">
            <v>166285</v>
          </cell>
          <cell r="H121">
            <v>0</v>
          </cell>
          <cell r="I121">
            <v>0</v>
          </cell>
          <cell r="K121">
            <v>0</v>
          </cell>
          <cell r="L121">
            <v>124789</v>
          </cell>
          <cell r="M121">
            <v>117322</v>
          </cell>
          <cell r="N121">
            <v>0</v>
          </cell>
          <cell r="O121">
            <v>0</v>
          </cell>
          <cell r="P121">
            <v>0</v>
          </cell>
          <cell r="Q121">
            <v>0</v>
          </cell>
          <cell r="R121">
            <v>0</v>
          </cell>
          <cell r="S121">
            <v>0</v>
          </cell>
          <cell r="T121">
            <v>0</v>
          </cell>
          <cell r="U121">
            <v>0</v>
          </cell>
          <cell r="V121">
            <v>3000</v>
          </cell>
          <cell r="W121">
            <v>103847</v>
          </cell>
          <cell r="X121">
            <v>0</v>
          </cell>
          <cell r="Z121">
            <v>0</v>
          </cell>
          <cell r="AA121">
            <v>0</v>
          </cell>
          <cell r="AB121">
            <v>0</v>
          </cell>
          <cell r="AD121">
            <v>0</v>
          </cell>
          <cell r="AE121">
            <v>0</v>
          </cell>
          <cell r="AF121">
            <v>0</v>
          </cell>
          <cell r="AG121">
            <v>0</v>
          </cell>
          <cell r="AH121">
            <v>0</v>
          </cell>
          <cell r="AI121">
            <v>0</v>
          </cell>
          <cell r="AJ121">
            <v>0</v>
          </cell>
          <cell r="AK121">
            <v>0</v>
          </cell>
          <cell r="AM121">
            <v>0</v>
          </cell>
          <cell r="AN121">
            <v>0</v>
          </cell>
          <cell r="AO121">
            <v>0</v>
          </cell>
          <cell r="AP121">
            <v>0</v>
          </cell>
          <cell r="AQ121">
            <v>0</v>
          </cell>
          <cell r="AR121">
            <v>0</v>
          </cell>
          <cell r="AS121">
            <v>0</v>
          </cell>
          <cell r="AT121">
            <v>0</v>
          </cell>
          <cell r="AU121">
            <v>7110</v>
          </cell>
          <cell r="AV121">
            <v>0</v>
          </cell>
          <cell r="AW121">
            <v>0</v>
          </cell>
          <cell r="AX121">
            <v>0</v>
          </cell>
          <cell r="BA121">
            <v>0</v>
          </cell>
          <cell r="BC121">
            <v>0</v>
          </cell>
          <cell r="BD121">
            <v>11019</v>
          </cell>
          <cell r="BF121">
            <v>0</v>
          </cell>
          <cell r="BG121">
            <v>0</v>
          </cell>
          <cell r="BH121">
            <v>0</v>
          </cell>
          <cell r="BI121">
            <v>45738</v>
          </cell>
          <cell r="BJ121">
            <v>37649</v>
          </cell>
          <cell r="BK121">
            <v>37649</v>
          </cell>
          <cell r="BL121">
            <v>0</v>
          </cell>
          <cell r="BM121">
            <v>0</v>
          </cell>
          <cell r="BN121">
            <v>0</v>
          </cell>
          <cell r="BO121">
            <v>65668</v>
          </cell>
          <cell r="BP121">
            <v>12651.2</v>
          </cell>
          <cell r="BQ121">
            <v>22790.697674418599</v>
          </cell>
          <cell r="BR121">
            <v>0</v>
          </cell>
          <cell r="BS121">
            <v>0</v>
          </cell>
          <cell r="BT121">
            <v>48346</v>
          </cell>
          <cell r="BY121">
            <v>0</v>
          </cell>
          <cell r="BZ121">
            <v>0</v>
          </cell>
          <cell r="CA121">
            <v>0</v>
          </cell>
          <cell r="CB121">
            <v>0</v>
          </cell>
          <cell r="CC121">
            <v>2881763</v>
          </cell>
          <cell r="CD121">
            <v>17697148</v>
          </cell>
          <cell r="CE121">
            <v>3501769</v>
          </cell>
          <cell r="CF121">
            <v>2334027</v>
          </cell>
          <cell r="CG121">
            <v>3501769</v>
          </cell>
          <cell r="CH121">
            <v>3501769</v>
          </cell>
          <cell r="CI121">
            <v>3501769</v>
          </cell>
          <cell r="CJ121">
            <v>3501769</v>
          </cell>
          <cell r="CK121">
            <v>0</v>
          </cell>
          <cell r="CL121">
            <v>0</v>
          </cell>
          <cell r="CM121">
            <v>0</v>
          </cell>
          <cell r="CN121">
            <v>0</v>
          </cell>
          <cell r="CO121">
            <v>0</v>
          </cell>
          <cell r="CP121">
            <v>-2331</v>
          </cell>
          <cell r="CQ121">
            <v>2353234</v>
          </cell>
          <cell r="CR121">
            <v>2293983</v>
          </cell>
          <cell r="CS121">
            <v>2237113</v>
          </cell>
          <cell r="CT121">
            <v>2221388</v>
          </cell>
          <cell r="CU121">
            <v>2178216</v>
          </cell>
          <cell r="CV121">
            <v>5051</v>
          </cell>
          <cell r="CW121">
            <v>0</v>
          </cell>
          <cell r="CX121">
            <v>0</v>
          </cell>
          <cell r="CY121">
            <v>0</v>
          </cell>
          <cell r="CZ121">
            <v>0</v>
          </cell>
          <cell r="DA121">
            <v>0</v>
          </cell>
          <cell r="DC121">
            <v>0</v>
          </cell>
          <cell r="DD121">
            <v>0</v>
          </cell>
          <cell r="DE121">
            <v>0</v>
          </cell>
          <cell r="DF121">
            <v>0</v>
          </cell>
          <cell r="DG121">
            <v>0</v>
          </cell>
          <cell r="DH121">
            <v>0</v>
          </cell>
          <cell r="DI121">
            <v>0</v>
          </cell>
          <cell r="DJ121">
            <v>0</v>
          </cell>
          <cell r="DK121">
            <v>0</v>
          </cell>
          <cell r="DL121">
            <v>0</v>
          </cell>
        </row>
        <row r="122">
          <cell r="A122">
            <v>275</v>
          </cell>
          <cell r="B122" t="str">
            <v>Rheden</v>
          </cell>
          <cell r="C122">
            <v>5</v>
          </cell>
          <cell r="D122">
            <v>83772</v>
          </cell>
          <cell r="E122">
            <v>41886</v>
          </cell>
          <cell r="F122">
            <v>0</v>
          </cell>
          <cell r="G122">
            <v>281770</v>
          </cell>
          <cell r="H122">
            <v>-24078</v>
          </cell>
          <cell r="I122">
            <v>-13103</v>
          </cell>
          <cell r="K122">
            <v>0</v>
          </cell>
          <cell r="L122">
            <v>223672</v>
          </cell>
          <cell r="M122">
            <v>219980</v>
          </cell>
          <cell r="N122">
            <v>0</v>
          </cell>
          <cell r="O122">
            <v>0</v>
          </cell>
          <cell r="P122">
            <v>0</v>
          </cell>
          <cell r="Q122">
            <v>0</v>
          </cell>
          <cell r="R122">
            <v>0</v>
          </cell>
          <cell r="S122">
            <v>0</v>
          </cell>
          <cell r="T122">
            <v>0</v>
          </cell>
          <cell r="U122">
            <v>0</v>
          </cell>
          <cell r="V122">
            <v>3000</v>
          </cell>
          <cell r="W122">
            <v>152587</v>
          </cell>
          <cell r="X122">
            <v>0</v>
          </cell>
          <cell r="Z122">
            <v>0</v>
          </cell>
          <cell r="AA122">
            <v>0</v>
          </cell>
          <cell r="AB122">
            <v>0</v>
          </cell>
          <cell r="AD122">
            <v>53779</v>
          </cell>
          <cell r="AE122">
            <v>0</v>
          </cell>
          <cell r="AF122">
            <v>0</v>
          </cell>
          <cell r="AG122">
            <v>0</v>
          </cell>
          <cell r="AH122">
            <v>0</v>
          </cell>
          <cell r="AI122">
            <v>0</v>
          </cell>
          <cell r="AJ122">
            <v>0</v>
          </cell>
          <cell r="AK122">
            <v>0</v>
          </cell>
          <cell r="AM122">
            <v>0</v>
          </cell>
          <cell r="AN122">
            <v>0</v>
          </cell>
          <cell r="AO122">
            <v>0</v>
          </cell>
          <cell r="AP122">
            <v>0</v>
          </cell>
          <cell r="AQ122">
            <v>0</v>
          </cell>
          <cell r="AR122">
            <v>0</v>
          </cell>
          <cell r="AS122">
            <v>0</v>
          </cell>
          <cell r="AT122">
            <v>0</v>
          </cell>
          <cell r="AU122">
            <v>7110</v>
          </cell>
          <cell r="AV122">
            <v>0</v>
          </cell>
          <cell r="AW122">
            <v>0</v>
          </cell>
          <cell r="AX122">
            <v>0</v>
          </cell>
          <cell r="BA122">
            <v>0</v>
          </cell>
          <cell r="BC122">
            <v>0</v>
          </cell>
          <cell r="BD122">
            <v>15321</v>
          </cell>
          <cell r="BF122">
            <v>0</v>
          </cell>
          <cell r="BG122">
            <v>0</v>
          </cell>
          <cell r="BH122">
            <v>0</v>
          </cell>
          <cell r="BI122">
            <v>85992</v>
          </cell>
          <cell r="BJ122">
            <v>70784</v>
          </cell>
          <cell r="BK122">
            <v>70784</v>
          </cell>
          <cell r="BL122">
            <v>0</v>
          </cell>
          <cell r="BM122">
            <v>0</v>
          </cell>
          <cell r="BN122">
            <v>0</v>
          </cell>
          <cell r="BO122">
            <v>106041</v>
          </cell>
          <cell r="BP122">
            <v>25302.400000000001</v>
          </cell>
          <cell r="BQ122">
            <v>45581.395348837199</v>
          </cell>
          <cell r="BR122">
            <v>0</v>
          </cell>
          <cell r="BS122">
            <v>0</v>
          </cell>
          <cell r="BT122">
            <v>70368</v>
          </cell>
          <cell r="BY122">
            <v>0</v>
          </cell>
          <cell r="BZ122">
            <v>0</v>
          </cell>
          <cell r="CA122">
            <v>0</v>
          </cell>
          <cell r="CB122">
            <v>0</v>
          </cell>
          <cell r="CC122">
            <v>4568936</v>
          </cell>
          <cell r="CD122">
            <v>25199559</v>
          </cell>
          <cell r="CE122">
            <v>1523462</v>
          </cell>
          <cell r="CF122">
            <v>-25224</v>
          </cell>
          <cell r="CG122">
            <v>1523462</v>
          </cell>
          <cell r="CH122">
            <v>1523462</v>
          </cell>
          <cell r="CI122">
            <v>1523462</v>
          </cell>
          <cell r="CJ122">
            <v>1523462</v>
          </cell>
          <cell r="CK122">
            <v>0</v>
          </cell>
          <cell r="CL122">
            <v>0</v>
          </cell>
          <cell r="CM122">
            <v>0</v>
          </cell>
          <cell r="CN122">
            <v>0</v>
          </cell>
          <cell r="CO122">
            <v>0</v>
          </cell>
          <cell r="CP122">
            <v>-967</v>
          </cell>
          <cell r="CQ122">
            <v>6393081</v>
          </cell>
          <cell r="CR122">
            <v>6125532</v>
          </cell>
          <cell r="CS122">
            <v>5989029</v>
          </cell>
          <cell r="CT122">
            <v>5886827</v>
          </cell>
          <cell r="CU122">
            <v>5739111</v>
          </cell>
          <cell r="CV122">
            <v>81667</v>
          </cell>
          <cell r="CW122">
            <v>0</v>
          </cell>
          <cell r="CX122">
            <v>0</v>
          </cell>
          <cell r="CY122">
            <v>0</v>
          </cell>
          <cell r="CZ122">
            <v>0</v>
          </cell>
          <cell r="DA122">
            <v>0</v>
          </cell>
          <cell r="DC122">
            <v>0</v>
          </cell>
          <cell r="DD122">
            <v>0</v>
          </cell>
          <cell r="DE122">
            <v>0</v>
          </cell>
          <cell r="DF122">
            <v>0</v>
          </cell>
          <cell r="DG122">
            <v>0</v>
          </cell>
          <cell r="DH122">
            <v>0</v>
          </cell>
          <cell r="DI122">
            <v>0</v>
          </cell>
          <cell r="DJ122">
            <v>0</v>
          </cell>
          <cell r="DK122">
            <v>0</v>
          </cell>
          <cell r="DL122">
            <v>0</v>
          </cell>
        </row>
        <row r="123">
          <cell r="A123">
            <v>277</v>
          </cell>
          <cell r="B123" t="str">
            <v>Rozendaal</v>
          </cell>
          <cell r="C123">
            <v>5</v>
          </cell>
          <cell r="D123">
            <v>-306</v>
          </cell>
          <cell r="E123">
            <v>-153</v>
          </cell>
          <cell r="F123">
            <v>0</v>
          </cell>
          <cell r="G123">
            <v>217633</v>
          </cell>
          <cell r="H123">
            <v>48425</v>
          </cell>
          <cell r="I123">
            <v>72172</v>
          </cell>
          <cell r="K123">
            <v>0</v>
          </cell>
          <cell r="L123">
            <v>1253</v>
          </cell>
          <cell r="M123">
            <v>1071</v>
          </cell>
          <cell r="N123">
            <v>0</v>
          </cell>
          <cell r="O123">
            <v>0</v>
          </cell>
          <cell r="P123">
            <v>0</v>
          </cell>
          <cell r="Q123">
            <v>0</v>
          </cell>
          <cell r="R123">
            <v>0</v>
          </cell>
          <cell r="S123">
            <v>0</v>
          </cell>
          <cell r="T123">
            <v>0</v>
          </cell>
          <cell r="U123">
            <v>0</v>
          </cell>
          <cell r="V123">
            <v>0</v>
          </cell>
          <cell r="W123">
            <v>0</v>
          </cell>
          <cell r="X123">
            <v>0</v>
          </cell>
          <cell r="Z123">
            <v>0</v>
          </cell>
          <cell r="AA123">
            <v>0</v>
          </cell>
          <cell r="AB123">
            <v>0</v>
          </cell>
          <cell r="AD123">
            <v>0</v>
          </cell>
          <cell r="AE123">
            <v>0</v>
          </cell>
          <cell r="AF123">
            <v>0</v>
          </cell>
          <cell r="AG123">
            <v>0</v>
          </cell>
          <cell r="AH123">
            <v>0</v>
          </cell>
          <cell r="AI123">
            <v>0</v>
          </cell>
          <cell r="AJ123">
            <v>0</v>
          </cell>
          <cell r="AK123">
            <v>0</v>
          </cell>
          <cell r="AM123">
            <v>0</v>
          </cell>
          <cell r="AN123">
            <v>0</v>
          </cell>
          <cell r="AO123">
            <v>0</v>
          </cell>
          <cell r="AP123">
            <v>0</v>
          </cell>
          <cell r="AQ123">
            <v>0</v>
          </cell>
          <cell r="AR123">
            <v>0</v>
          </cell>
          <cell r="AS123">
            <v>0</v>
          </cell>
          <cell r="AT123">
            <v>0</v>
          </cell>
          <cell r="AU123">
            <v>0</v>
          </cell>
          <cell r="AV123">
            <v>0</v>
          </cell>
          <cell r="AW123">
            <v>0</v>
          </cell>
          <cell r="AX123">
            <v>0</v>
          </cell>
          <cell r="BA123">
            <v>0</v>
          </cell>
          <cell r="BC123">
            <v>0</v>
          </cell>
          <cell r="BD123">
            <v>526</v>
          </cell>
          <cell r="BF123">
            <v>0</v>
          </cell>
          <cell r="BG123">
            <v>0</v>
          </cell>
          <cell r="BH123">
            <v>0</v>
          </cell>
          <cell r="BI123">
            <v>570</v>
          </cell>
          <cell r="BJ123">
            <v>470</v>
          </cell>
          <cell r="BK123">
            <v>470</v>
          </cell>
          <cell r="BL123">
            <v>0</v>
          </cell>
          <cell r="BM123">
            <v>0</v>
          </cell>
          <cell r="BN123">
            <v>0</v>
          </cell>
          <cell r="BO123">
            <v>0</v>
          </cell>
          <cell r="BP123">
            <v>0</v>
          </cell>
          <cell r="BQ123">
            <v>0</v>
          </cell>
          <cell r="BR123">
            <v>0</v>
          </cell>
          <cell r="BS123">
            <v>0</v>
          </cell>
          <cell r="BT123">
            <v>2839</v>
          </cell>
          <cell r="BY123">
            <v>0</v>
          </cell>
          <cell r="BZ123">
            <v>0</v>
          </cell>
          <cell r="CA123">
            <v>0</v>
          </cell>
          <cell r="CB123">
            <v>0</v>
          </cell>
          <cell r="CC123">
            <v>73778</v>
          </cell>
          <cell r="CD123">
            <v>233014</v>
          </cell>
          <cell r="CE123">
            <v>44898</v>
          </cell>
          <cell r="CF123">
            <v>0</v>
          </cell>
          <cell r="CG123">
            <v>44898</v>
          </cell>
          <cell r="CH123">
            <v>44898</v>
          </cell>
          <cell r="CI123">
            <v>44898</v>
          </cell>
          <cell r="CJ123">
            <v>44898</v>
          </cell>
          <cell r="CK123">
            <v>0</v>
          </cell>
          <cell r="CL123">
            <v>0</v>
          </cell>
          <cell r="CM123">
            <v>0</v>
          </cell>
          <cell r="CN123">
            <v>0</v>
          </cell>
          <cell r="CO123">
            <v>0</v>
          </cell>
          <cell r="CP123">
            <v>0</v>
          </cell>
          <cell r="CQ123">
            <v>28733</v>
          </cell>
          <cell r="CR123">
            <v>28173</v>
          </cell>
          <cell r="CS123">
            <v>26857</v>
          </cell>
          <cell r="CT123">
            <v>26803</v>
          </cell>
          <cell r="CU123">
            <v>26813</v>
          </cell>
          <cell r="CV123">
            <v>-449</v>
          </cell>
          <cell r="CW123">
            <v>0</v>
          </cell>
          <cell r="CX123">
            <v>0</v>
          </cell>
          <cell r="CY123">
            <v>0</v>
          </cell>
          <cell r="CZ123">
            <v>0</v>
          </cell>
          <cell r="DA123">
            <v>0</v>
          </cell>
          <cell r="DC123">
            <v>0</v>
          </cell>
          <cell r="DD123">
            <v>0</v>
          </cell>
          <cell r="DE123">
            <v>0</v>
          </cell>
          <cell r="DF123">
            <v>0</v>
          </cell>
          <cell r="DG123">
            <v>0</v>
          </cell>
          <cell r="DH123">
            <v>0</v>
          </cell>
          <cell r="DI123">
            <v>0</v>
          </cell>
          <cell r="DJ123">
            <v>0</v>
          </cell>
          <cell r="DK123">
            <v>0</v>
          </cell>
          <cell r="DL123">
            <v>0</v>
          </cell>
        </row>
        <row r="124">
          <cell r="A124">
            <v>279</v>
          </cell>
          <cell r="B124" t="str">
            <v>Scherpenzeel</v>
          </cell>
          <cell r="C124">
            <v>5</v>
          </cell>
          <cell r="D124">
            <v>-3606</v>
          </cell>
          <cell r="E124">
            <v>-1803</v>
          </cell>
          <cell r="F124">
            <v>0</v>
          </cell>
          <cell r="G124">
            <v>0</v>
          </cell>
          <cell r="H124">
            <v>-4813</v>
          </cell>
          <cell r="I124">
            <v>-3892</v>
          </cell>
          <cell r="K124">
            <v>0</v>
          </cell>
          <cell r="L124">
            <v>26541</v>
          </cell>
          <cell r="M124">
            <v>24641</v>
          </cell>
          <cell r="N124">
            <v>0</v>
          </cell>
          <cell r="O124">
            <v>0</v>
          </cell>
          <cell r="P124">
            <v>0</v>
          </cell>
          <cell r="Q124">
            <v>0</v>
          </cell>
          <cell r="R124">
            <v>0</v>
          </cell>
          <cell r="S124">
            <v>0</v>
          </cell>
          <cell r="T124">
            <v>0</v>
          </cell>
          <cell r="U124">
            <v>0</v>
          </cell>
          <cell r="V124">
            <v>6000</v>
          </cell>
          <cell r="W124">
            <v>25052</v>
          </cell>
          <cell r="X124">
            <v>0</v>
          </cell>
          <cell r="Z124">
            <v>0</v>
          </cell>
          <cell r="AA124">
            <v>0</v>
          </cell>
          <cell r="AB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cell r="AR124">
            <v>0</v>
          </cell>
          <cell r="AS124">
            <v>0</v>
          </cell>
          <cell r="AT124">
            <v>0</v>
          </cell>
          <cell r="AU124">
            <v>0</v>
          </cell>
          <cell r="AV124">
            <v>0</v>
          </cell>
          <cell r="AW124">
            <v>0</v>
          </cell>
          <cell r="AX124">
            <v>0</v>
          </cell>
          <cell r="BA124">
            <v>0</v>
          </cell>
          <cell r="BC124">
            <v>0</v>
          </cell>
          <cell r="BD124">
            <v>3406</v>
          </cell>
          <cell r="BF124">
            <v>0</v>
          </cell>
          <cell r="BG124">
            <v>0</v>
          </cell>
          <cell r="BH124">
            <v>0</v>
          </cell>
          <cell r="BI124">
            <v>10748</v>
          </cell>
          <cell r="BJ124">
            <v>8847</v>
          </cell>
          <cell r="BK124">
            <v>8847</v>
          </cell>
          <cell r="BL124">
            <v>0</v>
          </cell>
          <cell r="BM124">
            <v>0</v>
          </cell>
          <cell r="BN124">
            <v>0</v>
          </cell>
          <cell r="BO124">
            <v>9242</v>
          </cell>
          <cell r="BP124">
            <v>45860.6</v>
          </cell>
          <cell r="BQ124">
            <v>82616.279069767406</v>
          </cell>
          <cell r="BR124">
            <v>0</v>
          </cell>
          <cell r="BS124">
            <v>0</v>
          </cell>
          <cell r="BT124">
            <v>16219</v>
          </cell>
          <cell r="BY124">
            <v>0</v>
          </cell>
          <cell r="BZ124">
            <v>0</v>
          </cell>
          <cell r="CA124">
            <v>0</v>
          </cell>
          <cell r="CB124">
            <v>0</v>
          </cell>
          <cell r="CC124">
            <v>639989</v>
          </cell>
          <cell r="CD124">
            <v>3164083</v>
          </cell>
          <cell r="CE124">
            <v>74777</v>
          </cell>
          <cell r="CF124">
            <v>0</v>
          </cell>
          <cell r="CG124">
            <v>74777</v>
          </cell>
          <cell r="CH124">
            <v>74777</v>
          </cell>
          <cell r="CI124">
            <v>74777</v>
          </cell>
          <cell r="CJ124">
            <v>74777</v>
          </cell>
          <cell r="CK124">
            <v>0</v>
          </cell>
          <cell r="CL124">
            <v>0</v>
          </cell>
          <cell r="CM124">
            <v>0</v>
          </cell>
          <cell r="CN124">
            <v>0</v>
          </cell>
          <cell r="CO124">
            <v>0</v>
          </cell>
          <cell r="CP124">
            <v>-1402</v>
          </cell>
          <cell r="CQ124">
            <v>181525</v>
          </cell>
          <cell r="CR124">
            <v>181849</v>
          </cell>
          <cell r="CS124">
            <v>183131</v>
          </cell>
          <cell r="CT124">
            <v>186965</v>
          </cell>
          <cell r="CU124">
            <v>190561</v>
          </cell>
          <cell r="CV124">
            <v>18289</v>
          </cell>
          <cell r="CW124">
            <v>0</v>
          </cell>
          <cell r="CX124">
            <v>0</v>
          </cell>
          <cell r="CY124">
            <v>0</v>
          </cell>
          <cell r="CZ124">
            <v>0</v>
          </cell>
          <cell r="DA124">
            <v>0</v>
          </cell>
          <cell r="DC124">
            <v>0</v>
          </cell>
          <cell r="DD124">
            <v>0</v>
          </cell>
          <cell r="DE124">
            <v>0</v>
          </cell>
          <cell r="DF124">
            <v>0</v>
          </cell>
          <cell r="DG124">
            <v>0</v>
          </cell>
          <cell r="DH124">
            <v>0</v>
          </cell>
          <cell r="DI124">
            <v>0</v>
          </cell>
          <cell r="DJ124">
            <v>0</v>
          </cell>
          <cell r="DK124">
            <v>0</v>
          </cell>
          <cell r="DL124">
            <v>0</v>
          </cell>
        </row>
        <row r="125">
          <cell r="A125">
            <v>281</v>
          </cell>
          <cell r="B125" t="str">
            <v>Tiel</v>
          </cell>
          <cell r="C125">
            <v>5</v>
          </cell>
          <cell r="D125">
            <v>-15621</v>
          </cell>
          <cell r="E125">
            <v>-7810</v>
          </cell>
          <cell r="F125">
            <v>0</v>
          </cell>
          <cell r="G125">
            <v>0</v>
          </cell>
          <cell r="H125">
            <v>-50425</v>
          </cell>
          <cell r="I125">
            <v>-14450</v>
          </cell>
          <cell r="K125">
            <v>0</v>
          </cell>
          <cell r="L125">
            <v>278387</v>
          </cell>
          <cell r="M125">
            <v>265118</v>
          </cell>
          <cell r="N125">
            <v>0</v>
          </cell>
          <cell r="O125">
            <v>0</v>
          </cell>
          <cell r="P125">
            <v>0</v>
          </cell>
          <cell r="Q125">
            <v>0</v>
          </cell>
          <cell r="R125">
            <v>0</v>
          </cell>
          <cell r="S125">
            <v>0</v>
          </cell>
          <cell r="T125">
            <v>0</v>
          </cell>
          <cell r="U125">
            <v>0</v>
          </cell>
          <cell r="V125">
            <v>32250</v>
          </cell>
          <cell r="W125">
            <v>161629</v>
          </cell>
          <cell r="X125">
            <v>0</v>
          </cell>
          <cell r="Z125">
            <v>0</v>
          </cell>
          <cell r="AA125">
            <v>34000</v>
          </cell>
          <cell r="AB125">
            <v>0</v>
          </cell>
          <cell r="AD125">
            <v>20000</v>
          </cell>
          <cell r="AE125">
            <v>0</v>
          </cell>
          <cell r="AF125">
            <v>0</v>
          </cell>
          <cell r="AG125">
            <v>0</v>
          </cell>
          <cell r="AH125">
            <v>0</v>
          </cell>
          <cell r="AI125">
            <v>0</v>
          </cell>
          <cell r="AJ125">
            <v>0</v>
          </cell>
          <cell r="AK125">
            <v>0</v>
          </cell>
          <cell r="AM125">
            <v>0</v>
          </cell>
          <cell r="AN125">
            <v>0</v>
          </cell>
          <cell r="AO125">
            <v>0</v>
          </cell>
          <cell r="AP125">
            <v>0</v>
          </cell>
          <cell r="AQ125">
            <v>0</v>
          </cell>
          <cell r="AR125">
            <v>0</v>
          </cell>
          <cell r="AS125">
            <v>0</v>
          </cell>
          <cell r="AT125">
            <v>0</v>
          </cell>
          <cell r="AU125">
            <v>9480</v>
          </cell>
          <cell r="AV125">
            <v>0</v>
          </cell>
          <cell r="AW125">
            <v>80000</v>
          </cell>
          <cell r="AX125">
            <v>0</v>
          </cell>
          <cell r="BA125">
            <v>0</v>
          </cell>
          <cell r="BC125">
            <v>0</v>
          </cell>
          <cell r="BD125">
            <v>14564</v>
          </cell>
          <cell r="BF125">
            <v>0</v>
          </cell>
          <cell r="BG125">
            <v>0</v>
          </cell>
          <cell r="BH125">
            <v>0</v>
          </cell>
          <cell r="BI125">
            <v>66456</v>
          </cell>
          <cell r="BJ125">
            <v>54703</v>
          </cell>
          <cell r="BK125">
            <v>54703</v>
          </cell>
          <cell r="BL125">
            <v>0</v>
          </cell>
          <cell r="BM125">
            <v>0</v>
          </cell>
          <cell r="BN125">
            <v>0</v>
          </cell>
          <cell r="BO125">
            <v>286020</v>
          </cell>
          <cell r="BP125">
            <v>17395.400000000001</v>
          </cell>
          <cell r="BQ125">
            <v>31337.209302325598</v>
          </cell>
          <cell r="BR125">
            <v>0</v>
          </cell>
          <cell r="BS125">
            <v>0</v>
          </cell>
          <cell r="BT125">
            <v>75994</v>
          </cell>
          <cell r="BY125">
            <v>0</v>
          </cell>
          <cell r="BZ125">
            <v>0</v>
          </cell>
          <cell r="CA125">
            <v>0</v>
          </cell>
          <cell r="CB125">
            <v>0</v>
          </cell>
          <cell r="CC125">
            <v>3158206</v>
          </cell>
          <cell r="CD125">
            <v>26869478</v>
          </cell>
          <cell r="CE125">
            <v>1362270</v>
          </cell>
          <cell r="CF125">
            <v>0</v>
          </cell>
          <cell r="CG125">
            <v>1362270</v>
          </cell>
          <cell r="CH125">
            <v>1362270</v>
          </cell>
          <cell r="CI125">
            <v>1362270</v>
          </cell>
          <cell r="CJ125">
            <v>1362270</v>
          </cell>
          <cell r="CK125">
            <v>0</v>
          </cell>
          <cell r="CL125">
            <v>0</v>
          </cell>
          <cell r="CM125">
            <v>0</v>
          </cell>
          <cell r="CN125">
            <v>0</v>
          </cell>
          <cell r="CO125">
            <v>0</v>
          </cell>
          <cell r="CP125">
            <v>-5243</v>
          </cell>
          <cell r="CQ125">
            <v>8344269</v>
          </cell>
          <cell r="CR125">
            <v>8056128</v>
          </cell>
          <cell r="CS125">
            <v>7891053</v>
          </cell>
          <cell r="CT125">
            <v>7782633</v>
          </cell>
          <cell r="CU125">
            <v>7681902</v>
          </cell>
          <cell r="CV125">
            <v>-82112</v>
          </cell>
          <cell r="CW125">
            <v>0</v>
          </cell>
          <cell r="CX125">
            <v>0</v>
          </cell>
          <cell r="CY125">
            <v>0</v>
          </cell>
          <cell r="CZ125">
            <v>0</v>
          </cell>
          <cell r="DA125">
            <v>0</v>
          </cell>
          <cell r="DC125">
            <v>0</v>
          </cell>
          <cell r="DD125">
            <v>0</v>
          </cell>
          <cell r="DE125">
            <v>0</v>
          </cell>
          <cell r="DF125">
            <v>0</v>
          </cell>
          <cell r="DG125">
            <v>0</v>
          </cell>
          <cell r="DH125">
            <v>0</v>
          </cell>
          <cell r="DI125">
            <v>0</v>
          </cell>
          <cell r="DJ125">
            <v>0</v>
          </cell>
          <cell r="DK125">
            <v>0</v>
          </cell>
          <cell r="DL125">
            <v>0</v>
          </cell>
        </row>
        <row r="126">
          <cell r="A126">
            <v>285</v>
          </cell>
          <cell r="B126" t="str">
            <v>Voorst</v>
          </cell>
          <cell r="C126">
            <v>5</v>
          </cell>
          <cell r="D126">
            <v>-54210</v>
          </cell>
          <cell r="E126">
            <v>-27105</v>
          </cell>
          <cell r="F126">
            <v>0</v>
          </cell>
          <cell r="G126">
            <v>390313</v>
          </cell>
          <cell r="H126">
            <v>-40299</v>
          </cell>
          <cell r="I126">
            <v>-23677</v>
          </cell>
          <cell r="K126">
            <v>0</v>
          </cell>
          <cell r="L126">
            <v>57301</v>
          </cell>
          <cell r="M126">
            <v>56780</v>
          </cell>
          <cell r="N126">
            <v>0</v>
          </cell>
          <cell r="O126">
            <v>0</v>
          </cell>
          <cell r="P126">
            <v>0</v>
          </cell>
          <cell r="Q126">
            <v>0</v>
          </cell>
          <cell r="R126">
            <v>0</v>
          </cell>
          <cell r="S126">
            <v>0</v>
          </cell>
          <cell r="T126">
            <v>0</v>
          </cell>
          <cell r="U126">
            <v>0</v>
          </cell>
          <cell r="V126">
            <v>3000</v>
          </cell>
          <cell r="W126">
            <v>91746</v>
          </cell>
          <cell r="X126">
            <v>0</v>
          </cell>
          <cell r="Z126">
            <v>0</v>
          </cell>
          <cell r="AA126">
            <v>0</v>
          </cell>
          <cell r="AB126">
            <v>30000</v>
          </cell>
          <cell r="AD126">
            <v>0</v>
          </cell>
          <cell r="AE126">
            <v>0</v>
          </cell>
          <cell r="AF126">
            <v>0</v>
          </cell>
          <cell r="AG126">
            <v>0</v>
          </cell>
          <cell r="AH126">
            <v>0</v>
          </cell>
          <cell r="AI126">
            <v>0</v>
          </cell>
          <cell r="AJ126">
            <v>0</v>
          </cell>
          <cell r="AK126">
            <v>0</v>
          </cell>
          <cell r="AM126">
            <v>0</v>
          </cell>
          <cell r="AN126">
            <v>0</v>
          </cell>
          <cell r="AO126">
            <v>0</v>
          </cell>
          <cell r="AP126">
            <v>0</v>
          </cell>
          <cell r="AQ126">
            <v>0</v>
          </cell>
          <cell r="AR126">
            <v>0</v>
          </cell>
          <cell r="AS126">
            <v>0</v>
          </cell>
          <cell r="AT126">
            <v>0</v>
          </cell>
          <cell r="AU126">
            <v>0</v>
          </cell>
          <cell r="AV126">
            <v>0</v>
          </cell>
          <cell r="AW126">
            <v>0</v>
          </cell>
          <cell r="AX126">
            <v>0</v>
          </cell>
          <cell r="BA126">
            <v>0</v>
          </cell>
          <cell r="BC126">
            <v>0</v>
          </cell>
          <cell r="BD126">
            <v>8495</v>
          </cell>
          <cell r="BF126">
            <v>0</v>
          </cell>
          <cell r="BG126">
            <v>0</v>
          </cell>
          <cell r="BH126">
            <v>0</v>
          </cell>
          <cell r="BI126">
            <v>28260</v>
          </cell>
          <cell r="BJ126">
            <v>23262</v>
          </cell>
          <cell r="BK126">
            <v>23262</v>
          </cell>
          <cell r="BL126">
            <v>0</v>
          </cell>
          <cell r="BM126">
            <v>0</v>
          </cell>
          <cell r="BN126">
            <v>0</v>
          </cell>
          <cell r="BO126">
            <v>67613</v>
          </cell>
          <cell r="BP126">
            <v>-6325.6</v>
          </cell>
          <cell r="BQ126">
            <v>-11395.3488372093</v>
          </cell>
          <cell r="BR126">
            <v>0</v>
          </cell>
          <cell r="BS126">
            <v>0</v>
          </cell>
          <cell r="BT126">
            <v>47055</v>
          </cell>
          <cell r="BY126">
            <v>0</v>
          </cell>
          <cell r="BZ126">
            <v>0</v>
          </cell>
          <cell r="CA126">
            <v>0</v>
          </cell>
          <cell r="CB126">
            <v>0</v>
          </cell>
          <cell r="CC126">
            <v>2056525</v>
          </cell>
          <cell r="CD126">
            <v>13181923</v>
          </cell>
          <cell r="CE126">
            <v>4831502</v>
          </cell>
          <cell r="CF126">
            <v>-52202</v>
          </cell>
          <cell r="CG126">
            <v>4831502</v>
          </cell>
          <cell r="CH126">
            <v>4831502</v>
          </cell>
          <cell r="CI126">
            <v>4831502</v>
          </cell>
          <cell r="CJ126">
            <v>4831502</v>
          </cell>
          <cell r="CK126">
            <v>0</v>
          </cell>
          <cell r="CL126">
            <v>0</v>
          </cell>
          <cell r="CM126">
            <v>0</v>
          </cell>
          <cell r="CN126">
            <v>0</v>
          </cell>
          <cell r="CO126">
            <v>0</v>
          </cell>
          <cell r="CP126">
            <v>-702</v>
          </cell>
          <cell r="CQ126">
            <v>1862254</v>
          </cell>
          <cell r="CR126">
            <v>1810179</v>
          </cell>
          <cell r="CS126">
            <v>1785338</v>
          </cell>
          <cell r="CT126">
            <v>1749655</v>
          </cell>
          <cell r="CU126">
            <v>1736020</v>
          </cell>
          <cell r="CV126">
            <v>-37827</v>
          </cell>
          <cell r="CW126">
            <v>0</v>
          </cell>
          <cell r="CX126">
            <v>0</v>
          </cell>
          <cell r="CY126">
            <v>0</v>
          </cell>
          <cell r="CZ126">
            <v>0</v>
          </cell>
          <cell r="DA126">
            <v>0</v>
          </cell>
          <cell r="DC126">
            <v>0</v>
          </cell>
          <cell r="DD126">
            <v>0</v>
          </cell>
          <cell r="DE126">
            <v>0</v>
          </cell>
          <cell r="DF126">
            <v>0</v>
          </cell>
          <cell r="DG126">
            <v>0</v>
          </cell>
          <cell r="DH126">
            <v>0</v>
          </cell>
          <cell r="DI126">
            <v>0</v>
          </cell>
          <cell r="DJ126">
            <v>0</v>
          </cell>
          <cell r="DK126">
            <v>0</v>
          </cell>
          <cell r="DL126">
            <v>0</v>
          </cell>
        </row>
        <row r="127">
          <cell r="A127">
            <v>289</v>
          </cell>
          <cell r="B127" t="str">
            <v>Wageningen</v>
          </cell>
          <cell r="C127">
            <v>5</v>
          </cell>
          <cell r="D127">
            <v>66724</v>
          </cell>
          <cell r="E127">
            <v>33362</v>
          </cell>
          <cell r="F127">
            <v>0</v>
          </cell>
          <cell r="G127">
            <v>0</v>
          </cell>
          <cell r="H127">
            <v>0</v>
          </cell>
          <cell r="I127">
            <v>0</v>
          </cell>
          <cell r="K127">
            <v>0</v>
          </cell>
          <cell r="L127">
            <v>127017</v>
          </cell>
          <cell r="M127">
            <v>135702</v>
          </cell>
          <cell r="N127">
            <v>0</v>
          </cell>
          <cell r="O127">
            <v>0</v>
          </cell>
          <cell r="P127">
            <v>0</v>
          </cell>
          <cell r="Q127">
            <v>0</v>
          </cell>
          <cell r="R127">
            <v>0</v>
          </cell>
          <cell r="S127">
            <v>0</v>
          </cell>
          <cell r="T127">
            <v>0</v>
          </cell>
          <cell r="U127">
            <v>0</v>
          </cell>
          <cell r="V127">
            <v>7750</v>
          </cell>
          <cell r="W127">
            <v>82229</v>
          </cell>
          <cell r="X127">
            <v>0</v>
          </cell>
          <cell r="Z127">
            <v>0</v>
          </cell>
          <cell r="AA127">
            <v>0</v>
          </cell>
          <cell r="AB127">
            <v>0</v>
          </cell>
          <cell r="AD127">
            <v>70401</v>
          </cell>
          <cell r="AE127">
            <v>0</v>
          </cell>
          <cell r="AF127">
            <v>0</v>
          </cell>
          <cell r="AG127">
            <v>0</v>
          </cell>
          <cell r="AH127">
            <v>0</v>
          </cell>
          <cell r="AI127">
            <v>0</v>
          </cell>
          <cell r="AJ127">
            <v>0</v>
          </cell>
          <cell r="AK127">
            <v>0</v>
          </cell>
          <cell r="AM127">
            <v>0</v>
          </cell>
          <cell r="AN127">
            <v>0</v>
          </cell>
          <cell r="AO127">
            <v>0</v>
          </cell>
          <cell r="AP127">
            <v>0</v>
          </cell>
          <cell r="AQ127">
            <v>0</v>
          </cell>
          <cell r="AR127">
            <v>0</v>
          </cell>
          <cell r="AS127">
            <v>0</v>
          </cell>
          <cell r="AT127">
            <v>0</v>
          </cell>
          <cell r="AU127">
            <v>2370</v>
          </cell>
          <cell r="AV127">
            <v>0</v>
          </cell>
          <cell r="AW127">
            <v>0</v>
          </cell>
          <cell r="AX127">
            <v>0</v>
          </cell>
          <cell r="BA127">
            <v>0</v>
          </cell>
          <cell r="BC127">
            <v>0</v>
          </cell>
          <cell r="BD127">
            <v>13500</v>
          </cell>
          <cell r="BF127">
            <v>0</v>
          </cell>
          <cell r="BG127">
            <v>0</v>
          </cell>
          <cell r="BH127">
            <v>0</v>
          </cell>
          <cell r="BI127">
            <v>52415</v>
          </cell>
          <cell r="BJ127">
            <v>43145</v>
          </cell>
          <cell r="BK127">
            <v>43145</v>
          </cell>
          <cell r="BL127">
            <v>0</v>
          </cell>
          <cell r="BM127">
            <v>0</v>
          </cell>
          <cell r="BN127">
            <v>0</v>
          </cell>
          <cell r="BO127">
            <v>23835</v>
          </cell>
          <cell r="BP127">
            <v>22139.599999999999</v>
          </cell>
          <cell r="BQ127">
            <v>39883.720930232601</v>
          </cell>
          <cell r="BR127">
            <v>0</v>
          </cell>
          <cell r="BS127">
            <v>0</v>
          </cell>
          <cell r="BT127">
            <v>52936</v>
          </cell>
          <cell r="BY127">
            <v>0</v>
          </cell>
          <cell r="BZ127">
            <v>0</v>
          </cell>
          <cell r="CA127">
            <v>0</v>
          </cell>
          <cell r="CB127">
            <v>0</v>
          </cell>
          <cell r="CC127">
            <v>2114332</v>
          </cell>
          <cell r="CD127">
            <v>13671985</v>
          </cell>
          <cell r="CE127">
            <v>625292</v>
          </cell>
          <cell r="CF127">
            <v>0</v>
          </cell>
          <cell r="CG127">
            <v>625292</v>
          </cell>
          <cell r="CH127">
            <v>625292</v>
          </cell>
          <cell r="CI127">
            <v>625292</v>
          </cell>
          <cell r="CJ127">
            <v>625292</v>
          </cell>
          <cell r="CK127">
            <v>0</v>
          </cell>
          <cell r="CL127">
            <v>0</v>
          </cell>
          <cell r="CM127">
            <v>0</v>
          </cell>
          <cell r="CN127">
            <v>0</v>
          </cell>
          <cell r="CO127">
            <v>0</v>
          </cell>
          <cell r="CP127">
            <v>0</v>
          </cell>
          <cell r="CQ127">
            <v>3630383</v>
          </cell>
          <cell r="CR127">
            <v>3434450</v>
          </cell>
          <cell r="CS127">
            <v>3357237</v>
          </cell>
          <cell r="CT127">
            <v>3281033</v>
          </cell>
          <cell r="CU127">
            <v>3189909</v>
          </cell>
          <cell r="CV127">
            <v>261308</v>
          </cell>
          <cell r="CW127">
            <v>0</v>
          </cell>
          <cell r="CX127">
            <v>0</v>
          </cell>
          <cell r="CY127">
            <v>0</v>
          </cell>
          <cell r="CZ127">
            <v>0</v>
          </cell>
          <cell r="DA127">
            <v>0</v>
          </cell>
          <cell r="DC127">
            <v>0</v>
          </cell>
          <cell r="DD127">
            <v>0</v>
          </cell>
          <cell r="DE127">
            <v>0</v>
          </cell>
          <cell r="DF127">
            <v>0</v>
          </cell>
          <cell r="DG127">
            <v>0</v>
          </cell>
          <cell r="DH127">
            <v>0</v>
          </cell>
          <cell r="DI127">
            <v>0</v>
          </cell>
          <cell r="DJ127">
            <v>0</v>
          </cell>
          <cell r="DK127">
            <v>0</v>
          </cell>
          <cell r="DL127">
            <v>0</v>
          </cell>
        </row>
        <row r="128">
          <cell r="A128">
            <v>668</v>
          </cell>
          <cell r="B128" t="str">
            <v>West Maas en Waal</v>
          </cell>
          <cell r="C128">
            <v>5</v>
          </cell>
          <cell r="D128">
            <v>4138</v>
          </cell>
          <cell r="E128">
            <v>2069</v>
          </cell>
          <cell r="F128">
            <v>0</v>
          </cell>
          <cell r="G128">
            <v>0</v>
          </cell>
          <cell r="H128">
            <v>-26649</v>
          </cell>
          <cell r="I128">
            <v>-10884</v>
          </cell>
          <cell r="K128">
            <v>0</v>
          </cell>
          <cell r="L128">
            <v>55152</v>
          </cell>
          <cell r="M128">
            <v>53138</v>
          </cell>
          <cell r="N128">
            <v>0</v>
          </cell>
          <cell r="O128">
            <v>0</v>
          </cell>
          <cell r="P128">
            <v>0</v>
          </cell>
          <cell r="Q128">
            <v>0</v>
          </cell>
          <cell r="R128">
            <v>0</v>
          </cell>
          <cell r="S128">
            <v>0</v>
          </cell>
          <cell r="T128">
            <v>0</v>
          </cell>
          <cell r="U128">
            <v>0</v>
          </cell>
          <cell r="V128">
            <v>12000</v>
          </cell>
          <cell r="W128">
            <v>73475</v>
          </cell>
          <cell r="X128">
            <v>0</v>
          </cell>
          <cell r="Z128">
            <v>0</v>
          </cell>
          <cell r="AA128">
            <v>0</v>
          </cell>
          <cell r="AB128">
            <v>0</v>
          </cell>
          <cell r="AD128">
            <v>0</v>
          </cell>
          <cell r="AE128">
            <v>0</v>
          </cell>
          <cell r="AF128">
            <v>0</v>
          </cell>
          <cell r="AG128">
            <v>0</v>
          </cell>
          <cell r="AH128">
            <v>0</v>
          </cell>
          <cell r="AI128">
            <v>0</v>
          </cell>
          <cell r="AJ128">
            <v>0</v>
          </cell>
          <cell r="AK128">
            <v>0</v>
          </cell>
          <cell r="AM128">
            <v>0</v>
          </cell>
          <cell r="AN128">
            <v>0</v>
          </cell>
          <cell r="AO128">
            <v>0</v>
          </cell>
          <cell r="AP128">
            <v>0</v>
          </cell>
          <cell r="AQ128">
            <v>0</v>
          </cell>
          <cell r="AR128">
            <v>0</v>
          </cell>
          <cell r="AS128">
            <v>0</v>
          </cell>
          <cell r="AT128">
            <v>0</v>
          </cell>
          <cell r="AU128">
            <v>0</v>
          </cell>
          <cell r="AV128">
            <v>0</v>
          </cell>
          <cell r="AW128">
            <v>0</v>
          </cell>
          <cell r="AX128">
            <v>0</v>
          </cell>
          <cell r="BA128">
            <v>0</v>
          </cell>
          <cell r="BC128">
            <v>0</v>
          </cell>
          <cell r="BD128">
            <v>6606</v>
          </cell>
          <cell r="BF128">
            <v>0</v>
          </cell>
          <cell r="BG128">
            <v>0</v>
          </cell>
          <cell r="BH128">
            <v>0</v>
          </cell>
          <cell r="BI128">
            <v>26523</v>
          </cell>
          <cell r="BJ128">
            <v>21832</v>
          </cell>
          <cell r="BK128">
            <v>21832</v>
          </cell>
          <cell r="BL128">
            <v>0</v>
          </cell>
          <cell r="BM128">
            <v>0</v>
          </cell>
          <cell r="BN128">
            <v>0</v>
          </cell>
          <cell r="BO128">
            <v>140091</v>
          </cell>
          <cell r="BP128">
            <v>0</v>
          </cell>
          <cell r="BQ128">
            <v>0</v>
          </cell>
          <cell r="BR128">
            <v>0</v>
          </cell>
          <cell r="BS128">
            <v>0</v>
          </cell>
          <cell r="BT128">
            <v>35516</v>
          </cell>
          <cell r="BY128">
            <v>0</v>
          </cell>
          <cell r="BZ128">
            <v>0</v>
          </cell>
          <cell r="CA128">
            <v>0</v>
          </cell>
          <cell r="CB128">
            <v>0</v>
          </cell>
          <cell r="CC128">
            <v>1405374</v>
          </cell>
          <cell r="CD128">
            <v>6616963</v>
          </cell>
          <cell r="CE128">
            <v>567653</v>
          </cell>
          <cell r="CF128">
            <v>-4258</v>
          </cell>
          <cell r="CG128">
            <v>567653</v>
          </cell>
          <cell r="CH128">
            <v>567653</v>
          </cell>
          <cell r="CI128">
            <v>567653</v>
          </cell>
          <cell r="CJ128">
            <v>567653</v>
          </cell>
          <cell r="CK128">
            <v>0</v>
          </cell>
          <cell r="CL128">
            <v>0</v>
          </cell>
          <cell r="CM128">
            <v>0</v>
          </cell>
          <cell r="CN128">
            <v>0</v>
          </cell>
          <cell r="CO128">
            <v>0</v>
          </cell>
          <cell r="CP128">
            <v>-3264</v>
          </cell>
          <cell r="CQ128">
            <v>1243465</v>
          </cell>
          <cell r="CR128">
            <v>1178928</v>
          </cell>
          <cell r="CS128">
            <v>1114582</v>
          </cell>
          <cell r="CT128">
            <v>1061470</v>
          </cell>
          <cell r="CU128">
            <v>1047336</v>
          </cell>
          <cell r="CV128">
            <v>40003</v>
          </cell>
          <cell r="CW128">
            <v>0</v>
          </cell>
          <cell r="CX128">
            <v>0</v>
          </cell>
          <cell r="CY128">
            <v>0</v>
          </cell>
          <cell r="CZ128">
            <v>0</v>
          </cell>
          <cell r="DA128">
            <v>0</v>
          </cell>
          <cell r="DC128">
            <v>0</v>
          </cell>
          <cell r="DD128">
            <v>0</v>
          </cell>
          <cell r="DE128">
            <v>0</v>
          </cell>
          <cell r="DF128">
            <v>0</v>
          </cell>
          <cell r="DG128">
            <v>0</v>
          </cell>
          <cell r="DH128">
            <v>0</v>
          </cell>
          <cell r="DI128">
            <v>0</v>
          </cell>
          <cell r="DJ128">
            <v>0</v>
          </cell>
          <cell r="DK128">
            <v>0</v>
          </cell>
          <cell r="DL128">
            <v>0</v>
          </cell>
        </row>
        <row r="129">
          <cell r="A129">
            <v>293</v>
          </cell>
          <cell r="B129" t="str">
            <v>Westervoort</v>
          </cell>
          <cell r="C129">
            <v>5</v>
          </cell>
          <cell r="D129">
            <v>6</v>
          </cell>
          <cell r="E129">
            <v>3</v>
          </cell>
          <cell r="F129">
            <v>0</v>
          </cell>
          <cell r="G129">
            <v>0</v>
          </cell>
          <cell r="H129">
            <v>-20628</v>
          </cell>
          <cell r="I129">
            <v>-8891</v>
          </cell>
          <cell r="K129">
            <v>0</v>
          </cell>
          <cell r="L129">
            <v>93591</v>
          </cell>
          <cell r="M129">
            <v>92658</v>
          </cell>
          <cell r="N129">
            <v>0</v>
          </cell>
          <cell r="O129">
            <v>0</v>
          </cell>
          <cell r="P129">
            <v>0</v>
          </cell>
          <cell r="Q129">
            <v>0</v>
          </cell>
          <cell r="R129">
            <v>0</v>
          </cell>
          <cell r="S129">
            <v>0</v>
          </cell>
          <cell r="T129">
            <v>0</v>
          </cell>
          <cell r="U129">
            <v>0</v>
          </cell>
          <cell r="V129">
            <v>0</v>
          </cell>
          <cell r="W129">
            <v>49701</v>
          </cell>
          <cell r="X129">
            <v>0</v>
          </cell>
          <cell r="Z129">
            <v>0</v>
          </cell>
          <cell r="AA129">
            <v>0</v>
          </cell>
          <cell r="AB129">
            <v>0</v>
          </cell>
          <cell r="AD129">
            <v>0</v>
          </cell>
          <cell r="AE129">
            <v>0</v>
          </cell>
          <cell r="AF129">
            <v>0</v>
          </cell>
          <cell r="AG129">
            <v>0</v>
          </cell>
          <cell r="AH129">
            <v>0</v>
          </cell>
          <cell r="AI129">
            <v>0</v>
          </cell>
          <cell r="AJ129">
            <v>0</v>
          </cell>
          <cell r="AK129">
            <v>0</v>
          </cell>
          <cell r="AM129">
            <v>0</v>
          </cell>
          <cell r="AN129">
            <v>0</v>
          </cell>
          <cell r="AO129">
            <v>0</v>
          </cell>
          <cell r="AP129">
            <v>0</v>
          </cell>
          <cell r="AQ129">
            <v>0</v>
          </cell>
          <cell r="AR129">
            <v>0</v>
          </cell>
          <cell r="AS129">
            <v>0</v>
          </cell>
          <cell r="AT129">
            <v>0</v>
          </cell>
          <cell r="AU129">
            <v>0</v>
          </cell>
          <cell r="AV129">
            <v>0</v>
          </cell>
          <cell r="AW129">
            <v>0</v>
          </cell>
          <cell r="AX129">
            <v>0</v>
          </cell>
          <cell r="BA129">
            <v>0</v>
          </cell>
          <cell r="BC129">
            <v>0</v>
          </cell>
          <cell r="BD129">
            <v>5262</v>
          </cell>
          <cell r="BF129">
            <v>0</v>
          </cell>
          <cell r="BG129">
            <v>0</v>
          </cell>
          <cell r="BH129">
            <v>0</v>
          </cell>
          <cell r="BI129">
            <v>23370</v>
          </cell>
          <cell r="BJ129">
            <v>19237</v>
          </cell>
          <cell r="BK129">
            <v>19237</v>
          </cell>
          <cell r="BL129">
            <v>0</v>
          </cell>
          <cell r="BM129">
            <v>0</v>
          </cell>
          <cell r="BN129">
            <v>0</v>
          </cell>
          <cell r="BO129">
            <v>44265</v>
          </cell>
          <cell r="BP129">
            <v>18976.8</v>
          </cell>
          <cell r="BQ129">
            <v>34186.046511627901</v>
          </cell>
          <cell r="BR129">
            <v>0</v>
          </cell>
          <cell r="BS129">
            <v>0</v>
          </cell>
          <cell r="BT129">
            <v>24716</v>
          </cell>
          <cell r="BY129">
            <v>0</v>
          </cell>
          <cell r="BZ129">
            <v>0</v>
          </cell>
          <cell r="CA129">
            <v>0</v>
          </cell>
          <cell r="CB129">
            <v>0</v>
          </cell>
          <cell r="CC129">
            <v>1132617</v>
          </cell>
          <cell r="CD129">
            <v>9256754</v>
          </cell>
          <cell r="CE129">
            <v>474132</v>
          </cell>
          <cell r="CF129">
            <v>-5250</v>
          </cell>
          <cell r="CG129">
            <v>474132</v>
          </cell>
          <cell r="CH129">
            <v>474132</v>
          </cell>
          <cell r="CI129">
            <v>474132</v>
          </cell>
          <cell r="CJ129">
            <v>474132</v>
          </cell>
          <cell r="CK129">
            <v>0</v>
          </cell>
          <cell r="CL129">
            <v>0</v>
          </cell>
          <cell r="CM129">
            <v>0</v>
          </cell>
          <cell r="CN129">
            <v>0</v>
          </cell>
          <cell r="CO129">
            <v>0</v>
          </cell>
          <cell r="CP129">
            <v>-2459</v>
          </cell>
          <cell r="CQ129">
            <v>2389924</v>
          </cell>
          <cell r="CR129">
            <v>2313757</v>
          </cell>
          <cell r="CS129">
            <v>2287447</v>
          </cell>
          <cell r="CT129">
            <v>2250401</v>
          </cell>
          <cell r="CU129">
            <v>2212268</v>
          </cell>
          <cell r="CV129">
            <v>-29403</v>
          </cell>
          <cell r="CW129">
            <v>0</v>
          </cell>
          <cell r="CX129">
            <v>0</v>
          </cell>
          <cell r="CY129">
            <v>0</v>
          </cell>
          <cell r="CZ129">
            <v>0</v>
          </cell>
          <cell r="DA129">
            <v>0</v>
          </cell>
          <cell r="DC129">
            <v>0</v>
          </cell>
          <cell r="DD129">
            <v>0</v>
          </cell>
          <cell r="DE129">
            <v>0</v>
          </cell>
          <cell r="DF129">
            <v>0</v>
          </cell>
          <cell r="DG129">
            <v>0</v>
          </cell>
          <cell r="DH129">
            <v>0</v>
          </cell>
          <cell r="DI129">
            <v>0</v>
          </cell>
          <cell r="DJ129">
            <v>0</v>
          </cell>
          <cell r="DK129">
            <v>0</v>
          </cell>
          <cell r="DL129">
            <v>0</v>
          </cell>
        </row>
        <row r="130">
          <cell r="A130">
            <v>296</v>
          </cell>
          <cell r="B130" t="str">
            <v>Wijchen</v>
          </cell>
          <cell r="C130">
            <v>5</v>
          </cell>
          <cell r="D130">
            <v>-9448</v>
          </cell>
          <cell r="E130">
            <v>-4724</v>
          </cell>
          <cell r="F130">
            <v>0</v>
          </cell>
          <cell r="G130">
            <v>0</v>
          </cell>
          <cell r="H130">
            <v>-29657</v>
          </cell>
          <cell r="I130">
            <v>-13369</v>
          </cell>
          <cell r="K130">
            <v>0</v>
          </cell>
          <cell r="L130">
            <v>160661</v>
          </cell>
          <cell r="M130">
            <v>151772</v>
          </cell>
          <cell r="N130">
            <v>0</v>
          </cell>
          <cell r="O130">
            <v>0</v>
          </cell>
          <cell r="P130">
            <v>0</v>
          </cell>
          <cell r="Q130">
            <v>0</v>
          </cell>
          <cell r="R130">
            <v>0</v>
          </cell>
          <cell r="S130">
            <v>0</v>
          </cell>
          <cell r="T130">
            <v>0</v>
          </cell>
          <cell r="U130">
            <v>0</v>
          </cell>
          <cell r="V130">
            <v>0</v>
          </cell>
          <cell r="W130">
            <v>169498</v>
          </cell>
          <cell r="X130">
            <v>0</v>
          </cell>
          <cell r="Z130">
            <v>0</v>
          </cell>
          <cell r="AA130">
            <v>0</v>
          </cell>
          <cell r="AB130">
            <v>0</v>
          </cell>
          <cell r="AD130">
            <v>0</v>
          </cell>
          <cell r="AE130">
            <v>0</v>
          </cell>
          <cell r="AF130">
            <v>0</v>
          </cell>
          <cell r="AG130">
            <v>0</v>
          </cell>
          <cell r="AH130">
            <v>0</v>
          </cell>
          <cell r="AI130">
            <v>0</v>
          </cell>
          <cell r="AJ130">
            <v>0</v>
          </cell>
          <cell r="AK130">
            <v>0</v>
          </cell>
          <cell r="AM130">
            <v>0</v>
          </cell>
          <cell r="AN130">
            <v>0</v>
          </cell>
          <cell r="AO130">
            <v>0</v>
          </cell>
          <cell r="AP130">
            <v>0</v>
          </cell>
          <cell r="AQ130">
            <v>0</v>
          </cell>
          <cell r="AR130">
            <v>0</v>
          </cell>
          <cell r="AS130">
            <v>0</v>
          </cell>
          <cell r="AT130">
            <v>0</v>
          </cell>
          <cell r="AU130">
            <v>7110</v>
          </cell>
          <cell r="AV130">
            <v>0</v>
          </cell>
          <cell r="AW130">
            <v>0</v>
          </cell>
          <cell r="AX130">
            <v>0</v>
          </cell>
          <cell r="BA130">
            <v>0</v>
          </cell>
          <cell r="BC130">
            <v>0</v>
          </cell>
          <cell r="BD130">
            <v>14349</v>
          </cell>
          <cell r="BF130">
            <v>0</v>
          </cell>
          <cell r="BG130">
            <v>0</v>
          </cell>
          <cell r="BH130">
            <v>0</v>
          </cell>
          <cell r="BI130">
            <v>55618</v>
          </cell>
          <cell r="BJ130">
            <v>45782</v>
          </cell>
          <cell r="BK130">
            <v>45782</v>
          </cell>
          <cell r="BL130">
            <v>0</v>
          </cell>
          <cell r="BM130">
            <v>0</v>
          </cell>
          <cell r="BN130">
            <v>0</v>
          </cell>
          <cell r="BO130">
            <v>145928</v>
          </cell>
          <cell r="BP130">
            <v>11069.8</v>
          </cell>
          <cell r="BQ130">
            <v>19941.8604651163</v>
          </cell>
          <cell r="BR130">
            <v>0</v>
          </cell>
          <cell r="BS130">
            <v>0</v>
          </cell>
          <cell r="BT130">
            <v>68037</v>
          </cell>
          <cell r="BY130">
            <v>0</v>
          </cell>
          <cell r="BZ130">
            <v>0</v>
          </cell>
          <cell r="CA130">
            <v>0</v>
          </cell>
          <cell r="CB130">
            <v>0</v>
          </cell>
          <cell r="CC130">
            <v>3003033</v>
          </cell>
          <cell r="CD130">
            <v>18311080</v>
          </cell>
          <cell r="CE130">
            <v>618396</v>
          </cell>
          <cell r="CF130">
            <v>0</v>
          </cell>
          <cell r="CG130">
            <v>618396</v>
          </cell>
          <cell r="CH130">
            <v>618396</v>
          </cell>
          <cell r="CI130">
            <v>618396</v>
          </cell>
          <cell r="CJ130">
            <v>618396</v>
          </cell>
          <cell r="CK130">
            <v>0</v>
          </cell>
          <cell r="CL130">
            <v>0</v>
          </cell>
          <cell r="CM130">
            <v>0</v>
          </cell>
          <cell r="CN130">
            <v>0</v>
          </cell>
          <cell r="CO130">
            <v>0</v>
          </cell>
          <cell r="CP130">
            <v>-4848</v>
          </cell>
          <cell r="CQ130">
            <v>4537535</v>
          </cell>
          <cell r="CR130">
            <v>4221686</v>
          </cell>
          <cell r="CS130">
            <v>4121490</v>
          </cell>
          <cell r="CT130">
            <v>3997361</v>
          </cell>
          <cell r="CU130">
            <v>3868469</v>
          </cell>
          <cell r="CV130">
            <v>39919</v>
          </cell>
          <cell r="CW130">
            <v>0</v>
          </cell>
          <cell r="CX130">
            <v>0</v>
          </cell>
          <cell r="CY130">
            <v>0</v>
          </cell>
          <cell r="CZ130">
            <v>0</v>
          </cell>
          <cell r="DA130">
            <v>0</v>
          </cell>
          <cell r="DC130">
            <v>0</v>
          </cell>
          <cell r="DD130">
            <v>0</v>
          </cell>
          <cell r="DE130">
            <v>0</v>
          </cell>
          <cell r="DF130">
            <v>0</v>
          </cell>
          <cell r="DG130">
            <v>0</v>
          </cell>
          <cell r="DH130">
            <v>0</v>
          </cell>
          <cell r="DI130">
            <v>0</v>
          </cell>
          <cell r="DJ130">
            <v>0</v>
          </cell>
          <cell r="DK130">
            <v>0</v>
          </cell>
          <cell r="DL130">
            <v>0</v>
          </cell>
        </row>
        <row r="131">
          <cell r="A131">
            <v>294</v>
          </cell>
          <cell r="B131" t="str">
            <v>Winterswijk</v>
          </cell>
          <cell r="C131">
            <v>5</v>
          </cell>
          <cell r="D131">
            <v>-10937</v>
          </cell>
          <cell r="E131">
            <v>-5468</v>
          </cell>
          <cell r="F131">
            <v>0</v>
          </cell>
          <cell r="G131">
            <v>0</v>
          </cell>
          <cell r="H131">
            <v>-28591</v>
          </cell>
          <cell r="I131">
            <v>-27708</v>
          </cell>
          <cell r="K131">
            <v>0</v>
          </cell>
          <cell r="L131">
            <v>129245</v>
          </cell>
          <cell r="M131">
            <v>129321</v>
          </cell>
          <cell r="N131">
            <v>0</v>
          </cell>
          <cell r="O131">
            <v>0</v>
          </cell>
          <cell r="P131">
            <v>0</v>
          </cell>
          <cell r="Q131">
            <v>0</v>
          </cell>
          <cell r="R131">
            <v>0</v>
          </cell>
          <cell r="S131">
            <v>0</v>
          </cell>
          <cell r="T131">
            <v>0</v>
          </cell>
          <cell r="U131">
            <v>0</v>
          </cell>
          <cell r="V131">
            <v>6000</v>
          </cell>
          <cell r="W131">
            <v>105261</v>
          </cell>
          <cell r="X131">
            <v>0</v>
          </cell>
          <cell r="Z131">
            <v>0</v>
          </cell>
          <cell r="AA131">
            <v>0</v>
          </cell>
          <cell r="AB131">
            <v>0</v>
          </cell>
          <cell r="AD131">
            <v>85068</v>
          </cell>
          <cell r="AE131">
            <v>0</v>
          </cell>
          <cell r="AF131">
            <v>0</v>
          </cell>
          <cell r="AG131">
            <v>0</v>
          </cell>
          <cell r="AH131">
            <v>0</v>
          </cell>
          <cell r="AI131">
            <v>0</v>
          </cell>
          <cell r="AJ131">
            <v>0</v>
          </cell>
          <cell r="AK131">
            <v>0</v>
          </cell>
          <cell r="AM131">
            <v>0</v>
          </cell>
          <cell r="AN131">
            <v>0</v>
          </cell>
          <cell r="AO131">
            <v>0</v>
          </cell>
          <cell r="AP131">
            <v>0</v>
          </cell>
          <cell r="AQ131">
            <v>0</v>
          </cell>
          <cell r="AR131">
            <v>0</v>
          </cell>
          <cell r="AS131">
            <v>0</v>
          </cell>
          <cell r="AT131">
            <v>0</v>
          </cell>
          <cell r="AU131">
            <v>11850</v>
          </cell>
          <cell r="AV131">
            <v>0</v>
          </cell>
          <cell r="AW131">
            <v>0</v>
          </cell>
          <cell r="AX131">
            <v>0</v>
          </cell>
          <cell r="BA131">
            <v>0</v>
          </cell>
          <cell r="BC131">
            <v>0</v>
          </cell>
          <cell r="BD131">
            <v>10149</v>
          </cell>
          <cell r="BF131">
            <v>0</v>
          </cell>
          <cell r="BG131">
            <v>0</v>
          </cell>
          <cell r="BH131">
            <v>0</v>
          </cell>
          <cell r="BI131">
            <v>52439</v>
          </cell>
          <cell r="BJ131">
            <v>43165</v>
          </cell>
          <cell r="BK131">
            <v>43165</v>
          </cell>
          <cell r="BL131">
            <v>0</v>
          </cell>
          <cell r="BM131">
            <v>0</v>
          </cell>
          <cell r="BN131">
            <v>0</v>
          </cell>
          <cell r="BO131">
            <v>230567</v>
          </cell>
          <cell r="BP131">
            <v>0</v>
          </cell>
          <cell r="BQ131">
            <v>0</v>
          </cell>
          <cell r="BR131">
            <v>0</v>
          </cell>
          <cell r="BS131">
            <v>0</v>
          </cell>
          <cell r="BT131">
            <v>51310</v>
          </cell>
          <cell r="BY131">
            <v>0</v>
          </cell>
          <cell r="BZ131">
            <v>0</v>
          </cell>
          <cell r="CA131">
            <v>0</v>
          </cell>
          <cell r="CB131">
            <v>0</v>
          </cell>
          <cell r="CC131">
            <v>2692047</v>
          </cell>
          <cell r="CD131">
            <v>18015202</v>
          </cell>
          <cell r="CE131">
            <v>335122</v>
          </cell>
          <cell r="CF131">
            <v>-66773</v>
          </cell>
          <cell r="CG131">
            <v>335122</v>
          </cell>
          <cell r="CH131">
            <v>335122</v>
          </cell>
          <cell r="CI131">
            <v>335122</v>
          </cell>
          <cell r="CJ131">
            <v>335122</v>
          </cell>
          <cell r="CK131">
            <v>0</v>
          </cell>
          <cell r="CL131">
            <v>0</v>
          </cell>
          <cell r="CM131">
            <v>0</v>
          </cell>
          <cell r="CN131">
            <v>0</v>
          </cell>
          <cell r="CO131">
            <v>0</v>
          </cell>
          <cell r="CP131">
            <v>0</v>
          </cell>
          <cell r="CQ131">
            <v>6386587</v>
          </cell>
          <cell r="CR131">
            <v>6145230</v>
          </cell>
          <cell r="CS131">
            <v>6021445</v>
          </cell>
          <cell r="CT131">
            <v>5805545</v>
          </cell>
          <cell r="CU131">
            <v>5554004</v>
          </cell>
          <cell r="CV131">
            <v>115338</v>
          </cell>
          <cell r="CW131">
            <v>0</v>
          </cell>
          <cell r="CX131">
            <v>0</v>
          </cell>
          <cell r="CY131">
            <v>0</v>
          </cell>
          <cell r="CZ131">
            <v>0</v>
          </cell>
          <cell r="DA131">
            <v>0</v>
          </cell>
          <cell r="DC131">
            <v>0</v>
          </cell>
          <cell r="DD131">
            <v>0</v>
          </cell>
          <cell r="DE131">
            <v>0</v>
          </cell>
          <cell r="DF131">
            <v>0</v>
          </cell>
          <cell r="DG131">
            <v>0</v>
          </cell>
          <cell r="DH131">
            <v>0</v>
          </cell>
          <cell r="DI131">
            <v>0</v>
          </cell>
          <cell r="DJ131">
            <v>0</v>
          </cell>
          <cell r="DK131">
            <v>0</v>
          </cell>
          <cell r="DL131">
            <v>0</v>
          </cell>
        </row>
        <row r="132">
          <cell r="A132">
            <v>297</v>
          </cell>
          <cell r="B132" t="str">
            <v>Zaltbommel</v>
          </cell>
          <cell r="C132">
            <v>5</v>
          </cell>
          <cell r="D132">
            <v>-3426</v>
          </cell>
          <cell r="E132">
            <v>-1713</v>
          </cell>
          <cell r="F132">
            <v>0</v>
          </cell>
          <cell r="G132">
            <v>8958</v>
          </cell>
          <cell r="H132">
            <v>-55308</v>
          </cell>
          <cell r="I132">
            <v>-37636</v>
          </cell>
          <cell r="K132">
            <v>0</v>
          </cell>
          <cell r="L132">
            <v>96994</v>
          </cell>
          <cell r="M132">
            <v>95943</v>
          </cell>
          <cell r="N132">
            <v>0</v>
          </cell>
          <cell r="O132">
            <v>0</v>
          </cell>
          <cell r="P132">
            <v>0</v>
          </cell>
          <cell r="Q132">
            <v>0</v>
          </cell>
          <cell r="R132">
            <v>0</v>
          </cell>
          <cell r="S132">
            <v>0</v>
          </cell>
          <cell r="T132">
            <v>0</v>
          </cell>
          <cell r="U132">
            <v>0</v>
          </cell>
          <cell r="V132">
            <v>6000</v>
          </cell>
          <cell r="W132">
            <v>110312</v>
          </cell>
          <cell r="X132">
            <v>0</v>
          </cell>
          <cell r="Z132">
            <v>0</v>
          </cell>
          <cell r="AA132">
            <v>0</v>
          </cell>
          <cell r="AB132">
            <v>0</v>
          </cell>
          <cell r="AD132">
            <v>0</v>
          </cell>
          <cell r="AE132">
            <v>0</v>
          </cell>
          <cell r="AF132">
            <v>0</v>
          </cell>
          <cell r="AG132">
            <v>0</v>
          </cell>
          <cell r="AH132">
            <v>0</v>
          </cell>
          <cell r="AI132">
            <v>0</v>
          </cell>
          <cell r="AJ132">
            <v>0</v>
          </cell>
          <cell r="AK132">
            <v>0</v>
          </cell>
          <cell r="AM132">
            <v>0</v>
          </cell>
          <cell r="AN132">
            <v>0</v>
          </cell>
          <cell r="AO132">
            <v>0</v>
          </cell>
          <cell r="AP132">
            <v>0</v>
          </cell>
          <cell r="AQ132">
            <v>0</v>
          </cell>
          <cell r="AR132">
            <v>0</v>
          </cell>
          <cell r="AS132">
            <v>0</v>
          </cell>
          <cell r="AT132">
            <v>0</v>
          </cell>
          <cell r="AU132">
            <v>0</v>
          </cell>
          <cell r="AV132">
            <v>0</v>
          </cell>
          <cell r="AW132">
            <v>0</v>
          </cell>
          <cell r="AX132">
            <v>0</v>
          </cell>
          <cell r="BA132">
            <v>0</v>
          </cell>
          <cell r="BC132">
            <v>0</v>
          </cell>
          <cell r="BD132">
            <v>9734</v>
          </cell>
          <cell r="BF132">
            <v>0</v>
          </cell>
          <cell r="BG132">
            <v>0</v>
          </cell>
          <cell r="BH132">
            <v>0</v>
          </cell>
          <cell r="BI132">
            <v>30078</v>
          </cell>
          <cell r="BJ132">
            <v>24759</v>
          </cell>
          <cell r="BK132">
            <v>24759</v>
          </cell>
          <cell r="BL132">
            <v>0</v>
          </cell>
          <cell r="BM132">
            <v>0</v>
          </cell>
          <cell r="BN132">
            <v>0</v>
          </cell>
          <cell r="BO132">
            <v>220352</v>
          </cell>
          <cell r="BP132">
            <v>-4744.2</v>
          </cell>
          <cell r="BQ132">
            <v>-8546.5116279069807</v>
          </cell>
          <cell r="BR132">
            <v>0</v>
          </cell>
          <cell r="BS132">
            <v>0</v>
          </cell>
          <cell r="BT132">
            <v>52481</v>
          </cell>
          <cell r="BY132">
            <v>0</v>
          </cell>
          <cell r="BZ132">
            <v>0</v>
          </cell>
          <cell r="CA132">
            <v>0</v>
          </cell>
          <cell r="CB132">
            <v>0</v>
          </cell>
          <cell r="CC132">
            <v>1738510</v>
          </cell>
          <cell r="CD132">
            <v>12092450</v>
          </cell>
          <cell r="CE132">
            <v>847833</v>
          </cell>
          <cell r="CF132">
            <v>-76985</v>
          </cell>
          <cell r="CG132">
            <v>847833</v>
          </cell>
          <cell r="CH132">
            <v>847833</v>
          </cell>
          <cell r="CI132">
            <v>847833</v>
          </cell>
          <cell r="CJ132">
            <v>847833</v>
          </cell>
          <cell r="CK132">
            <v>0</v>
          </cell>
          <cell r="CL132">
            <v>0</v>
          </cell>
          <cell r="CM132">
            <v>0</v>
          </cell>
          <cell r="CN132">
            <v>0</v>
          </cell>
          <cell r="CO132">
            <v>0</v>
          </cell>
          <cell r="CP132">
            <v>-2007</v>
          </cell>
          <cell r="CQ132">
            <v>3130630</v>
          </cell>
          <cell r="CR132">
            <v>2989865</v>
          </cell>
          <cell r="CS132">
            <v>2891439</v>
          </cell>
          <cell r="CT132">
            <v>2818154</v>
          </cell>
          <cell r="CU132">
            <v>2719678</v>
          </cell>
          <cell r="CV132">
            <v>-42369</v>
          </cell>
          <cell r="CW132">
            <v>0</v>
          </cell>
          <cell r="CX132">
            <v>0</v>
          </cell>
          <cell r="CY132">
            <v>0</v>
          </cell>
          <cell r="CZ132">
            <v>0</v>
          </cell>
          <cell r="DA132">
            <v>0</v>
          </cell>
          <cell r="DC132">
            <v>0</v>
          </cell>
          <cell r="DD132">
            <v>0</v>
          </cell>
          <cell r="DE132">
            <v>0</v>
          </cell>
          <cell r="DF132">
            <v>0</v>
          </cell>
          <cell r="DG132">
            <v>0</v>
          </cell>
          <cell r="DH132">
            <v>0</v>
          </cell>
          <cell r="DI132">
            <v>0</v>
          </cell>
          <cell r="DJ132">
            <v>0</v>
          </cell>
          <cell r="DK132">
            <v>0</v>
          </cell>
          <cell r="DL132">
            <v>0</v>
          </cell>
        </row>
        <row r="133">
          <cell r="A133">
            <v>299</v>
          </cell>
          <cell r="B133" t="str">
            <v>Zevenaar</v>
          </cell>
          <cell r="C133">
            <v>5</v>
          </cell>
          <cell r="D133">
            <v>-24110</v>
          </cell>
          <cell r="E133">
            <v>-12054</v>
          </cell>
          <cell r="F133">
            <v>0</v>
          </cell>
          <cell r="G133">
            <v>0</v>
          </cell>
          <cell r="H133">
            <v>-14096</v>
          </cell>
          <cell r="I133">
            <v>-3130</v>
          </cell>
          <cell r="K133">
            <v>0</v>
          </cell>
          <cell r="L133">
            <v>189133</v>
          </cell>
          <cell r="M133">
            <v>176912</v>
          </cell>
          <cell r="N133">
            <v>0</v>
          </cell>
          <cell r="O133">
            <v>0</v>
          </cell>
          <cell r="P133">
            <v>0</v>
          </cell>
          <cell r="Q133">
            <v>0</v>
          </cell>
          <cell r="R133">
            <v>0</v>
          </cell>
          <cell r="S133">
            <v>0</v>
          </cell>
          <cell r="T133">
            <v>0</v>
          </cell>
          <cell r="U133">
            <v>0</v>
          </cell>
          <cell r="V133">
            <v>0</v>
          </cell>
          <cell r="W133">
            <v>163472</v>
          </cell>
          <cell r="X133">
            <v>0</v>
          </cell>
          <cell r="Z133">
            <v>0</v>
          </cell>
          <cell r="AA133">
            <v>0</v>
          </cell>
          <cell r="AB133">
            <v>0</v>
          </cell>
          <cell r="AD133">
            <v>0</v>
          </cell>
          <cell r="AE133">
            <v>0</v>
          </cell>
          <cell r="AF133">
            <v>0</v>
          </cell>
          <cell r="AG133">
            <v>0</v>
          </cell>
          <cell r="AH133">
            <v>0</v>
          </cell>
          <cell r="AI133">
            <v>0</v>
          </cell>
          <cell r="AJ133">
            <v>0</v>
          </cell>
          <cell r="AK133">
            <v>0</v>
          </cell>
          <cell r="AM133">
            <v>0</v>
          </cell>
          <cell r="AN133">
            <v>0</v>
          </cell>
          <cell r="AO133">
            <v>0</v>
          </cell>
          <cell r="AP133">
            <v>0</v>
          </cell>
          <cell r="AQ133">
            <v>0</v>
          </cell>
          <cell r="AR133">
            <v>0</v>
          </cell>
          <cell r="AS133">
            <v>0</v>
          </cell>
          <cell r="AT133">
            <v>0</v>
          </cell>
          <cell r="AU133">
            <v>0</v>
          </cell>
          <cell r="AV133">
            <v>0</v>
          </cell>
          <cell r="AW133">
            <v>0</v>
          </cell>
          <cell r="AX133">
            <v>0</v>
          </cell>
          <cell r="BA133">
            <v>0</v>
          </cell>
          <cell r="BC133">
            <v>0</v>
          </cell>
          <cell r="BD133">
            <v>75846</v>
          </cell>
          <cell r="BF133">
            <v>0</v>
          </cell>
          <cell r="BG133">
            <v>0</v>
          </cell>
          <cell r="BH133">
            <v>0</v>
          </cell>
          <cell r="BI133">
            <v>72013</v>
          </cell>
          <cell r="BJ133">
            <v>59277</v>
          </cell>
          <cell r="BK133">
            <v>59277</v>
          </cell>
          <cell r="BL133">
            <v>0</v>
          </cell>
          <cell r="BM133">
            <v>0</v>
          </cell>
          <cell r="BN133">
            <v>0</v>
          </cell>
          <cell r="BO133">
            <v>133767</v>
          </cell>
          <cell r="BP133">
            <v>79070</v>
          </cell>
          <cell r="BQ133">
            <v>142441.86046511601</v>
          </cell>
          <cell r="BR133">
            <v>0</v>
          </cell>
          <cell r="BS133">
            <v>0</v>
          </cell>
          <cell r="BT133">
            <v>74448</v>
          </cell>
          <cell r="BY133">
            <v>0</v>
          </cell>
          <cell r="BZ133">
            <v>0</v>
          </cell>
          <cell r="CA133">
            <v>0</v>
          </cell>
          <cell r="CB133">
            <v>0</v>
          </cell>
          <cell r="CC133">
            <v>3948348</v>
          </cell>
          <cell r="CD133">
            <v>21545508</v>
          </cell>
          <cell r="CE133">
            <v>1256137</v>
          </cell>
          <cell r="CF133">
            <v>-7572</v>
          </cell>
          <cell r="CG133">
            <v>1256137</v>
          </cell>
          <cell r="CH133">
            <v>1256137</v>
          </cell>
          <cell r="CI133">
            <v>1256137</v>
          </cell>
          <cell r="CJ133">
            <v>1256137</v>
          </cell>
          <cell r="CK133">
            <v>0</v>
          </cell>
          <cell r="CL133">
            <v>0</v>
          </cell>
          <cell r="CM133">
            <v>0</v>
          </cell>
          <cell r="CN133">
            <v>0</v>
          </cell>
          <cell r="CO133">
            <v>0</v>
          </cell>
          <cell r="CP133">
            <v>0</v>
          </cell>
          <cell r="CQ133">
            <v>4699489</v>
          </cell>
          <cell r="CR133">
            <v>4444220</v>
          </cell>
          <cell r="CS133">
            <v>4367579</v>
          </cell>
          <cell r="CT133">
            <v>4259233</v>
          </cell>
          <cell r="CU133">
            <v>4192426</v>
          </cell>
          <cell r="CV133">
            <v>50659</v>
          </cell>
          <cell r="CW133">
            <v>0</v>
          </cell>
          <cell r="CX133">
            <v>0</v>
          </cell>
          <cell r="CY133">
            <v>0</v>
          </cell>
          <cell r="CZ133">
            <v>0</v>
          </cell>
          <cell r="DA133">
            <v>0</v>
          </cell>
          <cell r="DC133">
            <v>0</v>
          </cell>
          <cell r="DD133">
            <v>0</v>
          </cell>
          <cell r="DE133">
            <v>0</v>
          </cell>
          <cell r="DF133">
            <v>0</v>
          </cell>
          <cell r="DG133">
            <v>0</v>
          </cell>
          <cell r="DH133">
            <v>0</v>
          </cell>
          <cell r="DI133">
            <v>0</v>
          </cell>
          <cell r="DJ133">
            <v>0</v>
          </cell>
          <cell r="DK133">
            <v>0</v>
          </cell>
          <cell r="DL133">
            <v>0</v>
          </cell>
        </row>
        <row r="134">
          <cell r="A134">
            <v>301</v>
          </cell>
          <cell r="B134" t="str">
            <v>Zutphen</v>
          </cell>
          <cell r="C134">
            <v>5</v>
          </cell>
          <cell r="D134">
            <v>-36157</v>
          </cell>
          <cell r="E134">
            <v>-18079</v>
          </cell>
          <cell r="F134">
            <v>0</v>
          </cell>
          <cell r="G134">
            <v>144778</v>
          </cell>
          <cell r="H134">
            <v>0</v>
          </cell>
          <cell r="I134">
            <v>-5600</v>
          </cell>
          <cell r="K134">
            <v>0</v>
          </cell>
          <cell r="L134">
            <v>291080</v>
          </cell>
          <cell r="M134">
            <v>294830</v>
          </cell>
          <cell r="N134">
            <v>0</v>
          </cell>
          <cell r="O134">
            <v>0</v>
          </cell>
          <cell r="P134">
            <v>0</v>
          </cell>
          <cell r="Q134">
            <v>0</v>
          </cell>
          <cell r="R134">
            <v>0</v>
          </cell>
          <cell r="S134">
            <v>0</v>
          </cell>
          <cell r="T134">
            <v>0</v>
          </cell>
          <cell r="U134">
            <v>0</v>
          </cell>
          <cell r="V134">
            <v>3000</v>
          </cell>
          <cell r="W134">
            <v>191657</v>
          </cell>
          <cell r="X134">
            <v>0</v>
          </cell>
          <cell r="Z134">
            <v>0</v>
          </cell>
          <cell r="AA134">
            <v>0</v>
          </cell>
          <cell r="AB134">
            <v>50000</v>
          </cell>
          <cell r="AD134">
            <v>49867</v>
          </cell>
          <cell r="AE134">
            <v>0</v>
          </cell>
          <cell r="AF134">
            <v>0</v>
          </cell>
          <cell r="AG134">
            <v>0</v>
          </cell>
          <cell r="AH134">
            <v>0</v>
          </cell>
          <cell r="AI134">
            <v>148777</v>
          </cell>
          <cell r="AJ134">
            <v>0</v>
          </cell>
          <cell r="AK134">
            <v>0</v>
          </cell>
          <cell r="AM134">
            <v>0</v>
          </cell>
          <cell r="AN134">
            <v>0</v>
          </cell>
          <cell r="AO134">
            <v>0</v>
          </cell>
          <cell r="AP134">
            <v>0</v>
          </cell>
          <cell r="AQ134">
            <v>0</v>
          </cell>
          <cell r="AR134">
            <v>0</v>
          </cell>
          <cell r="AS134">
            <v>0</v>
          </cell>
          <cell r="AT134">
            <v>0</v>
          </cell>
          <cell r="AU134">
            <v>2370</v>
          </cell>
          <cell r="AV134">
            <v>0</v>
          </cell>
          <cell r="AW134">
            <v>0</v>
          </cell>
          <cell r="AX134">
            <v>0</v>
          </cell>
          <cell r="BA134">
            <v>0</v>
          </cell>
          <cell r="BC134">
            <v>0</v>
          </cell>
          <cell r="BD134">
            <v>16618</v>
          </cell>
          <cell r="BF134">
            <v>0</v>
          </cell>
          <cell r="BG134">
            <v>0</v>
          </cell>
          <cell r="BH134">
            <v>0</v>
          </cell>
          <cell r="BI134">
            <v>90705</v>
          </cell>
          <cell r="BJ134">
            <v>74664</v>
          </cell>
          <cell r="BK134">
            <v>74664</v>
          </cell>
          <cell r="BL134">
            <v>0</v>
          </cell>
          <cell r="BM134">
            <v>0</v>
          </cell>
          <cell r="BN134">
            <v>0</v>
          </cell>
          <cell r="BO134">
            <v>124039</v>
          </cell>
          <cell r="BP134">
            <v>28465.200000000001</v>
          </cell>
          <cell r="BQ134">
            <v>51279.069767441899</v>
          </cell>
          <cell r="BR134">
            <v>0</v>
          </cell>
          <cell r="BS134">
            <v>0</v>
          </cell>
          <cell r="BT134">
            <v>82255</v>
          </cell>
          <cell r="BY134">
            <v>0</v>
          </cell>
          <cell r="BZ134">
            <v>0</v>
          </cell>
          <cell r="CA134">
            <v>0</v>
          </cell>
          <cell r="CB134">
            <v>0</v>
          </cell>
          <cell r="CC134">
            <v>4363561</v>
          </cell>
          <cell r="CD134">
            <v>35998012</v>
          </cell>
          <cell r="CE134">
            <v>2725821</v>
          </cell>
          <cell r="CF134">
            <v>-13630</v>
          </cell>
          <cell r="CG134">
            <v>2725821</v>
          </cell>
          <cell r="CH134">
            <v>2725821</v>
          </cell>
          <cell r="CI134">
            <v>2725821</v>
          </cell>
          <cell r="CJ134">
            <v>2725821</v>
          </cell>
          <cell r="CK134">
            <v>0</v>
          </cell>
          <cell r="CL134">
            <v>0</v>
          </cell>
          <cell r="CM134">
            <v>0</v>
          </cell>
          <cell r="CN134">
            <v>0</v>
          </cell>
          <cell r="CO134">
            <v>0</v>
          </cell>
          <cell r="CP134">
            <v>0</v>
          </cell>
          <cell r="CQ134">
            <v>10460284</v>
          </cell>
          <cell r="CR134">
            <v>9990639</v>
          </cell>
          <cell r="CS134">
            <v>9801731</v>
          </cell>
          <cell r="CT134">
            <v>9654619</v>
          </cell>
          <cell r="CU134">
            <v>9571072</v>
          </cell>
          <cell r="CV134">
            <v>-14870</v>
          </cell>
          <cell r="CW134">
            <v>0</v>
          </cell>
          <cell r="CX134">
            <v>0</v>
          </cell>
          <cell r="CY134">
            <v>0</v>
          </cell>
          <cell r="CZ134">
            <v>0</v>
          </cell>
          <cell r="DA134">
            <v>0</v>
          </cell>
          <cell r="DC134">
            <v>0</v>
          </cell>
          <cell r="DD134">
            <v>0</v>
          </cell>
          <cell r="DE134">
            <v>0</v>
          </cell>
          <cell r="DF134">
            <v>0</v>
          </cell>
          <cell r="DG134">
            <v>0</v>
          </cell>
          <cell r="DH134">
            <v>0</v>
          </cell>
          <cell r="DI134">
            <v>0</v>
          </cell>
          <cell r="DJ134">
            <v>0</v>
          </cell>
          <cell r="DK134">
            <v>0</v>
          </cell>
          <cell r="DL134">
            <v>0</v>
          </cell>
        </row>
        <row r="135">
          <cell r="A135">
            <v>307</v>
          </cell>
          <cell r="B135" t="str">
            <v>Amersfoort</v>
          </cell>
          <cell r="C135">
            <v>6</v>
          </cell>
          <cell r="D135">
            <v>441166</v>
          </cell>
          <cell r="E135">
            <v>220583</v>
          </cell>
          <cell r="F135">
            <v>0</v>
          </cell>
          <cell r="G135">
            <v>131823</v>
          </cell>
          <cell r="H135">
            <v>0</v>
          </cell>
          <cell r="I135">
            <v>-32805</v>
          </cell>
          <cell r="K135">
            <v>0</v>
          </cell>
          <cell r="L135">
            <v>733272</v>
          </cell>
          <cell r="M135">
            <v>737455</v>
          </cell>
          <cell r="N135">
            <v>0</v>
          </cell>
          <cell r="O135">
            <v>0</v>
          </cell>
          <cell r="P135">
            <v>150000</v>
          </cell>
          <cell r="Q135">
            <v>0</v>
          </cell>
          <cell r="R135">
            <v>0</v>
          </cell>
          <cell r="S135">
            <v>785097</v>
          </cell>
          <cell r="T135">
            <v>785097</v>
          </cell>
          <cell r="U135">
            <v>785097</v>
          </cell>
          <cell r="V135">
            <v>8250</v>
          </cell>
          <cell r="W135">
            <v>615790</v>
          </cell>
          <cell r="X135">
            <v>0</v>
          </cell>
          <cell r="Z135">
            <v>0</v>
          </cell>
          <cell r="AA135">
            <v>0</v>
          </cell>
          <cell r="AB135">
            <v>0</v>
          </cell>
          <cell r="AD135">
            <v>184804</v>
          </cell>
          <cell r="AE135">
            <v>0</v>
          </cell>
          <cell r="AF135">
            <v>0</v>
          </cell>
          <cell r="AG135">
            <v>0</v>
          </cell>
          <cell r="AH135">
            <v>0</v>
          </cell>
          <cell r="AI135">
            <v>297554</v>
          </cell>
          <cell r="AJ135">
            <v>0</v>
          </cell>
          <cell r="AK135">
            <v>128380</v>
          </cell>
          <cell r="AM135">
            <v>0</v>
          </cell>
          <cell r="AN135">
            <v>0</v>
          </cell>
          <cell r="AO135">
            <v>0</v>
          </cell>
          <cell r="AP135">
            <v>0</v>
          </cell>
          <cell r="AQ135">
            <v>0</v>
          </cell>
          <cell r="AR135">
            <v>0</v>
          </cell>
          <cell r="AS135">
            <v>0</v>
          </cell>
          <cell r="AT135">
            <v>20000</v>
          </cell>
          <cell r="AU135">
            <v>28440</v>
          </cell>
          <cell r="AV135">
            <v>5720780.8784744497</v>
          </cell>
          <cell r="AW135">
            <v>0</v>
          </cell>
          <cell r="AX135">
            <v>0</v>
          </cell>
          <cell r="BA135">
            <v>0</v>
          </cell>
          <cell r="BC135">
            <v>0</v>
          </cell>
          <cell r="BD135">
            <v>54178</v>
          </cell>
          <cell r="BF135">
            <v>0</v>
          </cell>
          <cell r="BG135">
            <v>0</v>
          </cell>
          <cell r="BH135">
            <v>0</v>
          </cell>
          <cell r="BI135">
            <v>207151</v>
          </cell>
          <cell r="BJ135">
            <v>170516</v>
          </cell>
          <cell r="BK135">
            <v>170516</v>
          </cell>
          <cell r="BL135">
            <v>0</v>
          </cell>
          <cell r="BM135">
            <v>0</v>
          </cell>
          <cell r="BN135">
            <v>0</v>
          </cell>
          <cell r="BO135">
            <v>171709</v>
          </cell>
          <cell r="BP135">
            <v>107535.2</v>
          </cell>
          <cell r="BQ135">
            <v>193720.93023255799</v>
          </cell>
          <cell r="BR135">
            <v>135000</v>
          </cell>
          <cell r="BS135">
            <v>0</v>
          </cell>
          <cell r="BT135">
            <v>263177</v>
          </cell>
          <cell r="BY135">
            <v>2632658.1269432399</v>
          </cell>
          <cell r="BZ135">
            <v>3051865.66435656</v>
          </cell>
          <cell r="CA135">
            <v>3087677.36353258</v>
          </cell>
          <cell r="CB135">
            <v>3188792.7494413201</v>
          </cell>
          <cell r="CC135">
            <v>8969231</v>
          </cell>
          <cell r="CD135">
            <v>109878892</v>
          </cell>
          <cell r="CE135">
            <v>5395814</v>
          </cell>
          <cell r="CF135">
            <v>-78496</v>
          </cell>
          <cell r="CG135">
            <v>5395814</v>
          </cell>
          <cell r="CH135">
            <v>5395814</v>
          </cell>
          <cell r="CI135">
            <v>5395814</v>
          </cell>
          <cell r="CJ135">
            <v>5395814</v>
          </cell>
          <cell r="CK135">
            <v>34252083</v>
          </cell>
          <cell r="CL135">
            <v>34235796</v>
          </cell>
          <cell r="CM135">
            <v>34235532</v>
          </cell>
          <cell r="CN135">
            <v>34234953</v>
          </cell>
          <cell r="CO135">
            <v>34235756</v>
          </cell>
          <cell r="CP135">
            <v>0</v>
          </cell>
          <cell r="CQ135">
            <v>18076822</v>
          </cell>
          <cell r="CR135">
            <v>17154539</v>
          </cell>
          <cell r="CS135">
            <v>16591842</v>
          </cell>
          <cell r="CT135">
            <v>16203834</v>
          </cell>
          <cell r="CU135">
            <v>15878441</v>
          </cell>
          <cell r="CV135">
            <v>-196189</v>
          </cell>
          <cell r="CW135">
            <v>0</v>
          </cell>
          <cell r="CX135">
            <v>0</v>
          </cell>
          <cell r="CY135">
            <v>0</v>
          </cell>
          <cell r="CZ135">
            <v>0</v>
          </cell>
          <cell r="DA135">
            <v>0</v>
          </cell>
          <cell r="DC135">
            <v>80000</v>
          </cell>
          <cell r="DD135">
            <v>0</v>
          </cell>
          <cell r="DE135">
            <v>0</v>
          </cell>
          <cell r="DF135">
            <v>0</v>
          </cell>
          <cell r="DG135">
            <v>0</v>
          </cell>
          <cell r="DH135">
            <v>0</v>
          </cell>
          <cell r="DI135">
            <v>0</v>
          </cell>
          <cell r="DJ135">
            <v>0</v>
          </cell>
          <cell r="DK135">
            <v>0</v>
          </cell>
          <cell r="DL135">
            <v>0</v>
          </cell>
        </row>
        <row r="136">
          <cell r="A136">
            <v>308</v>
          </cell>
          <cell r="B136" t="str">
            <v>Baarn</v>
          </cell>
          <cell r="C136">
            <v>6</v>
          </cell>
          <cell r="D136">
            <v>-53646</v>
          </cell>
          <cell r="E136">
            <v>-26823</v>
          </cell>
          <cell r="F136">
            <v>0</v>
          </cell>
          <cell r="G136">
            <v>0</v>
          </cell>
          <cell r="H136">
            <v>-46226</v>
          </cell>
          <cell r="I136">
            <v>-43475</v>
          </cell>
          <cell r="K136">
            <v>0</v>
          </cell>
          <cell r="L136">
            <v>86031</v>
          </cell>
          <cell r="M136">
            <v>85421</v>
          </cell>
          <cell r="N136">
            <v>0</v>
          </cell>
          <cell r="O136">
            <v>0</v>
          </cell>
          <cell r="P136">
            <v>0</v>
          </cell>
          <cell r="Q136">
            <v>0</v>
          </cell>
          <cell r="R136">
            <v>0</v>
          </cell>
          <cell r="S136">
            <v>0</v>
          </cell>
          <cell r="T136">
            <v>0</v>
          </cell>
          <cell r="U136">
            <v>0</v>
          </cell>
          <cell r="V136">
            <v>0</v>
          </cell>
          <cell r="W136">
            <v>80814</v>
          </cell>
          <cell r="X136">
            <v>0</v>
          </cell>
          <cell r="Z136">
            <v>0</v>
          </cell>
          <cell r="AA136">
            <v>0</v>
          </cell>
          <cell r="AB136">
            <v>0</v>
          </cell>
          <cell r="AD136">
            <v>0</v>
          </cell>
          <cell r="AE136">
            <v>0</v>
          </cell>
          <cell r="AF136">
            <v>0</v>
          </cell>
          <cell r="AG136">
            <v>0</v>
          </cell>
          <cell r="AH136">
            <v>0</v>
          </cell>
          <cell r="AI136">
            <v>0</v>
          </cell>
          <cell r="AJ136">
            <v>0</v>
          </cell>
          <cell r="AK136">
            <v>0</v>
          </cell>
          <cell r="AM136">
            <v>0</v>
          </cell>
          <cell r="AN136">
            <v>0</v>
          </cell>
          <cell r="AO136">
            <v>0</v>
          </cell>
          <cell r="AP136">
            <v>0</v>
          </cell>
          <cell r="AQ136">
            <v>0</v>
          </cell>
          <cell r="AR136">
            <v>0</v>
          </cell>
          <cell r="AS136">
            <v>0</v>
          </cell>
          <cell r="AT136">
            <v>0</v>
          </cell>
          <cell r="AU136">
            <v>4740</v>
          </cell>
          <cell r="AV136">
            <v>0</v>
          </cell>
          <cell r="AW136">
            <v>0</v>
          </cell>
          <cell r="AX136">
            <v>0</v>
          </cell>
          <cell r="BA136">
            <v>0</v>
          </cell>
          <cell r="BC136">
            <v>0</v>
          </cell>
          <cell r="BD136">
            <v>8611</v>
          </cell>
          <cell r="BF136">
            <v>0</v>
          </cell>
          <cell r="BG136">
            <v>0</v>
          </cell>
          <cell r="BH136">
            <v>0</v>
          </cell>
          <cell r="BI136">
            <v>34142</v>
          </cell>
          <cell r="BJ136">
            <v>28104</v>
          </cell>
          <cell r="BK136">
            <v>28104</v>
          </cell>
          <cell r="BL136">
            <v>0</v>
          </cell>
          <cell r="BM136">
            <v>0</v>
          </cell>
          <cell r="BN136">
            <v>0</v>
          </cell>
          <cell r="BO136">
            <v>45238</v>
          </cell>
          <cell r="BP136">
            <v>14232.6</v>
          </cell>
          <cell r="BQ136">
            <v>25639.534883720899</v>
          </cell>
          <cell r="BR136">
            <v>0</v>
          </cell>
          <cell r="BS136">
            <v>0</v>
          </cell>
          <cell r="BT136">
            <v>37599</v>
          </cell>
          <cell r="BY136">
            <v>0</v>
          </cell>
          <cell r="BZ136">
            <v>0</v>
          </cell>
          <cell r="CA136">
            <v>0</v>
          </cell>
          <cell r="CB136">
            <v>0</v>
          </cell>
          <cell r="CC136">
            <v>2144870</v>
          </cell>
          <cell r="CD136">
            <v>9816468</v>
          </cell>
          <cell r="CE136">
            <v>927946</v>
          </cell>
          <cell r="CF136">
            <v>-75889</v>
          </cell>
          <cell r="CG136">
            <v>927946</v>
          </cell>
          <cell r="CH136">
            <v>927946</v>
          </cell>
          <cell r="CI136">
            <v>927946</v>
          </cell>
          <cell r="CJ136">
            <v>927946</v>
          </cell>
          <cell r="CK136">
            <v>0</v>
          </cell>
          <cell r="CL136">
            <v>0</v>
          </cell>
          <cell r="CM136">
            <v>0</v>
          </cell>
          <cell r="CN136">
            <v>0</v>
          </cell>
          <cell r="CO136">
            <v>0</v>
          </cell>
          <cell r="CP136">
            <v>-4308</v>
          </cell>
          <cell r="CQ136">
            <v>982163</v>
          </cell>
          <cell r="CR136">
            <v>936934</v>
          </cell>
          <cell r="CS136">
            <v>917362</v>
          </cell>
          <cell r="CT136">
            <v>902328</v>
          </cell>
          <cell r="CU136">
            <v>878485</v>
          </cell>
          <cell r="CV136">
            <v>-10530</v>
          </cell>
          <cell r="CW136">
            <v>0</v>
          </cell>
          <cell r="CX136">
            <v>0</v>
          </cell>
          <cell r="CY136">
            <v>0</v>
          </cell>
          <cell r="CZ136">
            <v>0</v>
          </cell>
          <cell r="DA136">
            <v>0</v>
          </cell>
          <cell r="DC136">
            <v>0</v>
          </cell>
          <cell r="DD136">
            <v>0</v>
          </cell>
          <cell r="DE136">
            <v>0</v>
          </cell>
          <cell r="DF136">
            <v>0</v>
          </cell>
          <cell r="DG136">
            <v>0</v>
          </cell>
          <cell r="DH136">
            <v>0</v>
          </cell>
          <cell r="DI136">
            <v>0</v>
          </cell>
          <cell r="DJ136">
            <v>0</v>
          </cell>
          <cell r="DK136">
            <v>0</v>
          </cell>
          <cell r="DL136">
            <v>0</v>
          </cell>
        </row>
        <row r="137">
          <cell r="A137">
            <v>312</v>
          </cell>
          <cell r="B137" t="str">
            <v>Bunnik</v>
          </cell>
          <cell r="C137">
            <v>6</v>
          </cell>
          <cell r="D137">
            <v>72293</v>
          </cell>
          <cell r="E137">
            <v>36147</v>
          </cell>
          <cell r="F137">
            <v>0</v>
          </cell>
          <cell r="G137">
            <v>0</v>
          </cell>
          <cell r="H137">
            <v>-8149</v>
          </cell>
          <cell r="I137">
            <v>-5958</v>
          </cell>
          <cell r="K137">
            <v>0</v>
          </cell>
          <cell r="L137">
            <v>28989</v>
          </cell>
          <cell r="M137">
            <v>27307</v>
          </cell>
          <cell r="N137">
            <v>0</v>
          </cell>
          <cell r="O137">
            <v>0</v>
          </cell>
          <cell r="P137">
            <v>0</v>
          </cell>
          <cell r="Q137">
            <v>0</v>
          </cell>
          <cell r="R137">
            <v>0</v>
          </cell>
          <cell r="S137">
            <v>0</v>
          </cell>
          <cell r="T137">
            <v>0</v>
          </cell>
          <cell r="U137">
            <v>0</v>
          </cell>
          <cell r="V137">
            <v>0</v>
          </cell>
          <cell r="W137">
            <v>44448</v>
          </cell>
          <cell r="X137">
            <v>0</v>
          </cell>
          <cell r="Z137">
            <v>0</v>
          </cell>
          <cell r="AA137">
            <v>0</v>
          </cell>
          <cell r="AB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cell r="AR137">
            <v>0</v>
          </cell>
          <cell r="AS137">
            <v>0</v>
          </cell>
          <cell r="AT137">
            <v>0</v>
          </cell>
          <cell r="AU137">
            <v>2370</v>
          </cell>
          <cell r="AV137">
            <v>0</v>
          </cell>
          <cell r="AW137">
            <v>0</v>
          </cell>
          <cell r="AX137">
            <v>0</v>
          </cell>
          <cell r="BA137">
            <v>0</v>
          </cell>
          <cell r="BC137">
            <v>0</v>
          </cell>
          <cell r="BD137">
            <v>5320</v>
          </cell>
          <cell r="BF137">
            <v>0</v>
          </cell>
          <cell r="BG137">
            <v>0</v>
          </cell>
          <cell r="BH137">
            <v>0</v>
          </cell>
          <cell r="BI137">
            <v>10123</v>
          </cell>
          <cell r="BJ137">
            <v>8333</v>
          </cell>
          <cell r="BK137">
            <v>8333</v>
          </cell>
          <cell r="BL137">
            <v>0</v>
          </cell>
          <cell r="BM137">
            <v>0</v>
          </cell>
          <cell r="BN137">
            <v>0</v>
          </cell>
          <cell r="BO137">
            <v>35509</v>
          </cell>
          <cell r="BP137">
            <v>1581.4</v>
          </cell>
          <cell r="BQ137">
            <v>2848.8372093023299</v>
          </cell>
          <cell r="BR137">
            <v>0</v>
          </cell>
          <cell r="BS137">
            <v>0</v>
          </cell>
          <cell r="BT137">
            <v>22723</v>
          </cell>
          <cell r="BY137">
            <v>0</v>
          </cell>
          <cell r="BZ137">
            <v>0</v>
          </cell>
          <cell r="CA137">
            <v>0</v>
          </cell>
          <cell r="CB137">
            <v>0</v>
          </cell>
          <cell r="CC137">
            <v>904421</v>
          </cell>
          <cell r="CD137">
            <v>3902079</v>
          </cell>
          <cell r="CE137">
            <v>701371</v>
          </cell>
          <cell r="CF137">
            <v>-14371</v>
          </cell>
          <cell r="CG137">
            <v>701371</v>
          </cell>
          <cell r="CH137">
            <v>701371</v>
          </cell>
          <cell r="CI137">
            <v>701371</v>
          </cell>
          <cell r="CJ137">
            <v>701371</v>
          </cell>
          <cell r="CK137">
            <v>0</v>
          </cell>
          <cell r="CL137">
            <v>0</v>
          </cell>
          <cell r="CM137">
            <v>0</v>
          </cell>
          <cell r="CN137">
            <v>0</v>
          </cell>
          <cell r="CO137">
            <v>0</v>
          </cell>
          <cell r="CP137">
            <v>0</v>
          </cell>
          <cell r="CQ137">
            <v>409500</v>
          </cell>
          <cell r="CR137">
            <v>400240</v>
          </cell>
          <cell r="CS137">
            <v>399695</v>
          </cell>
          <cell r="CT137">
            <v>396161</v>
          </cell>
          <cell r="CU137">
            <v>384553</v>
          </cell>
          <cell r="CV137">
            <v>-14301</v>
          </cell>
          <cell r="CW137">
            <v>0</v>
          </cell>
          <cell r="CX137">
            <v>0</v>
          </cell>
          <cell r="CY137">
            <v>0</v>
          </cell>
          <cell r="CZ137">
            <v>0</v>
          </cell>
          <cell r="DA137">
            <v>0</v>
          </cell>
          <cell r="DC137">
            <v>0</v>
          </cell>
          <cell r="DD137">
            <v>0</v>
          </cell>
          <cell r="DE137">
            <v>0</v>
          </cell>
          <cell r="DF137">
            <v>0</v>
          </cell>
          <cell r="DG137">
            <v>0</v>
          </cell>
          <cell r="DH137">
            <v>0</v>
          </cell>
          <cell r="DI137">
            <v>0</v>
          </cell>
          <cell r="DJ137">
            <v>0</v>
          </cell>
          <cell r="DK137">
            <v>0</v>
          </cell>
          <cell r="DL137">
            <v>0</v>
          </cell>
        </row>
        <row r="138">
          <cell r="A138">
            <v>313</v>
          </cell>
          <cell r="B138" t="str">
            <v>Bunschoten</v>
          </cell>
          <cell r="C138">
            <v>6</v>
          </cell>
          <cell r="D138">
            <v>-34698</v>
          </cell>
          <cell r="E138">
            <v>-17349</v>
          </cell>
          <cell r="F138">
            <v>0</v>
          </cell>
          <cell r="G138">
            <v>0</v>
          </cell>
          <cell r="H138">
            <v>-30185</v>
          </cell>
          <cell r="I138">
            <v>-25172</v>
          </cell>
          <cell r="K138">
            <v>0</v>
          </cell>
          <cell r="L138">
            <v>54595</v>
          </cell>
          <cell r="M138">
            <v>60661</v>
          </cell>
          <cell r="N138">
            <v>0</v>
          </cell>
          <cell r="O138">
            <v>0</v>
          </cell>
          <cell r="P138">
            <v>0</v>
          </cell>
          <cell r="Q138">
            <v>0</v>
          </cell>
          <cell r="R138">
            <v>0</v>
          </cell>
          <cell r="S138">
            <v>0</v>
          </cell>
          <cell r="T138">
            <v>0</v>
          </cell>
          <cell r="U138">
            <v>0</v>
          </cell>
          <cell r="V138">
            <v>0</v>
          </cell>
          <cell r="W138">
            <v>41417</v>
          </cell>
          <cell r="X138">
            <v>0</v>
          </cell>
          <cell r="Z138">
            <v>0</v>
          </cell>
          <cell r="AA138">
            <v>0</v>
          </cell>
          <cell r="AB138">
            <v>0</v>
          </cell>
          <cell r="AD138">
            <v>0</v>
          </cell>
          <cell r="AE138">
            <v>0</v>
          </cell>
          <cell r="AF138">
            <v>0</v>
          </cell>
          <cell r="AG138">
            <v>0</v>
          </cell>
          <cell r="AH138">
            <v>0</v>
          </cell>
          <cell r="AI138">
            <v>0</v>
          </cell>
          <cell r="AJ138">
            <v>0</v>
          </cell>
          <cell r="AK138">
            <v>0</v>
          </cell>
          <cell r="AM138">
            <v>0</v>
          </cell>
          <cell r="AN138">
            <v>0</v>
          </cell>
          <cell r="AO138">
            <v>0</v>
          </cell>
          <cell r="AP138">
            <v>0</v>
          </cell>
          <cell r="AQ138">
            <v>0</v>
          </cell>
          <cell r="AR138">
            <v>0</v>
          </cell>
          <cell r="AS138">
            <v>0</v>
          </cell>
          <cell r="AT138">
            <v>0</v>
          </cell>
          <cell r="AU138">
            <v>0</v>
          </cell>
          <cell r="AV138">
            <v>0</v>
          </cell>
          <cell r="AW138">
            <v>0</v>
          </cell>
          <cell r="AX138">
            <v>0</v>
          </cell>
          <cell r="BA138">
            <v>0</v>
          </cell>
          <cell r="BC138">
            <v>0</v>
          </cell>
          <cell r="BD138">
            <v>7379</v>
          </cell>
          <cell r="BF138">
            <v>0</v>
          </cell>
          <cell r="BG138">
            <v>0</v>
          </cell>
          <cell r="BH138">
            <v>0</v>
          </cell>
          <cell r="BI138">
            <v>19191</v>
          </cell>
          <cell r="BJ138">
            <v>15797</v>
          </cell>
          <cell r="BK138">
            <v>15797</v>
          </cell>
          <cell r="BL138">
            <v>0</v>
          </cell>
          <cell r="BM138">
            <v>0</v>
          </cell>
          <cell r="BN138">
            <v>0</v>
          </cell>
          <cell r="BO138">
            <v>52048</v>
          </cell>
          <cell r="BP138">
            <v>9488.4</v>
          </cell>
          <cell r="BQ138">
            <v>17093.023255814001</v>
          </cell>
          <cell r="BR138">
            <v>0</v>
          </cell>
          <cell r="BS138">
            <v>0</v>
          </cell>
          <cell r="BT138">
            <v>32565</v>
          </cell>
          <cell r="BY138">
            <v>0</v>
          </cell>
          <cell r="BZ138">
            <v>0</v>
          </cell>
          <cell r="CA138">
            <v>0</v>
          </cell>
          <cell r="CB138">
            <v>0</v>
          </cell>
          <cell r="CC138">
            <v>1067422</v>
          </cell>
          <cell r="CD138">
            <v>6505266</v>
          </cell>
          <cell r="CE138">
            <v>479025</v>
          </cell>
          <cell r="CF138">
            <v>-60406</v>
          </cell>
          <cell r="CG138">
            <v>479025</v>
          </cell>
          <cell r="CH138">
            <v>479025</v>
          </cell>
          <cell r="CI138">
            <v>479025</v>
          </cell>
          <cell r="CJ138">
            <v>479025</v>
          </cell>
          <cell r="CK138">
            <v>0</v>
          </cell>
          <cell r="CL138">
            <v>0</v>
          </cell>
          <cell r="CM138">
            <v>0</v>
          </cell>
          <cell r="CN138">
            <v>0</v>
          </cell>
          <cell r="CO138">
            <v>0</v>
          </cell>
          <cell r="CP138">
            <v>0</v>
          </cell>
          <cell r="CQ138">
            <v>974098</v>
          </cell>
          <cell r="CR138">
            <v>946008</v>
          </cell>
          <cell r="CS138">
            <v>929503</v>
          </cell>
          <cell r="CT138">
            <v>929362</v>
          </cell>
          <cell r="CU138">
            <v>897322</v>
          </cell>
          <cell r="CV138">
            <v>5168</v>
          </cell>
          <cell r="CW138">
            <v>0</v>
          </cell>
          <cell r="CX138">
            <v>0</v>
          </cell>
          <cell r="CY138">
            <v>0</v>
          </cell>
          <cell r="CZ138">
            <v>0</v>
          </cell>
          <cell r="DA138">
            <v>0</v>
          </cell>
          <cell r="DC138">
            <v>0</v>
          </cell>
          <cell r="DD138">
            <v>0</v>
          </cell>
          <cell r="DE138">
            <v>0</v>
          </cell>
          <cell r="DF138">
            <v>0</v>
          </cell>
          <cell r="DG138">
            <v>0</v>
          </cell>
          <cell r="DH138">
            <v>0</v>
          </cell>
          <cell r="DI138">
            <v>0</v>
          </cell>
          <cell r="DJ138">
            <v>0</v>
          </cell>
          <cell r="DK138">
            <v>0</v>
          </cell>
          <cell r="DL138">
            <v>0</v>
          </cell>
        </row>
        <row r="139">
          <cell r="A139">
            <v>310</v>
          </cell>
          <cell r="B139" t="str">
            <v>De Bilt</v>
          </cell>
          <cell r="C139">
            <v>6</v>
          </cell>
          <cell r="D139">
            <v>3971</v>
          </cell>
          <cell r="E139">
            <v>1985</v>
          </cell>
          <cell r="F139">
            <v>0</v>
          </cell>
          <cell r="G139">
            <v>0</v>
          </cell>
          <cell r="H139">
            <v>0</v>
          </cell>
          <cell r="I139">
            <v>-11203</v>
          </cell>
          <cell r="K139">
            <v>0</v>
          </cell>
          <cell r="L139">
            <v>159129</v>
          </cell>
          <cell r="M139">
            <v>151510</v>
          </cell>
          <cell r="N139">
            <v>0</v>
          </cell>
          <cell r="O139">
            <v>0</v>
          </cell>
          <cell r="P139">
            <v>0</v>
          </cell>
          <cell r="Q139">
            <v>0</v>
          </cell>
          <cell r="R139">
            <v>0</v>
          </cell>
          <cell r="S139">
            <v>0</v>
          </cell>
          <cell r="T139">
            <v>0</v>
          </cell>
          <cell r="U139">
            <v>0</v>
          </cell>
          <cell r="V139">
            <v>3000</v>
          </cell>
          <cell r="W139">
            <v>125060</v>
          </cell>
          <cell r="X139">
            <v>0</v>
          </cell>
          <cell r="Z139">
            <v>0</v>
          </cell>
          <cell r="AA139">
            <v>0</v>
          </cell>
          <cell r="AB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cell r="AR139">
            <v>0</v>
          </cell>
          <cell r="AS139">
            <v>0</v>
          </cell>
          <cell r="AT139">
            <v>0</v>
          </cell>
          <cell r="AU139">
            <v>4740</v>
          </cell>
          <cell r="AV139">
            <v>0</v>
          </cell>
          <cell r="AW139">
            <v>0</v>
          </cell>
          <cell r="AX139">
            <v>0</v>
          </cell>
          <cell r="BA139">
            <v>0</v>
          </cell>
          <cell r="BC139">
            <v>0</v>
          </cell>
          <cell r="BD139">
            <v>15008</v>
          </cell>
          <cell r="BF139">
            <v>0</v>
          </cell>
          <cell r="BG139">
            <v>0</v>
          </cell>
          <cell r="BH139">
            <v>0</v>
          </cell>
          <cell r="BI139">
            <v>50741</v>
          </cell>
          <cell r="BJ139">
            <v>41768</v>
          </cell>
          <cell r="BK139">
            <v>41768</v>
          </cell>
          <cell r="BL139">
            <v>0</v>
          </cell>
          <cell r="BM139">
            <v>0</v>
          </cell>
          <cell r="BN139">
            <v>0</v>
          </cell>
          <cell r="BO139">
            <v>35509</v>
          </cell>
          <cell r="BP139">
            <v>33209.4</v>
          </cell>
          <cell r="BQ139">
            <v>59825.581395348803</v>
          </cell>
          <cell r="BR139">
            <v>0</v>
          </cell>
          <cell r="BS139">
            <v>0</v>
          </cell>
          <cell r="BT139">
            <v>68497</v>
          </cell>
          <cell r="BY139">
            <v>0</v>
          </cell>
          <cell r="BZ139">
            <v>0</v>
          </cell>
          <cell r="CA139">
            <v>0</v>
          </cell>
          <cell r="CB139">
            <v>0</v>
          </cell>
          <cell r="CC139">
            <v>2951730</v>
          </cell>
          <cell r="CD139">
            <v>12406413</v>
          </cell>
          <cell r="CE139">
            <v>948696</v>
          </cell>
          <cell r="CF139">
            <v>0</v>
          </cell>
          <cell r="CG139">
            <v>948696</v>
          </cell>
          <cell r="CH139">
            <v>948696</v>
          </cell>
          <cell r="CI139">
            <v>948696</v>
          </cell>
          <cell r="CJ139">
            <v>948696</v>
          </cell>
          <cell r="CK139">
            <v>0</v>
          </cell>
          <cell r="CL139">
            <v>0</v>
          </cell>
          <cell r="CM139">
            <v>0</v>
          </cell>
          <cell r="CN139">
            <v>0</v>
          </cell>
          <cell r="CO139">
            <v>0</v>
          </cell>
          <cell r="CP139">
            <v>-4034</v>
          </cell>
          <cell r="CQ139">
            <v>1172685</v>
          </cell>
          <cell r="CR139">
            <v>1123254</v>
          </cell>
          <cell r="CS139">
            <v>1087343</v>
          </cell>
          <cell r="CT139">
            <v>1050440</v>
          </cell>
          <cell r="CU139">
            <v>1023242</v>
          </cell>
          <cell r="CV139">
            <v>-28429</v>
          </cell>
          <cell r="CW139">
            <v>0</v>
          </cell>
          <cell r="CX139">
            <v>0</v>
          </cell>
          <cell r="CY139">
            <v>0</v>
          </cell>
          <cell r="CZ139">
            <v>0</v>
          </cell>
          <cell r="DA139">
            <v>0</v>
          </cell>
          <cell r="DC139">
            <v>0</v>
          </cell>
          <cell r="DD139">
            <v>0</v>
          </cell>
          <cell r="DE139">
            <v>0</v>
          </cell>
          <cell r="DF139">
            <v>0</v>
          </cell>
          <cell r="DG139">
            <v>0</v>
          </cell>
          <cell r="DH139">
            <v>0</v>
          </cell>
          <cell r="DI139">
            <v>0</v>
          </cell>
          <cell r="DJ139">
            <v>0</v>
          </cell>
          <cell r="DK139">
            <v>0</v>
          </cell>
          <cell r="DL139">
            <v>0</v>
          </cell>
        </row>
        <row r="140">
          <cell r="A140">
            <v>736</v>
          </cell>
          <cell r="B140" t="str">
            <v>De Ronde Venen</v>
          </cell>
          <cell r="C140">
            <v>6</v>
          </cell>
          <cell r="D140">
            <v>-1109</v>
          </cell>
          <cell r="E140">
            <v>-555</v>
          </cell>
          <cell r="F140">
            <v>0</v>
          </cell>
          <cell r="G140">
            <v>0</v>
          </cell>
          <cell r="H140">
            <v>0</v>
          </cell>
          <cell r="I140">
            <v>-3481</v>
          </cell>
          <cell r="K140">
            <v>0</v>
          </cell>
          <cell r="L140">
            <v>140208</v>
          </cell>
          <cell r="M140">
            <v>136702</v>
          </cell>
          <cell r="N140">
            <v>0</v>
          </cell>
          <cell r="O140">
            <v>0</v>
          </cell>
          <cell r="P140">
            <v>0</v>
          </cell>
          <cell r="Q140">
            <v>0</v>
          </cell>
          <cell r="R140">
            <v>0</v>
          </cell>
          <cell r="S140">
            <v>0</v>
          </cell>
          <cell r="T140">
            <v>0</v>
          </cell>
          <cell r="U140">
            <v>0</v>
          </cell>
          <cell r="V140">
            <v>0</v>
          </cell>
          <cell r="W140">
            <v>189130</v>
          </cell>
          <cell r="X140">
            <v>0</v>
          </cell>
          <cell r="Z140">
            <v>0</v>
          </cell>
          <cell r="AA140">
            <v>0</v>
          </cell>
          <cell r="AB140">
            <v>0</v>
          </cell>
          <cell r="AD140">
            <v>0</v>
          </cell>
          <cell r="AE140">
            <v>0</v>
          </cell>
          <cell r="AF140">
            <v>0</v>
          </cell>
          <cell r="AG140">
            <v>0</v>
          </cell>
          <cell r="AH140">
            <v>0</v>
          </cell>
          <cell r="AI140">
            <v>0</v>
          </cell>
          <cell r="AJ140">
            <v>0</v>
          </cell>
          <cell r="AK140">
            <v>0</v>
          </cell>
          <cell r="AM140">
            <v>0</v>
          </cell>
          <cell r="AN140">
            <v>0</v>
          </cell>
          <cell r="AO140">
            <v>0</v>
          </cell>
          <cell r="AP140">
            <v>0</v>
          </cell>
          <cell r="AQ140">
            <v>0</v>
          </cell>
          <cell r="AR140">
            <v>0</v>
          </cell>
          <cell r="AS140">
            <v>0</v>
          </cell>
          <cell r="AT140">
            <v>0</v>
          </cell>
          <cell r="AU140">
            <v>2370</v>
          </cell>
          <cell r="AV140">
            <v>0</v>
          </cell>
          <cell r="AW140">
            <v>0</v>
          </cell>
          <cell r="AX140">
            <v>0</v>
          </cell>
          <cell r="BA140">
            <v>0</v>
          </cell>
          <cell r="BC140">
            <v>0</v>
          </cell>
          <cell r="BD140">
            <v>15011</v>
          </cell>
          <cell r="BF140">
            <v>0</v>
          </cell>
          <cell r="BG140">
            <v>0</v>
          </cell>
          <cell r="BH140">
            <v>0</v>
          </cell>
          <cell r="BI140">
            <v>40613</v>
          </cell>
          <cell r="BJ140">
            <v>33431</v>
          </cell>
          <cell r="BK140">
            <v>33431</v>
          </cell>
          <cell r="BL140">
            <v>0</v>
          </cell>
          <cell r="BM140">
            <v>0</v>
          </cell>
          <cell r="BN140">
            <v>0</v>
          </cell>
          <cell r="BO140">
            <v>190680</v>
          </cell>
          <cell r="BP140">
            <v>14232.6</v>
          </cell>
          <cell r="BQ140">
            <v>25639.534883720899</v>
          </cell>
          <cell r="BR140">
            <v>0</v>
          </cell>
          <cell r="BS140">
            <v>0</v>
          </cell>
          <cell r="BT140">
            <v>78118</v>
          </cell>
          <cell r="BY140">
            <v>0</v>
          </cell>
          <cell r="BZ140">
            <v>0</v>
          </cell>
          <cell r="CA140">
            <v>0</v>
          </cell>
          <cell r="CB140">
            <v>0</v>
          </cell>
          <cell r="CC140">
            <v>2482793</v>
          </cell>
          <cell r="CD140">
            <v>11263687</v>
          </cell>
          <cell r="CE140">
            <v>830727</v>
          </cell>
          <cell r="CF140">
            <v>0</v>
          </cell>
          <cell r="CG140">
            <v>830727</v>
          </cell>
          <cell r="CH140">
            <v>830727</v>
          </cell>
          <cell r="CI140">
            <v>830727</v>
          </cell>
          <cell r="CJ140">
            <v>830727</v>
          </cell>
          <cell r="CK140">
            <v>0</v>
          </cell>
          <cell r="CL140">
            <v>0</v>
          </cell>
          <cell r="CM140">
            <v>0</v>
          </cell>
          <cell r="CN140">
            <v>0</v>
          </cell>
          <cell r="CO140">
            <v>0</v>
          </cell>
          <cell r="CP140">
            <v>-1259</v>
          </cell>
          <cell r="CQ140">
            <v>1509937</v>
          </cell>
          <cell r="CR140">
            <v>1481753</v>
          </cell>
          <cell r="CS140">
            <v>1445773</v>
          </cell>
          <cell r="CT140">
            <v>1447684</v>
          </cell>
          <cell r="CU140">
            <v>1450500</v>
          </cell>
          <cell r="CV140">
            <v>30582</v>
          </cell>
          <cell r="CW140">
            <v>0</v>
          </cell>
          <cell r="CX140">
            <v>0</v>
          </cell>
          <cell r="CY140">
            <v>0</v>
          </cell>
          <cell r="CZ140">
            <v>0</v>
          </cell>
          <cell r="DA140">
            <v>0</v>
          </cell>
          <cell r="DC140">
            <v>0</v>
          </cell>
          <cell r="DD140">
            <v>0</v>
          </cell>
          <cell r="DE140">
            <v>0</v>
          </cell>
          <cell r="DF140">
            <v>0</v>
          </cell>
          <cell r="DG140">
            <v>0</v>
          </cell>
          <cell r="DH140">
            <v>0</v>
          </cell>
          <cell r="DI140">
            <v>0</v>
          </cell>
          <cell r="DJ140">
            <v>0</v>
          </cell>
          <cell r="DK140">
            <v>0</v>
          </cell>
          <cell r="DL140">
            <v>0</v>
          </cell>
        </row>
        <row r="141">
          <cell r="A141">
            <v>317</v>
          </cell>
          <cell r="B141" t="str">
            <v>Eemnes</v>
          </cell>
          <cell r="C141">
            <v>6</v>
          </cell>
          <cell r="D141">
            <v>-13158</v>
          </cell>
          <cell r="E141">
            <v>-6579</v>
          </cell>
          <cell r="F141">
            <v>0</v>
          </cell>
          <cell r="G141">
            <v>0</v>
          </cell>
          <cell r="H141">
            <v>0</v>
          </cell>
          <cell r="I141">
            <v>-180</v>
          </cell>
          <cell r="K141">
            <v>0</v>
          </cell>
          <cell r="L141">
            <v>31376</v>
          </cell>
          <cell r="M141">
            <v>29854</v>
          </cell>
          <cell r="N141">
            <v>0</v>
          </cell>
          <cell r="O141">
            <v>0</v>
          </cell>
          <cell r="P141">
            <v>0</v>
          </cell>
          <cell r="Q141">
            <v>0</v>
          </cell>
          <cell r="R141">
            <v>0</v>
          </cell>
          <cell r="S141">
            <v>0</v>
          </cell>
          <cell r="T141">
            <v>0</v>
          </cell>
          <cell r="U141">
            <v>0</v>
          </cell>
          <cell r="V141">
            <v>0</v>
          </cell>
          <cell r="W141">
            <v>30305</v>
          </cell>
          <cell r="X141">
            <v>0</v>
          </cell>
          <cell r="Z141">
            <v>0</v>
          </cell>
          <cell r="AA141">
            <v>0</v>
          </cell>
          <cell r="AB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cell r="AR141">
            <v>0</v>
          </cell>
          <cell r="AS141">
            <v>0</v>
          </cell>
          <cell r="AT141">
            <v>0</v>
          </cell>
          <cell r="AU141">
            <v>0</v>
          </cell>
          <cell r="AV141">
            <v>0</v>
          </cell>
          <cell r="AW141">
            <v>0</v>
          </cell>
          <cell r="AX141">
            <v>0</v>
          </cell>
          <cell r="BA141">
            <v>0</v>
          </cell>
          <cell r="BC141">
            <v>0</v>
          </cell>
          <cell r="BD141">
            <v>3159</v>
          </cell>
          <cell r="BF141">
            <v>0</v>
          </cell>
          <cell r="BG141">
            <v>0</v>
          </cell>
          <cell r="BH141">
            <v>0</v>
          </cell>
          <cell r="BI141">
            <v>7714</v>
          </cell>
          <cell r="BJ141">
            <v>6350</v>
          </cell>
          <cell r="BK141">
            <v>6350</v>
          </cell>
          <cell r="BL141">
            <v>0</v>
          </cell>
          <cell r="BM141">
            <v>0</v>
          </cell>
          <cell r="BN141">
            <v>0</v>
          </cell>
          <cell r="BO141">
            <v>79288</v>
          </cell>
          <cell r="BP141">
            <v>0</v>
          </cell>
          <cell r="BQ141">
            <v>0</v>
          </cell>
          <cell r="BR141">
            <v>0</v>
          </cell>
          <cell r="BS141">
            <v>0</v>
          </cell>
          <cell r="BT141">
            <v>15295</v>
          </cell>
          <cell r="BY141">
            <v>0</v>
          </cell>
          <cell r="BZ141">
            <v>0</v>
          </cell>
          <cell r="CA141">
            <v>0</v>
          </cell>
          <cell r="CB141">
            <v>0</v>
          </cell>
          <cell r="CC141">
            <v>530530</v>
          </cell>
          <cell r="CD141">
            <v>2594575</v>
          </cell>
          <cell r="CE141">
            <v>40062</v>
          </cell>
          <cell r="CF141">
            <v>0</v>
          </cell>
          <cell r="CG141">
            <v>40062</v>
          </cell>
          <cell r="CH141">
            <v>40062</v>
          </cell>
          <cell r="CI141">
            <v>40062</v>
          </cell>
          <cell r="CJ141">
            <v>40062</v>
          </cell>
          <cell r="CK141">
            <v>0</v>
          </cell>
          <cell r="CL141">
            <v>0</v>
          </cell>
          <cell r="CM141">
            <v>0</v>
          </cell>
          <cell r="CN141">
            <v>0</v>
          </cell>
          <cell r="CO141">
            <v>0</v>
          </cell>
          <cell r="CP141">
            <v>-65</v>
          </cell>
          <cell r="CQ141">
            <v>297117</v>
          </cell>
          <cell r="CR141">
            <v>289808</v>
          </cell>
          <cell r="CS141">
            <v>288953</v>
          </cell>
          <cell r="CT141">
            <v>276089</v>
          </cell>
          <cell r="CU141">
            <v>270847</v>
          </cell>
          <cell r="CV141">
            <v>30627</v>
          </cell>
          <cell r="CW141">
            <v>0</v>
          </cell>
          <cell r="CX141">
            <v>0</v>
          </cell>
          <cell r="CY141">
            <v>0</v>
          </cell>
          <cell r="CZ141">
            <v>0</v>
          </cell>
          <cell r="DA141">
            <v>0</v>
          </cell>
          <cell r="DC141">
            <v>0</v>
          </cell>
          <cell r="DD141">
            <v>0</v>
          </cell>
          <cell r="DE141">
            <v>0</v>
          </cell>
          <cell r="DF141">
            <v>0</v>
          </cell>
          <cell r="DG141">
            <v>0</v>
          </cell>
          <cell r="DH141">
            <v>0</v>
          </cell>
          <cell r="DI141">
            <v>0</v>
          </cell>
          <cell r="DJ141">
            <v>0</v>
          </cell>
          <cell r="DK141">
            <v>0</v>
          </cell>
          <cell r="DL141">
            <v>0</v>
          </cell>
        </row>
        <row r="142">
          <cell r="A142">
            <v>321</v>
          </cell>
          <cell r="B142" t="str">
            <v>Houten</v>
          </cell>
          <cell r="C142">
            <v>6</v>
          </cell>
          <cell r="D142">
            <v>75757</v>
          </cell>
          <cell r="E142">
            <v>37879</v>
          </cell>
          <cell r="F142">
            <v>0</v>
          </cell>
          <cell r="G142">
            <v>0</v>
          </cell>
          <cell r="H142">
            <v>0</v>
          </cell>
          <cell r="I142">
            <v>-10277</v>
          </cell>
          <cell r="K142">
            <v>0</v>
          </cell>
          <cell r="L142">
            <v>144426</v>
          </cell>
          <cell r="M142">
            <v>134273</v>
          </cell>
          <cell r="N142">
            <v>0</v>
          </cell>
          <cell r="O142">
            <v>0</v>
          </cell>
          <cell r="P142">
            <v>0</v>
          </cell>
          <cell r="Q142">
            <v>0</v>
          </cell>
          <cell r="R142">
            <v>0</v>
          </cell>
          <cell r="S142">
            <v>0</v>
          </cell>
          <cell r="T142">
            <v>0</v>
          </cell>
          <cell r="U142">
            <v>0</v>
          </cell>
          <cell r="V142">
            <v>3000</v>
          </cell>
          <cell r="W142">
            <v>228394</v>
          </cell>
          <cell r="X142">
            <v>0</v>
          </cell>
          <cell r="Z142">
            <v>0</v>
          </cell>
          <cell r="AA142">
            <v>0</v>
          </cell>
          <cell r="AB142">
            <v>0</v>
          </cell>
          <cell r="AD142">
            <v>0</v>
          </cell>
          <cell r="AE142">
            <v>0</v>
          </cell>
          <cell r="AF142">
            <v>0</v>
          </cell>
          <cell r="AG142">
            <v>0</v>
          </cell>
          <cell r="AH142">
            <v>0</v>
          </cell>
          <cell r="AI142">
            <v>297554</v>
          </cell>
          <cell r="AJ142">
            <v>0</v>
          </cell>
          <cell r="AK142">
            <v>0</v>
          </cell>
          <cell r="AM142">
            <v>0</v>
          </cell>
          <cell r="AN142">
            <v>0</v>
          </cell>
          <cell r="AO142">
            <v>0</v>
          </cell>
          <cell r="AP142">
            <v>0</v>
          </cell>
          <cell r="AQ142">
            <v>0</v>
          </cell>
          <cell r="AR142">
            <v>0</v>
          </cell>
          <cell r="AS142">
            <v>0</v>
          </cell>
          <cell r="AT142">
            <v>0</v>
          </cell>
          <cell r="AU142">
            <v>7110</v>
          </cell>
          <cell r="AV142">
            <v>0</v>
          </cell>
          <cell r="AW142">
            <v>0</v>
          </cell>
          <cell r="AX142">
            <v>0</v>
          </cell>
          <cell r="BA142">
            <v>0</v>
          </cell>
          <cell r="BC142">
            <v>0</v>
          </cell>
          <cell r="BD142">
            <v>17306</v>
          </cell>
          <cell r="BF142">
            <v>0</v>
          </cell>
          <cell r="BG142">
            <v>0</v>
          </cell>
          <cell r="BH142">
            <v>0</v>
          </cell>
          <cell r="BI142">
            <v>33541</v>
          </cell>
          <cell r="BJ142">
            <v>27609</v>
          </cell>
          <cell r="BK142">
            <v>27609</v>
          </cell>
          <cell r="BL142">
            <v>0</v>
          </cell>
          <cell r="BM142">
            <v>0</v>
          </cell>
          <cell r="BN142">
            <v>0</v>
          </cell>
          <cell r="BO142">
            <v>62263</v>
          </cell>
          <cell r="BP142">
            <v>17395.400000000001</v>
          </cell>
          <cell r="BQ142">
            <v>31337.209302325598</v>
          </cell>
          <cell r="BR142">
            <v>0</v>
          </cell>
          <cell r="BS142">
            <v>0</v>
          </cell>
          <cell r="BT142">
            <v>85049</v>
          </cell>
          <cell r="BY142">
            <v>0</v>
          </cell>
          <cell r="BZ142">
            <v>0</v>
          </cell>
          <cell r="CA142">
            <v>0</v>
          </cell>
          <cell r="CB142">
            <v>0</v>
          </cell>
          <cell r="CC142">
            <v>2158529</v>
          </cell>
          <cell r="CD142">
            <v>15462227</v>
          </cell>
          <cell r="CE142">
            <v>1894746</v>
          </cell>
          <cell r="CF142">
            <v>-5597</v>
          </cell>
          <cell r="CG142">
            <v>1894746</v>
          </cell>
          <cell r="CH142">
            <v>1894746</v>
          </cell>
          <cell r="CI142">
            <v>1894746</v>
          </cell>
          <cell r="CJ142">
            <v>1894746</v>
          </cell>
          <cell r="CK142">
            <v>0</v>
          </cell>
          <cell r="CL142">
            <v>0</v>
          </cell>
          <cell r="CM142">
            <v>0</v>
          </cell>
          <cell r="CN142">
            <v>0</v>
          </cell>
          <cell r="CO142">
            <v>0</v>
          </cell>
          <cell r="CP142">
            <v>-2860</v>
          </cell>
          <cell r="CQ142">
            <v>778966</v>
          </cell>
          <cell r="CR142">
            <v>784834</v>
          </cell>
          <cell r="CS142">
            <v>789851</v>
          </cell>
          <cell r="CT142">
            <v>801561</v>
          </cell>
          <cell r="CU142">
            <v>820384</v>
          </cell>
          <cell r="CV142">
            <v>-72545</v>
          </cell>
          <cell r="CW142">
            <v>0</v>
          </cell>
          <cell r="CX142">
            <v>0</v>
          </cell>
          <cell r="CY142">
            <v>0</v>
          </cell>
          <cell r="CZ142">
            <v>0</v>
          </cell>
          <cell r="DA142">
            <v>0</v>
          </cell>
          <cell r="DC142">
            <v>0</v>
          </cell>
          <cell r="DD142">
            <v>0</v>
          </cell>
          <cell r="DE142">
            <v>0</v>
          </cell>
          <cell r="DF142">
            <v>0</v>
          </cell>
          <cell r="DG142">
            <v>0</v>
          </cell>
          <cell r="DH142">
            <v>0</v>
          </cell>
          <cell r="DI142">
            <v>0</v>
          </cell>
          <cell r="DJ142">
            <v>0</v>
          </cell>
          <cell r="DK142">
            <v>0</v>
          </cell>
          <cell r="DL142">
            <v>0</v>
          </cell>
        </row>
        <row r="143">
          <cell r="A143">
            <v>353</v>
          </cell>
          <cell r="B143" t="str">
            <v>IJsselstein</v>
          </cell>
          <cell r="C143">
            <v>6</v>
          </cell>
          <cell r="D143">
            <v>-15598</v>
          </cell>
          <cell r="E143">
            <v>-7799</v>
          </cell>
          <cell r="F143">
            <v>0</v>
          </cell>
          <cell r="G143">
            <v>0</v>
          </cell>
          <cell r="H143">
            <v>-27907</v>
          </cell>
          <cell r="I143">
            <v>-33003</v>
          </cell>
          <cell r="K143">
            <v>0</v>
          </cell>
          <cell r="L143">
            <v>152086</v>
          </cell>
          <cell r="M143">
            <v>142987</v>
          </cell>
          <cell r="N143">
            <v>0</v>
          </cell>
          <cell r="O143">
            <v>0</v>
          </cell>
          <cell r="P143">
            <v>0</v>
          </cell>
          <cell r="Q143">
            <v>0</v>
          </cell>
          <cell r="R143">
            <v>0</v>
          </cell>
          <cell r="S143">
            <v>0</v>
          </cell>
          <cell r="T143">
            <v>0</v>
          </cell>
          <cell r="U143">
            <v>0</v>
          </cell>
          <cell r="V143">
            <v>0</v>
          </cell>
          <cell r="W143">
            <v>142840</v>
          </cell>
          <cell r="X143">
            <v>0</v>
          </cell>
          <cell r="Z143">
            <v>0</v>
          </cell>
          <cell r="AA143">
            <v>0</v>
          </cell>
          <cell r="AB143">
            <v>0</v>
          </cell>
          <cell r="AD143">
            <v>0</v>
          </cell>
          <cell r="AE143">
            <v>0</v>
          </cell>
          <cell r="AF143">
            <v>0</v>
          </cell>
          <cell r="AG143">
            <v>0</v>
          </cell>
          <cell r="AH143">
            <v>0</v>
          </cell>
          <cell r="AI143">
            <v>0</v>
          </cell>
          <cell r="AJ143">
            <v>0</v>
          </cell>
          <cell r="AK143">
            <v>0</v>
          </cell>
          <cell r="AM143">
            <v>0</v>
          </cell>
          <cell r="AN143">
            <v>0</v>
          </cell>
          <cell r="AO143">
            <v>0</v>
          </cell>
          <cell r="AP143">
            <v>0</v>
          </cell>
          <cell r="AQ143">
            <v>0</v>
          </cell>
          <cell r="AR143">
            <v>0</v>
          </cell>
          <cell r="AS143">
            <v>0</v>
          </cell>
          <cell r="AT143">
            <v>0</v>
          </cell>
          <cell r="AU143">
            <v>0</v>
          </cell>
          <cell r="AV143">
            <v>0</v>
          </cell>
          <cell r="AW143">
            <v>0</v>
          </cell>
          <cell r="AX143">
            <v>0</v>
          </cell>
          <cell r="BA143">
            <v>0</v>
          </cell>
          <cell r="BC143">
            <v>0</v>
          </cell>
          <cell r="BD143">
            <v>12008</v>
          </cell>
          <cell r="BF143">
            <v>0</v>
          </cell>
          <cell r="BG143">
            <v>0</v>
          </cell>
          <cell r="BH143">
            <v>0</v>
          </cell>
          <cell r="BI143">
            <v>36122</v>
          </cell>
          <cell r="BJ143">
            <v>29733</v>
          </cell>
          <cell r="BK143">
            <v>29733</v>
          </cell>
          <cell r="BL143">
            <v>0</v>
          </cell>
          <cell r="BM143">
            <v>0</v>
          </cell>
          <cell r="BN143">
            <v>0</v>
          </cell>
          <cell r="BO143">
            <v>41346</v>
          </cell>
          <cell r="BP143">
            <v>3162.8</v>
          </cell>
          <cell r="BQ143">
            <v>5697.6744186046499</v>
          </cell>
          <cell r="BR143">
            <v>0</v>
          </cell>
          <cell r="BS143">
            <v>0</v>
          </cell>
          <cell r="BT143">
            <v>54795</v>
          </cell>
          <cell r="BY143">
            <v>0</v>
          </cell>
          <cell r="BZ143">
            <v>0</v>
          </cell>
          <cell r="CA143">
            <v>0</v>
          </cell>
          <cell r="CB143">
            <v>0</v>
          </cell>
          <cell r="CC143">
            <v>2103570</v>
          </cell>
          <cell r="CD143">
            <v>13492768</v>
          </cell>
          <cell r="CE143">
            <v>577192</v>
          </cell>
          <cell r="CF143">
            <v>-51508</v>
          </cell>
          <cell r="CG143">
            <v>577192</v>
          </cell>
          <cell r="CH143">
            <v>577192</v>
          </cell>
          <cell r="CI143">
            <v>577192</v>
          </cell>
          <cell r="CJ143">
            <v>577192</v>
          </cell>
          <cell r="CK143">
            <v>0</v>
          </cell>
          <cell r="CL143">
            <v>0</v>
          </cell>
          <cell r="CM143">
            <v>0</v>
          </cell>
          <cell r="CN143">
            <v>0</v>
          </cell>
          <cell r="CO143">
            <v>0</v>
          </cell>
          <cell r="CP143">
            <v>-4302</v>
          </cell>
          <cell r="CQ143">
            <v>2392730</v>
          </cell>
          <cell r="CR143">
            <v>2306443</v>
          </cell>
          <cell r="CS143">
            <v>2281842</v>
          </cell>
          <cell r="CT143">
            <v>2272451</v>
          </cell>
          <cell r="CU143">
            <v>2257094</v>
          </cell>
          <cell r="CV143">
            <v>-42376</v>
          </cell>
          <cell r="CW143">
            <v>0</v>
          </cell>
          <cell r="CX143">
            <v>0</v>
          </cell>
          <cell r="CY143">
            <v>0</v>
          </cell>
          <cell r="CZ143">
            <v>0</v>
          </cell>
          <cell r="DA143">
            <v>0</v>
          </cell>
          <cell r="DC143">
            <v>0</v>
          </cell>
          <cell r="DD143">
            <v>0</v>
          </cell>
          <cell r="DE143">
            <v>0</v>
          </cell>
          <cell r="DF143">
            <v>0</v>
          </cell>
          <cell r="DG143">
            <v>0</v>
          </cell>
          <cell r="DH143">
            <v>0</v>
          </cell>
          <cell r="DI143">
            <v>0</v>
          </cell>
          <cell r="DJ143">
            <v>0</v>
          </cell>
          <cell r="DK143">
            <v>0</v>
          </cell>
          <cell r="DL143">
            <v>0</v>
          </cell>
        </row>
        <row r="144">
          <cell r="A144">
            <v>327</v>
          </cell>
          <cell r="B144" t="str">
            <v>Leusden</v>
          </cell>
          <cell r="C144">
            <v>6</v>
          </cell>
          <cell r="D144">
            <v>-7352</v>
          </cell>
          <cell r="E144">
            <v>-3676</v>
          </cell>
          <cell r="F144">
            <v>0</v>
          </cell>
          <cell r="G144">
            <v>0</v>
          </cell>
          <cell r="H144">
            <v>0</v>
          </cell>
          <cell r="I144">
            <v>0</v>
          </cell>
          <cell r="K144">
            <v>0</v>
          </cell>
          <cell r="L144">
            <v>67965</v>
          </cell>
          <cell r="M144">
            <v>65351</v>
          </cell>
          <cell r="N144">
            <v>0</v>
          </cell>
          <cell r="O144">
            <v>0</v>
          </cell>
          <cell r="P144">
            <v>0</v>
          </cell>
          <cell r="Q144">
            <v>0</v>
          </cell>
          <cell r="R144">
            <v>0</v>
          </cell>
          <cell r="S144">
            <v>0</v>
          </cell>
          <cell r="T144">
            <v>0</v>
          </cell>
          <cell r="U144">
            <v>0</v>
          </cell>
          <cell r="V144">
            <v>0</v>
          </cell>
          <cell r="W144">
            <v>121098</v>
          </cell>
          <cell r="X144">
            <v>0</v>
          </cell>
          <cell r="Z144">
            <v>0</v>
          </cell>
          <cell r="AA144">
            <v>0</v>
          </cell>
          <cell r="AB144">
            <v>0</v>
          </cell>
          <cell r="AD144">
            <v>0</v>
          </cell>
          <cell r="AE144">
            <v>0</v>
          </cell>
          <cell r="AF144">
            <v>0</v>
          </cell>
          <cell r="AG144">
            <v>0</v>
          </cell>
          <cell r="AH144">
            <v>0</v>
          </cell>
          <cell r="AI144">
            <v>0</v>
          </cell>
          <cell r="AJ144">
            <v>0</v>
          </cell>
          <cell r="AK144">
            <v>0</v>
          </cell>
          <cell r="AM144">
            <v>0</v>
          </cell>
          <cell r="AN144">
            <v>0</v>
          </cell>
          <cell r="AO144">
            <v>0</v>
          </cell>
          <cell r="AP144">
            <v>0</v>
          </cell>
          <cell r="AQ144">
            <v>0</v>
          </cell>
          <cell r="AR144">
            <v>0</v>
          </cell>
          <cell r="AS144">
            <v>0</v>
          </cell>
          <cell r="AT144">
            <v>0</v>
          </cell>
          <cell r="AU144">
            <v>11850</v>
          </cell>
          <cell r="AV144">
            <v>0</v>
          </cell>
          <cell r="AW144">
            <v>0</v>
          </cell>
          <cell r="AX144">
            <v>0</v>
          </cell>
          <cell r="BA144">
            <v>0</v>
          </cell>
          <cell r="BC144">
            <v>0</v>
          </cell>
          <cell r="BD144">
            <v>10418</v>
          </cell>
          <cell r="BF144">
            <v>0</v>
          </cell>
          <cell r="BG144">
            <v>0</v>
          </cell>
          <cell r="BH144">
            <v>0</v>
          </cell>
          <cell r="BI144">
            <v>25830</v>
          </cell>
          <cell r="BJ144">
            <v>21262</v>
          </cell>
          <cell r="BK144">
            <v>21262</v>
          </cell>
          <cell r="BL144">
            <v>0</v>
          </cell>
          <cell r="BM144">
            <v>0</v>
          </cell>
          <cell r="BN144">
            <v>0</v>
          </cell>
          <cell r="BO144">
            <v>58858</v>
          </cell>
          <cell r="BP144">
            <v>22139.599999999999</v>
          </cell>
          <cell r="BQ144">
            <v>39883.720930232601</v>
          </cell>
          <cell r="BR144">
            <v>0</v>
          </cell>
          <cell r="BS144">
            <v>0</v>
          </cell>
          <cell r="BT144">
            <v>43114</v>
          </cell>
          <cell r="BY144">
            <v>0</v>
          </cell>
          <cell r="BZ144">
            <v>0</v>
          </cell>
          <cell r="CA144">
            <v>0</v>
          </cell>
          <cell r="CB144">
            <v>0</v>
          </cell>
          <cell r="CC144">
            <v>1785483</v>
          </cell>
          <cell r="CD144">
            <v>9566741</v>
          </cell>
          <cell r="CE144">
            <v>722448</v>
          </cell>
          <cell r="CF144">
            <v>0</v>
          </cell>
          <cell r="CG144">
            <v>722448</v>
          </cell>
          <cell r="CH144">
            <v>722448</v>
          </cell>
          <cell r="CI144">
            <v>722448</v>
          </cell>
          <cell r="CJ144">
            <v>722448</v>
          </cell>
          <cell r="CK144">
            <v>0</v>
          </cell>
          <cell r="CL144">
            <v>0</v>
          </cell>
          <cell r="CM144">
            <v>0</v>
          </cell>
          <cell r="CN144">
            <v>0</v>
          </cell>
          <cell r="CO144">
            <v>0</v>
          </cell>
          <cell r="CP144">
            <v>0</v>
          </cell>
          <cell r="CQ144">
            <v>1516888</v>
          </cell>
          <cell r="CR144">
            <v>1436565</v>
          </cell>
          <cell r="CS144">
            <v>1381457</v>
          </cell>
          <cell r="CT144">
            <v>1326484</v>
          </cell>
          <cell r="CU144">
            <v>1289787</v>
          </cell>
          <cell r="CV144">
            <v>13373</v>
          </cell>
          <cell r="CW144">
            <v>0</v>
          </cell>
          <cell r="CX144">
            <v>0</v>
          </cell>
          <cell r="CY144">
            <v>0</v>
          </cell>
          <cell r="CZ144">
            <v>0</v>
          </cell>
          <cell r="DA144">
            <v>0</v>
          </cell>
          <cell r="DC144">
            <v>0</v>
          </cell>
          <cell r="DD144">
            <v>0</v>
          </cell>
          <cell r="DE144">
            <v>0</v>
          </cell>
          <cell r="DF144">
            <v>0</v>
          </cell>
          <cell r="DG144">
            <v>0</v>
          </cell>
          <cell r="DH144">
            <v>0</v>
          </cell>
          <cell r="DI144">
            <v>0</v>
          </cell>
          <cell r="DJ144">
            <v>0</v>
          </cell>
          <cell r="DK144">
            <v>0</v>
          </cell>
          <cell r="DL144">
            <v>0</v>
          </cell>
        </row>
        <row r="145">
          <cell r="A145">
            <v>331</v>
          </cell>
          <cell r="B145" t="str">
            <v>Lopik</v>
          </cell>
          <cell r="C145">
            <v>6</v>
          </cell>
          <cell r="D145">
            <v>-8293</v>
          </cell>
          <cell r="E145">
            <v>-4146</v>
          </cell>
          <cell r="F145">
            <v>0</v>
          </cell>
          <cell r="G145">
            <v>0</v>
          </cell>
          <cell r="H145">
            <v>-3867</v>
          </cell>
          <cell r="I145">
            <v>0</v>
          </cell>
          <cell r="K145">
            <v>0</v>
          </cell>
          <cell r="L145">
            <v>53182</v>
          </cell>
          <cell r="M145">
            <v>56566</v>
          </cell>
          <cell r="N145">
            <v>0</v>
          </cell>
          <cell r="O145">
            <v>0</v>
          </cell>
          <cell r="P145">
            <v>0</v>
          </cell>
          <cell r="Q145">
            <v>0</v>
          </cell>
          <cell r="R145">
            <v>0</v>
          </cell>
          <cell r="S145">
            <v>0</v>
          </cell>
          <cell r="T145">
            <v>0</v>
          </cell>
          <cell r="U145">
            <v>0</v>
          </cell>
          <cell r="V145">
            <v>0</v>
          </cell>
          <cell r="W145">
            <v>50711</v>
          </cell>
          <cell r="X145">
            <v>0</v>
          </cell>
          <cell r="Z145">
            <v>0</v>
          </cell>
          <cell r="AA145">
            <v>0</v>
          </cell>
          <cell r="AB145">
            <v>0</v>
          </cell>
          <cell r="AD145">
            <v>0</v>
          </cell>
          <cell r="AE145">
            <v>0</v>
          </cell>
          <cell r="AF145">
            <v>0</v>
          </cell>
          <cell r="AG145">
            <v>0</v>
          </cell>
          <cell r="AH145">
            <v>0</v>
          </cell>
          <cell r="AI145">
            <v>0</v>
          </cell>
          <cell r="AJ145">
            <v>0</v>
          </cell>
          <cell r="AK145">
            <v>0</v>
          </cell>
          <cell r="AM145">
            <v>0</v>
          </cell>
          <cell r="AN145">
            <v>0</v>
          </cell>
          <cell r="AO145">
            <v>0</v>
          </cell>
          <cell r="AP145">
            <v>0</v>
          </cell>
          <cell r="AQ145">
            <v>0</v>
          </cell>
          <cell r="AR145">
            <v>0</v>
          </cell>
          <cell r="AS145">
            <v>0</v>
          </cell>
          <cell r="AT145">
            <v>0</v>
          </cell>
          <cell r="AU145">
            <v>0</v>
          </cell>
          <cell r="AV145">
            <v>0</v>
          </cell>
          <cell r="AW145">
            <v>0</v>
          </cell>
          <cell r="AX145">
            <v>0</v>
          </cell>
          <cell r="BA145">
            <v>0</v>
          </cell>
          <cell r="BC145">
            <v>0</v>
          </cell>
          <cell r="BD145">
            <v>4988</v>
          </cell>
          <cell r="BF145">
            <v>0</v>
          </cell>
          <cell r="BG145">
            <v>0</v>
          </cell>
          <cell r="BH145">
            <v>0</v>
          </cell>
          <cell r="BI145">
            <v>11448</v>
          </cell>
          <cell r="BJ145">
            <v>9423</v>
          </cell>
          <cell r="BK145">
            <v>9423</v>
          </cell>
          <cell r="BL145">
            <v>0</v>
          </cell>
          <cell r="BM145">
            <v>0</v>
          </cell>
          <cell r="BN145">
            <v>0</v>
          </cell>
          <cell r="BO145">
            <v>87557</v>
          </cell>
          <cell r="BP145">
            <v>18976.8</v>
          </cell>
          <cell r="BQ145">
            <v>34186.046511627901</v>
          </cell>
          <cell r="BR145">
            <v>0</v>
          </cell>
          <cell r="BS145">
            <v>0</v>
          </cell>
          <cell r="BT145">
            <v>32972</v>
          </cell>
          <cell r="BY145">
            <v>0</v>
          </cell>
          <cell r="BZ145">
            <v>0</v>
          </cell>
          <cell r="CA145">
            <v>0</v>
          </cell>
          <cell r="CB145">
            <v>0</v>
          </cell>
          <cell r="CC145">
            <v>750335</v>
          </cell>
          <cell r="CD145">
            <v>4596318</v>
          </cell>
          <cell r="CE145">
            <v>540362</v>
          </cell>
          <cell r="CF145">
            <v>0</v>
          </cell>
          <cell r="CG145">
            <v>540362</v>
          </cell>
          <cell r="CH145">
            <v>540362</v>
          </cell>
          <cell r="CI145">
            <v>540362</v>
          </cell>
          <cell r="CJ145">
            <v>540362</v>
          </cell>
          <cell r="CK145">
            <v>0</v>
          </cell>
          <cell r="CL145">
            <v>0</v>
          </cell>
          <cell r="CM145">
            <v>0</v>
          </cell>
          <cell r="CN145">
            <v>0</v>
          </cell>
          <cell r="CO145">
            <v>0</v>
          </cell>
          <cell r="CP145">
            <v>0</v>
          </cell>
          <cell r="CQ145">
            <v>735452</v>
          </cell>
          <cell r="CR145">
            <v>705687</v>
          </cell>
          <cell r="CS145">
            <v>702317</v>
          </cell>
          <cell r="CT145">
            <v>695216</v>
          </cell>
          <cell r="CU145">
            <v>691299</v>
          </cell>
          <cell r="CV145">
            <v>-28994</v>
          </cell>
          <cell r="CW145">
            <v>0</v>
          </cell>
          <cell r="CX145">
            <v>0</v>
          </cell>
          <cell r="CY145">
            <v>0</v>
          </cell>
          <cell r="CZ145">
            <v>0</v>
          </cell>
          <cell r="DA145">
            <v>0</v>
          </cell>
          <cell r="DC145">
            <v>0</v>
          </cell>
          <cell r="DD145">
            <v>0</v>
          </cell>
          <cell r="DE145">
            <v>0</v>
          </cell>
          <cell r="DF145">
            <v>0</v>
          </cell>
          <cell r="DG145">
            <v>0</v>
          </cell>
          <cell r="DH145">
            <v>0</v>
          </cell>
          <cell r="DI145">
            <v>0</v>
          </cell>
          <cell r="DJ145">
            <v>0</v>
          </cell>
          <cell r="DK145">
            <v>0</v>
          </cell>
          <cell r="DL145">
            <v>0</v>
          </cell>
        </row>
        <row r="146">
          <cell r="A146">
            <v>335</v>
          </cell>
          <cell r="B146" t="str">
            <v>Montfoort U</v>
          </cell>
          <cell r="C146">
            <v>6</v>
          </cell>
          <cell r="D146">
            <v>9512</v>
          </cell>
          <cell r="E146">
            <v>4756</v>
          </cell>
          <cell r="F146">
            <v>0</v>
          </cell>
          <cell r="G146">
            <v>0</v>
          </cell>
          <cell r="H146">
            <v>0</v>
          </cell>
          <cell r="I146">
            <v>0</v>
          </cell>
          <cell r="K146">
            <v>0</v>
          </cell>
          <cell r="L146">
            <v>40747</v>
          </cell>
          <cell r="M146">
            <v>40377</v>
          </cell>
          <cell r="N146">
            <v>0</v>
          </cell>
          <cell r="O146">
            <v>0</v>
          </cell>
          <cell r="P146">
            <v>0</v>
          </cell>
          <cell r="Q146">
            <v>0</v>
          </cell>
          <cell r="R146">
            <v>0</v>
          </cell>
          <cell r="S146">
            <v>0</v>
          </cell>
          <cell r="T146">
            <v>0</v>
          </cell>
          <cell r="U146">
            <v>0</v>
          </cell>
          <cell r="V146">
            <v>0</v>
          </cell>
          <cell r="W146">
            <v>63173</v>
          </cell>
          <cell r="X146">
            <v>0</v>
          </cell>
          <cell r="Z146">
            <v>0</v>
          </cell>
          <cell r="AA146">
            <v>0</v>
          </cell>
          <cell r="AB146">
            <v>0</v>
          </cell>
          <cell r="AD146">
            <v>0</v>
          </cell>
          <cell r="AE146">
            <v>0</v>
          </cell>
          <cell r="AF146">
            <v>0</v>
          </cell>
          <cell r="AG146">
            <v>0</v>
          </cell>
          <cell r="AH146">
            <v>0</v>
          </cell>
          <cell r="AI146">
            <v>0</v>
          </cell>
          <cell r="AJ146">
            <v>0</v>
          </cell>
          <cell r="AK146">
            <v>0</v>
          </cell>
          <cell r="AM146">
            <v>0</v>
          </cell>
          <cell r="AN146">
            <v>0</v>
          </cell>
          <cell r="AO146">
            <v>0</v>
          </cell>
          <cell r="AP146">
            <v>0</v>
          </cell>
          <cell r="AQ146">
            <v>0</v>
          </cell>
          <cell r="AR146">
            <v>0</v>
          </cell>
          <cell r="AS146">
            <v>0</v>
          </cell>
          <cell r="AT146">
            <v>0</v>
          </cell>
          <cell r="AU146">
            <v>2370</v>
          </cell>
          <cell r="AV146">
            <v>0</v>
          </cell>
          <cell r="AW146">
            <v>0</v>
          </cell>
          <cell r="AX146">
            <v>0</v>
          </cell>
          <cell r="BA146">
            <v>0</v>
          </cell>
          <cell r="BC146">
            <v>0</v>
          </cell>
          <cell r="BD146">
            <v>4867</v>
          </cell>
          <cell r="BF146">
            <v>0</v>
          </cell>
          <cell r="BG146">
            <v>0</v>
          </cell>
          <cell r="BH146">
            <v>0</v>
          </cell>
          <cell r="BI146">
            <v>11295</v>
          </cell>
          <cell r="BJ146">
            <v>9297</v>
          </cell>
          <cell r="BK146">
            <v>9297</v>
          </cell>
          <cell r="BL146">
            <v>0</v>
          </cell>
          <cell r="BM146">
            <v>0</v>
          </cell>
          <cell r="BN146">
            <v>0</v>
          </cell>
          <cell r="BO146">
            <v>113824</v>
          </cell>
          <cell r="BP146">
            <v>4744.2</v>
          </cell>
          <cell r="BQ146">
            <v>8546.5116279069807</v>
          </cell>
          <cell r="BR146">
            <v>0</v>
          </cell>
          <cell r="BS146">
            <v>0</v>
          </cell>
          <cell r="BT146">
            <v>23800</v>
          </cell>
          <cell r="BY146">
            <v>0</v>
          </cell>
          <cell r="BZ146">
            <v>0</v>
          </cell>
          <cell r="CA146">
            <v>0</v>
          </cell>
          <cell r="CB146">
            <v>0</v>
          </cell>
          <cell r="CC146">
            <v>729790</v>
          </cell>
          <cell r="CD146">
            <v>3615732</v>
          </cell>
          <cell r="CE146">
            <v>213183</v>
          </cell>
          <cell r="CF146">
            <v>0</v>
          </cell>
          <cell r="CG146">
            <v>213183</v>
          </cell>
          <cell r="CH146">
            <v>213183</v>
          </cell>
          <cell r="CI146">
            <v>213183</v>
          </cell>
          <cell r="CJ146">
            <v>213183</v>
          </cell>
          <cell r="CK146">
            <v>0</v>
          </cell>
          <cell r="CL146">
            <v>0</v>
          </cell>
          <cell r="CM146">
            <v>0</v>
          </cell>
          <cell r="CN146">
            <v>0</v>
          </cell>
          <cell r="CO146">
            <v>0</v>
          </cell>
          <cell r="CP146">
            <v>0</v>
          </cell>
          <cell r="CQ146">
            <v>493750</v>
          </cell>
          <cell r="CR146">
            <v>483371</v>
          </cell>
          <cell r="CS146">
            <v>482994</v>
          </cell>
          <cell r="CT146">
            <v>483117</v>
          </cell>
          <cell r="CU146">
            <v>471474</v>
          </cell>
          <cell r="CV146">
            <v>-13979</v>
          </cell>
          <cell r="CW146">
            <v>0</v>
          </cell>
          <cell r="CX146">
            <v>0</v>
          </cell>
          <cell r="CY146">
            <v>0</v>
          </cell>
          <cell r="CZ146">
            <v>0</v>
          </cell>
          <cell r="DA146">
            <v>0</v>
          </cell>
          <cell r="DC146">
            <v>0</v>
          </cell>
          <cell r="DD146">
            <v>0</v>
          </cell>
          <cell r="DE146">
            <v>0</v>
          </cell>
          <cell r="DF146">
            <v>0</v>
          </cell>
          <cell r="DG146">
            <v>0</v>
          </cell>
          <cell r="DH146">
            <v>0</v>
          </cell>
          <cell r="DI146">
            <v>0</v>
          </cell>
          <cell r="DJ146">
            <v>0</v>
          </cell>
          <cell r="DK146">
            <v>0</v>
          </cell>
          <cell r="DL146">
            <v>0</v>
          </cell>
        </row>
        <row r="147">
          <cell r="A147">
            <v>356</v>
          </cell>
          <cell r="B147" t="str">
            <v>Nieuwegein</v>
          </cell>
          <cell r="C147">
            <v>6</v>
          </cell>
          <cell r="D147">
            <v>52320</v>
          </cell>
          <cell r="E147">
            <v>26160</v>
          </cell>
          <cell r="F147">
            <v>0</v>
          </cell>
          <cell r="G147">
            <v>0</v>
          </cell>
          <cell r="H147">
            <v>0</v>
          </cell>
          <cell r="I147">
            <v>-13773</v>
          </cell>
          <cell r="K147">
            <v>0</v>
          </cell>
          <cell r="L147">
            <v>265414</v>
          </cell>
          <cell r="M147">
            <v>265571</v>
          </cell>
          <cell r="N147">
            <v>0</v>
          </cell>
          <cell r="O147">
            <v>0</v>
          </cell>
          <cell r="P147">
            <v>0</v>
          </cell>
          <cell r="Q147">
            <v>0</v>
          </cell>
          <cell r="R147">
            <v>0</v>
          </cell>
          <cell r="S147">
            <v>0</v>
          </cell>
          <cell r="T147">
            <v>0</v>
          </cell>
          <cell r="U147">
            <v>0</v>
          </cell>
          <cell r="V147">
            <v>0</v>
          </cell>
          <cell r="W147">
            <v>228589</v>
          </cell>
          <cell r="X147">
            <v>0</v>
          </cell>
          <cell r="Z147">
            <v>0</v>
          </cell>
          <cell r="AA147">
            <v>0</v>
          </cell>
          <cell r="AB147">
            <v>0</v>
          </cell>
          <cell r="AD147">
            <v>0</v>
          </cell>
          <cell r="AE147">
            <v>0</v>
          </cell>
          <cell r="AF147">
            <v>0</v>
          </cell>
          <cell r="AG147">
            <v>0</v>
          </cell>
          <cell r="AH147">
            <v>0</v>
          </cell>
          <cell r="AI147">
            <v>0</v>
          </cell>
          <cell r="AJ147">
            <v>0</v>
          </cell>
          <cell r="AK147">
            <v>0</v>
          </cell>
          <cell r="AM147">
            <v>0</v>
          </cell>
          <cell r="AN147">
            <v>0</v>
          </cell>
          <cell r="AO147">
            <v>0</v>
          </cell>
          <cell r="AP147">
            <v>0</v>
          </cell>
          <cell r="AQ147">
            <v>0</v>
          </cell>
          <cell r="AR147">
            <v>0</v>
          </cell>
          <cell r="AS147">
            <v>0</v>
          </cell>
          <cell r="AT147">
            <v>0</v>
          </cell>
          <cell r="AU147">
            <v>18960</v>
          </cell>
          <cell r="AV147">
            <v>0</v>
          </cell>
          <cell r="AW147">
            <v>0</v>
          </cell>
          <cell r="AX147">
            <v>0</v>
          </cell>
          <cell r="BA147">
            <v>0</v>
          </cell>
          <cell r="BC147">
            <v>0</v>
          </cell>
          <cell r="BD147">
            <v>21718</v>
          </cell>
          <cell r="BF147">
            <v>0</v>
          </cell>
          <cell r="BG147">
            <v>0</v>
          </cell>
          <cell r="BH147">
            <v>0</v>
          </cell>
          <cell r="BI147">
            <v>85162</v>
          </cell>
          <cell r="BJ147">
            <v>70101</v>
          </cell>
          <cell r="BK147">
            <v>70101</v>
          </cell>
          <cell r="BL147">
            <v>0</v>
          </cell>
          <cell r="BM147">
            <v>0</v>
          </cell>
          <cell r="BN147">
            <v>0</v>
          </cell>
          <cell r="BO147">
            <v>151279</v>
          </cell>
          <cell r="BP147">
            <v>31628</v>
          </cell>
          <cell r="BQ147">
            <v>56976.744186046497</v>
          </cell>
          <cell r="BR147">
            <v>0</v>
          </cell>
          <cell r="BS147">
            <v>0</v>
          </cell>
          <cell r="BT147">
            <v>89439</v>
          </cell>
          <cell r="BY147">
            <v>0</v>
          </cell>
          <cell r="BZ147">
            <v>0</v>
          </cell>
          <cell r="CA147">
            <v>0</v>
          </cell>
          <cell r="CB147">
            <v>0</v>
          </cell>
          <cell r="CC147">
            <v>4499747</v>
          </cell>
          <cell r="CD147">
            <v>24450579</v>
          </cell>
          <cell r="CE147">
            <v>1258285</v>
          </cell>
          <cell r="CF147">
            <v>0</v>
          </cell>
          <cell r="CG147">
            <v>1258285</v>
          </cell>
          <cell r="CH147">
            <v>1258285</v>
          </cell>
          <cell r="CI147">
            <v>1258285</v>
          </cell>
          <cell r="CJ147">
            <v>1258285</v>
          </cell>
          <cell r="CK147">
            <v>0</v>
          </cell>
          <cell r="CL147">
            <v>0</v>
          </cell>
          <cell r="CM147">
            <v>0</v>
          </cell>
          <cell r="CN147">
            <v>0</v>
          </cell>
          <cell r="CO147">
            <v>0</v>
          </cell>
          <cell r="CP147">
            <v>-4957</v>
          </cell>
          <cell r="CQ147">
            <v>3145859</v>
          </cell>
          <cell r="CR147">
            <v>3061546</v>
          </cell>
          <cell r="CS147">
            <v>3005718</v>
          </cell>
          <cell r="CT147">
            <v>2988582</v>
          </cell>
          <cell r="CU147">
            <v>2956346</v>
          </cell>
          <cell r="CV147">
            <v>-37753</v>
          </cell>
          <cell r="CW147">
            <v>0</v>
          </cell>
          <cell r="CX147">
            <v>0</v>
          </cell>
          <cell r="CY147">
            <v>0</v>
          </cell>
          <cell r="CZ147">
            <v>0</v>
          </cell>
          <cell r="DA147">
            <v>0</v>
          </cell>
          <cell r="DC147">
            <v>0</v>
          </cell>
          <cell r="DD147">
            <v>0</v>
          </cell>
          <cell r="DE147">
            <v>0</v>
          </cell>
          <cell r="DF147">
            <v>0</v>
          </cell>
          <cell r="DG147">
            <v>0</v>
          </cell>
          <cell r="DH147">
            <v>0</v>
          </cell>
          <cell r="DI147">
            <v>0</v>
          </cell>
          <cell r="DJ147">
            <v>0</v>
          </cell>
          <cell r="DK147">
            <v>0</v>
          </cell>
          <cell r="DL147">
            <v>0</v>
          </cell>
        </row>
        <row r="148">
          <cell r="A148">
            <v>589</v>
          </cell>
          <cell r="B148" t="str">
            <v>Oudewater</v>
          </cell>
          <cell r="C148">
            <v>6</v>
          </cell>
          <cell r="D148">
            <v>-25718</v>
          </cell>
          <cell r="E148">
            <v>-12859</v>
          </cell>
          <cell r="F148">
            <v>0</v>
          </cell>
          <cell r="G148">
            <v>5663</v>
          </cell>
          <cell r="H148">
            <v>0</v>
          </cell>
          <cell r="I148">
            <v>-1186</v>
          </cell>
          <cell r="K148">
            <v>0</v>
          </cell>
          <cell r="L148">
            <v>34261</v>
          </cell>
          <cell r="M148">
            <v>29497</v>
          </cell>
          <cell r="N148">
            <v>0</v>
          </cell>
          <cell r="O148">
            <v>0</v>
          </cell>
          <cell r="P148">
            <v>0</v>
          </cell>
          <cell r="Q148">
            <v>0</v>
          </cell>
          <cell r="R148">
            <v>0</v>
          </cell>
          <cell r="S148">
            <v>0</v>
          </cell>
          <cell r="T148">
            <v>0</v>
          </cell>
          <cell r="U148">
            <v>0</v>
          </cell>
          <cell r="V148">
            <v>0</v>
          </cell>
          <cell r="W148">
            <v>19598</v>
          </cell>
          <cell r="X148">
            <v>0</v>
          </cell>
          <cell r="Z148">
            <v>0</v>
          </cell>
          <cell r="AA148">
            <v>0</v>
          </cell>
          <cell r="AB148">
            <v>0</v>
          </cell>
          <cell r="AD148">
            <v>0</v>
          </cell>
          <cell r="AE148">
            <v>0</v>
          </cell>
          <cell r="AF148">
            <v>0</v>
          </cell>
          <cell r="AG148">
            <v>0</v>
          </cell>
          <cell r="AH148">
            <v>0</v>
          </cell>
          <cell r="AI148">
            <v>0</v>
          </cell>
          <cell r="AJ148">
            <v>0</v>
          </cell>
          <cell r="AK148">
            <v>0</v>
          </cell>
          <cell r="AM148">
            <v>0</v>
          </cell>
          <cell r="AN148">
            <v>0</v>
          </cell>
          <cell r="AO148">
            <v>0</v>
          </cell>
          <cell r="AP148">
            <v>0</v>
          </cell>
          <cell r="AQ148">
            <v>0</v>
          </cell>
          <cell r="AR148">
            <v>0</v>
          </cell>
          <cell r="AS148">
            <v>0</v>
          </cell>
          <cell r="AT148">
            <v>0</v>
          </cell>
          <cell r="AU148">
            <v>2370</v>
          </cell>
          <cell r="AV148">
            <v>0</v>
          </cell>
          <cell r="AW148">
            <v>0</v>
          </cell>
          <cell r="AX148">
            <v>0</v>
          </cell>
          <cell r="BA148">
            <v>0</v>
          </cell>
          <cell r="BC148">
            <v>0</v>
          </cell>
          <cell r="BD148">
            <v>3576</v>
          </cell>
          <cell r="BF148">
            <v>0</v>
          </cell>
          <cell r="BG148">
            <v>0</v>
          </cell>
          <cell r="BH148">
            <v>0</v>
          </cell>
          <cell r="BI148">
            <v>12297</v>
          </cell>
          <cell r="BJ148">
            <v>10122</v>
          </cell>
          <cell r="BK148">
            <v>10122</v>
          </cell>
          <cell r="BL148">
            <v>0</v>
          </cell>
          <cell r="BM148">
            <v>0</v>
          </cell>
          <cell r="BN148">
            <v>0</v>
          </cell>
          <cell r="BO148">
            <v>77342</v>
          </cell>
          <cell r="BP148">
            <v>15814</v>
          </cell>
          <cell r="BQ148">
            <v>28488.372093023299</v>
          </cell>
          <cell r="BR148">
            <v>0</v>
          </cell>
          <cell r="BS148">
            <v>0</v>
          </cell>
          <cell r="BT148">
            <v>16632</v>
          </cell>
          <cell r="BY148">
            <v>0</v>
          </cell>
          <cell r="BZ148">
            <v>0</v>
          </cell>
          <cell r="CA148">
            <v>0</v>
          </cell>
          <cell r="CB148">
            <v>0</v>
          </cell>
          <cell r="CC148">
            <v>614296</v>
          </cell>
          <cell r="CD148">
            <v>2872397</v>
          </cell>
          <cell r="CE148">
            <v>151691</v>
          </cell>
          <cell r="CF148">
            <v>-2853</v>
          </cell>
          <cell r="CG148">
            <v>151691</v>
          </cell>
          <cell r="CH148">
            <v>151691</v>
          </cell>
          <cell r="CI148">
            <v>151691</v>
          </cell>
          <cell r="CJ148">
            <v>151691</v>
          </cell>
          <cell r="CK148">
            <v>0</v>
          </cell>
          <cell r="CL148">
            <v>0</v>
          </cell>
          <cell r="CM148">
            <v>0</v>
          </cell>
          <cell r="CN148">
            <v>0</v>
          </cell>
          <cell r="CO148">
            <v>0</v>
          </cell>
          <cell r="CP148">
            <v>0</v>
          </cell>
          <cell r="CQ148">
            <v>493122</v>
          </cell>
          <cell r="CR148">
            <v>478404</v>
          </cell>
          <cell r="CS148">
            <v>455156</v>
          </cell>
          <cell r="CT148">
            <v>436135</v>
          </cell>
          <cell r="CU148">
            <v>426435</v>
          </cell>
          <cell r="CV148">
            <v>-12579</v>
          </cell>
          <cell r="CW148">
            <v>0</v>
          </cell>
          <cell r="CX148">
            <v>0</v>
          </cell>
          <cell r="CY148">
            <v>0</v>
          </cell>
          <cell r="CZ148">
            <v>0</v>
          </cell>
          <cell r="DA148">
            <v>0</v>
          </cell>
          <cell r="DC148">
            <v>0</v>
          </cell>
          <cell r="DD148">
            <v>0</v>
          </cell>
          <cell r="DE148">
            <v>0</v>
          </cell>
          <cell r="DF148">
            <v>0</v>
          </cell>
          <cell r="DG148">
            <v>0</v>
          </cell>
          <cell r="DH148">
            <v>0</v>
          </cell>
          <cell r="DI148">
            <v>0</v>
          </cell>
          <cell r="DJ148">
            <v>0</v>
          </cell>
          <cell r="DK148">
            <v>0</v>
          </cell>
          <cell r="DL148">
            <v>0</v>
          </cell>
        </row>
        <row r="149">
          <cell r="A149">
            <v>339</v>
          </cell>
          <cell r="B149" t="str">
            <v>Renswoude</v>
          </cell>
          <cell r="C149">
            <v>6</v>
          </cell>
          <cell r="D149">
            <v>-7849</v>
          </cell>
          <cell r="E149">
            <v>-3924</v>
          </cell>
          <cell r="F149">
            <v>0</v>
          </cell>
          <cell r="G149">
            <v>0</v>
          </cell>
          <cell r="H149">
            <v>-4836</v>
          </cell>
          <cell r="I149">
            <v>-1427</v>
          </cell>
          <cell r="K149">
            <v>0</v>
          </cell>
          <cell r="L149">
            <v>14226</v>
          </cell>
          <cell r="M149">
            <v>10523</v>
          </cell>
          <cell r="N149">
            <v>0</v>
          </cell>
          <cell r="O149">
            <v>0</v>
          </cell>
          <cell r="P149">
            <v>0</v>
          </cell>
          <cell r="Q149">
            <v>0</v>
          </cell>
          <cell r="R149">
            <v>0</v>
          </cell>
          <cell r="S149">
            <v>0</v>
          </cell>
          <cell r="T149">
            <v>0</v>
          </cell>
          <cell r="U149">
            <v>0</v>
          </cell>
          <cell r="V149">
            <v>0</v>
          </cell>
          <cell r="W149">
            <v>0</v>
          </cell>
          <cell r="X149">
            <v>0</v>
          </cell>
          <cell r="Z149">
            <v>0</v>
          </cell>
          <cell r="AA149">
            <v>0</v>
          </cell>
          <cell r="AB149">
            <v>0</v>
          </cell>
          <cell r="AD149">
            <v>0</v>
          </cell>
          <cell r="AE149">
            <v>0</v>
          </cell>
          <cell r="AF149">
            <v>0</v>
          </cell>
          <cell r="AG149">
            <v>0</v>
          </cell>
          <cell r="AH149">
            <v>0</v>
          </cell>
          <cell r="AI149">
            <v>0</v>
          </cell>
          <cell r="AJ149">
            <v>0</v>
          </cell>
          <cell r="AK149">
            <v>0</v>
          </cell>
          <cell r="AM149">
            <v>0</v>
          </cell>
          <cell r="AN149">
            <v>0</v>
          </cell>
          <cell r="AO149">
            <v>0</v>
          </cell>
          <cell r="AP149">
            <v>0</v>
          </cell>
          <cell r="AQ149">
            <v>0</v>
          </cell>
          <cell r="AR149">
            <v>0</v>
          </cell>
          <cell r="AS149">
            <v>0</v>
          </cell>
          <cell r="AT149">
            <v>0</v>
          </cell>
          <cell r="AU149">
            <v>0</v>
          </cell>
          <cell r="AV149">
            <v>0</v>
          </cell>
          <cell r="AW149">
            <v>0</v>
          </cell>
          <cell r="AX149">
            <v>0</v>
          </cell>
          <cell r="BA149">
            <v>0</v>
          </cell>
          <cell r="BC149">
            <v>0</v>
          </cell>
          <cell r="BD149">
            <v>1791</v>
          </cell>
          <cell r="BF149">
            <v>0</v>
          </cell>
          <cell r="BG149">
            <v>0</v>
          </cell>
          <cell r="BH149">
            <v>0</v>
          </cell>
          <cell r="BI149">
            <v>3634</v>
          </cell>
          <cell r="BJ149">
            <v>2992</v>
          </cell>
          <cell r="BK149">
            <v>2992</v>
          </cell>
          <cell r="BL149">
            <v>0</v>
          </cell>
          <cell r="BM149">
            <v>0</v>
          </cell>
          <cell r="BN149">
            <v>0</v>
          </cell>
          <cell r="BO149">
            <v>0</v>
          </cell>
          <cell r="BP149">
            <v>0</v>
          </cell>
          <cell r="BQ149">
            <v>0</v>
          </cell>
          <cell r="BR149">
            <v>0</v>
          </cell>
          <cell r="BS149">
            <v>0</v>
          </cell>
          <cell r="BT149">
            <v>8853</v>
          </cell>
          <cell r="BY149">
            <v>0</v>
          </cell>
          <cell r="BZ149">
            <v>0</v>
          </cell>
          <cell r="CA149">
            <v>0</v>
          </cell>
          <cell r="CB149">
            <v>0</v>
          </cell>
          <cell r="CC149">
            <v>225409</v>
          </cell>
          <cell r="CD149">
            <v>1453728</v>
          </cell>
          <cell r="CE149">
            <v>83703</v>
          </cell>
          <cell r="CF149">
            <v>-3415</v>
          </cell>
          <cell r="CG149">
            <v>83703</v>
          </cell>
          <cell r="CH149">
            <v>83703</v>
          </cell>
          <cell r="CI149">
            <v>83703</v>
          </cell>
          <cell r="CJ149">
            <v>83703</v>
          </cell>
          <cell r="CK149">
            <v>0</v>
          </cell>
          <cell r="CL149">
            <v>0</v>
          </cell>
          <cell r="CM149">
            <v>0</v>
          </cell>
          <cell r="CN149">
            <v>0</v>
          </cell>
          <cell r="CO149">
            <v>0</v>
          </cell>
          <cell r="CP149">
            <v>0</v>
          </cell>
          <cell r="CQ149">
            <v>239299</v>
          </cell>
          <cell r="CR149">
            <v>235488</v>
          </cell>
          <cell r="CS149">
            <v>235760</v>
          </cell>
          <cell r="CT149">
            <v>237203</v>
          </cell>
          <cell r="CU149">
            <v>238961</v>
          </cell>
          <cell r="CV149">
            <v>-10228</v>
          </cell>
          <cell r="CW149">
            <v>0</v>
          </cell>
          <cell r="CX149">
            <v>0</v>
          </cell>
          <cell r="CY149">
            <v>0</v>
          </cell>
          <cell r="CZ149">
            <v>0</v>
          </cell>
          <cell r="DA149">
            <v>0</v>
          </cell>
          <cell r="DC149">
            <v>0</v>
          </cell>
          <cell r="DD149">
            <v>0</v>
          </cell>
          <cell r="DE149">
            <v>0</v>
          </cell>
          <cell r="DF149">
            <v>0</v>
          </cell>
          <cell r="DG149">
            <v>0</v>
          </cell>
          <cell r="DH149">
            <v>0</v>
          </cell>
          <cell r="DI149">
            <v>0</v>
          </cell>
          <cell r="DJ149">
            <v>0</v>
          </cell>
          <cell r="DK149">
            <v>0</v>
          </cell>
          <cell r="DL149">
            <v>0</v>
          </cell>
        </row>
        <row r="150">
          <cell r="A150">
            <v>340</v>
          </cell>
          <cell r="B150" t="str">
            <v>Rhenen</v>
          </cell>
          <cell r="C150">
            <v>6</v>
          </cell>
          <cell r="D150">
            <v>23387</v>
          </cell>
          <cell r="E150">
            <v>11693</v>
          </cell>
          <cell r="F150">
            <v>0</v>
          </cell>
          <cell r="G150">
            <v>39513</v>
          </cell>
          <cell r="H150">
            <v>-35206</v>
          </cell>
          <cell r="I150">
            <v>-18522</v>
          </cell>
          <cell r="K150">
            <v>0</v>
          </cell>
          <cell r="L150">
            <v>79565</v>
          </cell>
          <cell r="M150">
            <v>81897</v>
          </cell>
          <cell r="N150">
            <v>0</v>
          </cell>
          <cell r="O150">
            <v>0</v>
          </cell>
          <cell r="P150">
            <v>0</v>
          </cell>
          <cell r="Q150">
            <v>0</v>
          </cell>
          <cell r="R150">
            <v>0</v>
          </cell>
          <cell r="S150">
            <v>0</v>
          </cell>
          <cell r="T150">
            <v>0</v>
          </cell>
          <cell r="U150">
            <v>0</v>
          </cell>
          <cell r="V150">
            <v>0</v>
          </cell>
          <cell r="W150">
            <v>58388</v>
          </cell>
          <cell r="X150">
            <v>0</v>
          </cell>
          <cell r="Z150">
            <v>0</v>
          </cell>
          <cell r="AA150">
            <v>0</v>
          </cell>
          <cell r="AB150">
            <v>0</v>
          </cell>
          <cell r="AD150">
            <v>0</v>
          </cell>
          <cell r="AE150">
            <v>0</v>
          </cell>
          <cell r="AF150">
            <v>0</v>
          </cell>
          <cell r="AG150">
            <v>0</v>
          </cell>
          <cell r="AH150">
            <v>0</v>
          </cell>
          <cell r="AI150">
            <v>0</v>
          </cell>
          <cell r="AJ150">
            <v>0</v>
          </cell>
          <cell r="AK150">
            <v>0</v>
          </cell>
          <cell r="AM150">
            <v>0</v>
          </cell>
          <cell r="AN150">
            <v>0</v>
          </cell>
          <cell r="AO150">
            <v>0</v>
          </cell>
          <cell r="AP150">
            <v>0</v>
          </cell>
          <cell r="AQ150">
            <v>0</v>
          </cell>
          <cell r="AR150">
            <v>0</v>
          </cell>
          <cell r="AS150">
            <v>0</v>
          </cell>
          <cell r="AT150">
            <v>0</v>
          </cell>
          <cell r="AU150">
            <v>4740</v>
          </cell>
          <cell r="AV150">
            <v>0</v>
          </cell>
          <cell r="AW150">
            <v>0</v>
          </cell>
          <cell r="AX150">
            <v>0</v>
          </cell>
          <cell r="BA150">
            <v>0</v>
          </cell>
          <cell r="BC150">
            <v>0</v>
          </cell>
          <cell r="BD150">
            <v>6879</v>
          </cell>
          <cell r="BF150">
            <v>0</v>
          </cell>
          <cell r="BG150">
            <v>0</v>
          </cell>
          <cell r="BH150">
            <v>0</v>
          </cell>
          <cell r="BI150">
            <v>23038</v>
          </cell>
          <cell r="BJ150">
            <v>18964</v>
          </cell>
          <cell r="BK150">
            <v>18964</v>
          </cell>
          <cell r="BL150">
            <v>0</v>
          </cell>
          <cell r="BM150">
            <v>0</v>
          </cell>
          <cell r="BN150">
            <v>0</v>
          </cell>
          <cell r="BO150">
            <v>51561</v>
          </cell>
          <cell r="BP150">
            <v>14232.6</v>
          </cell>
          <cell r="BQ150">
            <v>25639.534883720899</v>
          </cell>
          <cell r="BR150">
            <v>0</v>
          </cell>
          <cell r="BS150">
            <v>0</v>
          </cell>
          <cell r="BT150">
            <v>35783</v>
          </cell>
          <cell r="BY150">
            <v>0</v>
          </cell>
          <cell r="BZ150">
            <v>0</v>
          </cell>
          <cell r="CA150">
            <v>0</v>
          </cell>
          <cell r="CB150">
            <v>0</v>
          </cell>
          <cell r="CC150">
            <v>1502911</v>
          </cell>
          <cell r="CD150">
            <v>7674627</v>
          </cell>
          <cell r="CE150">
            <v>519529</v>
          </cell>
          <cell r="CF150">
            <v>-38672</v>
          </cell>
          <cell r="CG150">
            <v>519529</v>
          </cell>
          <cell r="CH150">
            <v>519529</v>
          </cell>
          <cell r="CI150">
            <v>519529</v>
          </cell>
          <cell r="CJ150">
            <v>519529</v>
          </cell>
          <cell r="CK150">
            <v>0</v>
          </cell>
          <cell r="CL150">
            <v>0</v>
          </cell>
          <cell r="CM150">
            <v>0</v>
          </cell>
          <cell r="CN150">
            <v>0</v>
          </cell>
          <cell r="CO150">
            <v>0</v>
          </cell>
          <cell r="CP150">
            <v>-847</v>
          </cell>
          <cell r="CQ150">
            <v>1372902</v>
          </cell>
          <cell r="CR150">
            <v>1310574</v>
          </cell>
          <cell r="CS150">
            <v>1267086</v>
          </cell>
          <cell r="CT150">
            <v>1204657</v>
          </cell>
          <cell r="CU150">
            <v>1178416</v>
          </cell>
          <cell r="CV150">
            <v>-9425</v>
          </cell>
          <cell r="CW150">
            <v>0</v>
          </cell>
          <cell r="CX150">
            <v>0</v>
          </cell>
          <cell r="CY150">
            <v>0</v>
          </cell>
          <cell r="CZ150">
            <v>0</v>
          </cell>
          <cell r="DA150">
            <v>0</v>
          </cell>
          <cell r="DC150">
            <v>0</v>
          </cell>
          <cell r="DD150">
            <v>0</v>
          </cell>
          <cell r="DE150">
            <v>0</v>
          </cell>
          <cell r="DF150">
            <v>0</v>
          </cell>
          <cell r="DG150">
            <v>0</v>
          </cell>
          <cell r="DH150">
            <v>0</v>
          </cell>
          <cell r="DI150">
            <v>0</v>
          </cell>
          <cell r="DJ150">
            <v>0</v>
          </cell>
          <cell r="DK150">
            <v>0</v>
          </cell>
          <cell r="DL150">
            <v>0</v>
          </cell>
        </row>
        <row r="151">
          <cell r="A151">
            <v>342</v>
          </cell>
          <cell r="B151" t="str">
            <v>Soest</v>
          </cell>
          <cell r="C151">
            <v>6</v>
          </cell>
          <cell r="D151">
            <v>-67485</v>
          </cell>
          <cell r="E151">
            <v>-33742</v>
          </cell>
          <cell r="F151">
            <v>0</v>
          </cell>
          <cell r="G151">
            <v>0</v>
          </cell>
          <cell r="H151">
            <v>0</v>
          </cell>
          <cell r="I151">
            <v>0</v>
          </cell>
          <cell r="K151">
            <v>0</v>
          </cell>
          <cell r="L151">
            <v>196136</v>
          </cell>
          <cell r="M151">
            <v>192625</v>
          </cell>
          <cell r="N151">
            <v>0</v>
          </cell>
          <cell r="O151">
            <v>0</v>
          </cell>
          <cell r="P151">
            <v>0</v>
          </cell>
          <cell r="Q151">
            <v>0</v>
          </cell>
          <cell r="R151">
            <v>0</v>
          </cell>
          <cell r="S151">
            <v>0</v>
          </cell>
          <cell r="T151">
            <v>0</v>
          </cell>
          <cell r="U151">
            <v>0</v>
          </cell>
          <cell r="V151">
            <v>0</v>
          </cell>
          <cell r="W151">
            <v>137385</v>
          </cell>
          <cell r="X151">
            <v>0</v>
          </cell>
          <cell r="Z151">
            <v>0</v>
          </cell>
          <cell r="AA151">
            <v>0</v>
          </cell>
          <cell r="AB151">
            <v>0</v>
          </cell>
          <cell r="AD151">
            <v>0</v>
          </cell>
          <cell r="AE151">
            <v>0</v>
          </cell>
          <cell r="AF151">
            <v>0</v>
          </cell>
          <cell r="AG151">
            <v>0</v>
          </cell>
          <cell r="AH151">
            <v>0</v>
          </cell>
          <cell r="AI151">
            <v>0</v>
          </cell>
          <cell r="AJ151">
            <v>0</v>
          </cell>
          <cell r="AK151">
            <v>0</v>
          </cell>
          <cell r="AM151">
            <v>0</v>
          </cell>
          <cell r="AN151">
            <v>0</v>
          </cell>
          <cell r="AO151">
            <v>0</v>
          </cell>
          <cell r="AP151">
            <v>0</v>
          </cell>
          <cell r="AQ151">
            <v>0</v>
          </cell>
          <cell r="AR151">
            <v>0</v>
          </cell>
          <cell r="AS151">
            <v>0</v>
          </cell>
          <cell r="AT151">
            <v>0</v>
          </cell>
          <cell r="AU151">
            <v>4740</v>
          </cell>
          <cell r="AV151">
            <v>0</v>
          </cell>
          <cell r="AW151">
            <v>0</v>
          </cell>
          <cell r="AX151">
            <v>0</v>
          </cell>
          <cell r="BA151">
            <v>0</v>
          </cell>
          <cell r="BC151">
            <v>0</v>
          </cell>
          <cell r="BD151">
            <v>16103</v>
          </cell>
          <cell r="BF151">
            <v>0</v>
          </cell>
          <cell r="BG151">
            <v>0</v>
          </cell>
          <cell r="BH151">
            <v>0</v>
          </cell>
          <cell r="BI151">
            <v>59234</v>
          </cell>
          <cell r="BJ151">
            <v>48758</v>
          </cell>
          <cell r="BK151">
            <v>48758</v>
          </cell>
          <cell r="BL151">
            <v>0</v>
          </cell>
          <cell r="BM151">
            <v>0</v>
          </cell>
          <cell r="BN151">
            <v>0</v>
          </cell>
          <cell r="BO151">
            <v>108473</v>
          </cell>
          <cell r="BP151">
            <v>17395.400000000001</v>
          </cell>
          <cell r="BQ151">
            <v>31337.209302325598</v>
          </cell>
          <cell r="BR151">
            <v>0</v>
          </cell>
          <cell r="BS151">
            <v>0</v>
          </cell>
          <cell r="BT151">
            <v>69733</v>
          </cell>
          <cell r="BY151">
            <v>0</v>
          </cell>
          <cell r="BZ151">
            <v>0</v>
          </cell>
          <cell r="CA151">
            <v>0</v>
          </cell>
          <cell r="CB151">
            <v>0</v>
          </cell>
          <cell r="CC151">
            <v>3353349</v>
          </cell>
          <cell r="CD151">
            <v>17346720</v>
          </cell>
          <cell r="CE151">
            <v>1078360</v>
          </cell>
          <cell r="CF151">
            <v>0</v>
          </cell>
          <cell r="CG151">
            <v>1078360</v>
          </cell>
          <cell r="CH151">
            <v>1078360</v>
          </cell>
          <cell r="CI151">
            <v>1078360</v>
          </cell>
          <cell r="CJ151">
            <v>1078360</v>
          </cell>
          <cell r="CK151">
            <v>0</v>
          </cell>
          <cell r="CL151">
            <v>0</v>
          </cell>
          <cell r="CM151">
            <v>0</v>
          </cell>
          <cell r="CN151">
            <v>0</v>
          </cell>
          <cell r="CO151">
            <v>0</v>
          </cell>
          <cell r="CP151">
            <v>0</v>
          </cell>
          <cell r="CQ151">
            <v>2889678</v>
          </cell>
          <cell r="CR151">
            <v>2780810</v>
          </cell>
          <cell r="CS151">
            <v>2722179</v>
          </cell>
          <cell r="CT151">
            <v>2616837</v>
          </cell>
          <cell r="CU151">
            <v>2586245</v>
          </cell>
          <cell r="CV151">
            <v>245</v>
          </cell>
          <cell r="CW151">
            <v>0</v>
          </cell>
          <cell r="CX151">
            <v>0</v>
          </cell>
          <cell r="CY151">
            <v>0</v>
          </cell>
          <cell r="CZ151">
            <v>0</v>
          </cell>
          <cell r="DA151">
            <v>0</v>
          </cell>
          <cell r="DC151">
            <v>0</v>
          </cell>
          <cell r="DD151">
            <v>0</v>
          </cell>
          <cell r="DE151">
            <v>0</v>
          </cell>
          <cell r="DF151">
            <v>0</v>
          </cell>
          <cell r="DG151">
            <v>0</v>
          </cell>
          <cell r="DH151">
            <v>0</v>
          </cell>
          <cell r="DI151">
            <v>0</v>
          </cell>
          <cell r="DJ151">
            <v>0</v>
          </cell>
          <cell r="DK151">
            <v>0</v>
          </cell>
          <cell r="DL151">
            <v>0</v>
          </cell>
        </row>
        <row r="152">
          <cell r="A152">
            <v>1904</v>
          </cell>
          <cell r="B152" t="str">
            <v>Stichtse Vecht</v>
          </cell>
          <cell r="C152">
            <v>6</v>
          </cell>
          <cell r="D152">
            <v>-21754</v>
          </cell>
          <cell r="E152">
            <v>-10877</v>
          </cell>
          <cell r="F152">
            <v>0</v>
          </cell>
          <cell r="G152">
            <v>0</v>
          </cell>
          <cell r="H152">
            <v>0</v>
          </cell>
          <cell r="I152">
            <v>0</v>
          </cell>
          <cell r="K152">
            <v>0</v>
          </cell>
          <cell r="L152">
            <v>199598</v>
          </cell>
          <cell r="M152">
            <v>188554</v>
          </cell>
          <cell r="N152">
            <v>0</v>
          </cell>
          <cell r="O152">
            <v>0</v>
          </cell>
          <cell r="P152">
            <v>0</v>
          </cell>
          <cell r="Q152">
            <v>0</v>
          </cell>
          <cell r="R152">
            <v>0</v>
          </cell>
          <cell r="S152">
            <v>0</v>
          </cell>
          <cell r="T152">
            <v>0</v>
          </cell>
          <cell r="U152">
            <v>0</v>
          </cell>
          <cell r="V152">
            <v>3000</v>
          </cell>
          <cell r="W152">
            <v>254441</v>
          </cell>
          <cell r="X152">
            <v>0</v>
          </cell>
          <cell r="Z152">
            <v>0</v>
          </cell>
          <cell r="AA152">
            <v>0</v>
          </cell>
          <cell r="AB152">
            <v>30000</v>
          </cell>
          <cell r="AD152">
            <v>0</v>
          </cell>
          <cell r="AE152">
            <v>0</v>
          </cell>
          <cell r="AF152">
            <v>0</v>
          </cell>
          <cell r="AG152">
            <v>0</v>
          </cell>
          <cell r="AH152">
            <v>0</v>
          </cell>
          <cell r="AI152">
            <v>0</v>
          </cell>
          <cell r="AJ152">
            <v>0</v>
          </cell>
          <cell r="AK152">
            <v>0</v>
          </cell>
          <cell r="AM152">
            <v>0</v>
          </cell>
          <cell r="AN152">
            <v>0</v>
          </cell>
          <cell r="AO152">
            <v>0</v>
          </cell>
          <cell r="AP152">
            <v>0</v>
          </cell>
          <cell r="AQ152">
            <v>0</v>
          </cell>
          <cell r="AR152">
            <v>0</v>
          </cell>
          <cell r="AS152">
            <v>0</v>
          </cell>
          <cell r="AT152">
            <v>0</v>
          </cell>
          <cell r="AU152">
            <v>4740</v>
          </cell>
          <cell r="AV152">
            <v>0</v>
          </cell>
          <cell r="AW152">
            <v>0</v>
          </cell>
          <cell r="AX152">
            <v>0</v>
          </cell>
          <cell r="BA152">
            <v>0</v>
          </cell>
          <cell r="BC152">
            <v>0</v>
          </cell>
          <cell r="BD152">
            <v>22624</v>
          </cell>
          <cell r="BF152">
            <v>0</v>
          </cell>
          <cell r="BG152">
            <v>0</v>
          </cell>
          <cell r="BH152">
            <v>0</v>
          </cell>
          <cell r="BI152">
            <v>65633</v>
          </cell>
          <cell r="BJ152">
            <v>54025</v>
          </cell>
          <cell r="BK152">
            <v>54025</v>
          </cell>
          <cell r="BL152">
            <v>0</v>
          </cell>
          <cell r="BM152">
            <v>0</v>
          </cell>
          <cell r="BN152">
            <v>0</v>
          </cell>
          <cell r="BO152">
            <v>142037</v>
          </cell>
          <cell r="BP152">
            <v>36372.199999999997</v>
          </cell>
          <cell r="BQ152">
            <v>65523.255813953503</v>
          </cell>
          <cell r="BR152">
            <v>0</v>
          </cell>
          <cell r="BS152">
            <v>0</v>
          </cell>
          <cell r="BT152">
            <v>107494</v>
          </cell>
          <cell r="BY152">
            <v>0</v>
          </cell>
          <cell r="BZ152">
            <v>0</v>
          </cell>
          <cell r="CA152">
            <v>0</v>
          </cell>
          <cell r="CB152">
            <v>0</v>
          </cell>
          <cell r="CC152">
            <v>3815616</v>
          </cell>
          <cell r="CD152">
            <v>19942424</v>
          </cell>
          <cell r="CE152">
            <v>1338578</v>
          </cell>
          <cell r="CF152">
            <v>0</v>
          </cell>
          <cell r="CG152">
            <v>1338578</v>
          </cell>
          <cell r="CH152">
            <v>1338578</v>
          </cell>
          <cell r="CI152">
            <v>1338578</v>
          </cell>
          <cell r="CJ152">
            <v>1338578</v>
          </cell>
          <cell r="CK152">
            <v>0</v>
          </cell>
          <cell r="CL152">
            <v>0</v>
          </cell>
          <cell r="CM152">
            <v>0</v>
          </cell>
          <cell r="CN152">
            <v>0</v>
          </cell>
          <cell r="CO152">
            <v>0</v>
          </cell>
          <cell r="CP152">
            <v>0</v>
          </cell>
          <cell r="CQ152">
            <v>3270587</v>
          </cell>
          <cell r="CR152">
            <v>3120043</v>
          </cell>
          <cell r="CS152">
            <v>3067347</v>
          </cell>
          <cell r="CT152">
            <v>2992035</v>
          </cell>
          <cell r="CU152">
            <v>2939784</v>
          </cell>
          <cell r="CV152">
            <v>14011</v>
          </cell>
          <cell r="CW152">
            <v>0</v>
          </cell>
          <cell r="CX152">
            <v>0</v>
          </cell>
          <cell r="CY152">
            <v>0</v>
          </cell>
          <cell r="CZ152">
            <v>0</v>
          </cell>
          <cell r="DA152">
            <v>0</v>
          </cell>
          <cell r="DC152">
            <v>200000</v>
          </cell>
          <cell r="DD152">
            <v>0</v>
          </cell>
          <cell r="DE152">
            <v>0</v>
          </cell>
          <cell r="DF152">
            <v>0</v>
          </cell>
          <cell r="DG152">
            <v>0</v>
          </cell>
          <cell r="DH152">
            <v>0</v>
          </cell>
          <cell r="DI152">
            <v>0</v>
          </cell>
          <cell r="DJ152">
            <v>0</v>
          </cell>
          <cell r="DK152">
            <v>0</v>
          </cell>
          <cell r="DL152">
            <v>0</v>
          </cell>
        </row>
        <row r="153">
          <cell r="A153">
            <v>344</v>
          </cell>
          <cell r="B153" t="str">
            <v>Utrecht</v>
          </cell>
          <cell r="C153">
            <v>6</v>
          </cell>
          <cell r="D153">
            <v>609254</v>
          </cell>
          <cell r="E153">
            <v>304627</v>
          </cell>
          <cell r="F153">
            <v>0</v>
          </cell>
          <cell r="G153">
            <v>0</v>
          </cell>
          <cell r="H153">
            <v>-186740</v>
          </cell>
          <cell r="I153">
            <v>-125250</v>
          </cell>
          <cell r="K153">
            <v>7773</v>
          </cell>
          <cell r="L153">
            <v>1826585</v>
          </cell>
          <cell r="M153">
            <v>1925821</v>
          </cell>
          <cell r="N153">
            <v>0</v>
          </cell>
          <cell r="O153">
            <v>0</v>
          </cell>
          <cell r="P153">
            <v>951227</v>
          </cell>
          <cell r="Q153">
            <v>0</v>
          </cell>
          <cell r="R153">
            <v>0</v>
          </cell>
          <cell r="S153">
            <v>5789530</v>
          </cell>
          <cell r="T153">
            <v>4811154</v>
          </cell>
          <cell r="U153">
            <v>5289530</v>
          </cell>
          <cell r="V153">
            <v>9000</v>
          </cell>
          <cell r="W153">
            <v>980832</v>
          </cell>
          <cell r="X153">
            <v>0</v>
          </cell>
          <cell r="Z153">
            <v>0</v>
          </cell>
          <cell r="AA153">
            <v>40000</v>
          </cell>
          <cell r="AB153">
            <v>0</v>
          </cell>
          <cell r="AD153">
            <v>479122</v>
          </cell>
          <cell r="AE153">
            <v>0</v>
          </cell>
          <cell r="AF153">
            <v>0</v>
          </cell>
          <cell r="AG153">
            <v>0</v>
          </cell>
          <cell r="AH153">
            <v>0</v>
          </cell>
          <cell r="AI153">
            <v>0</v>
          </cell>
          <cell r="AJ153">
            <v>0</v>
          </cell>
          <cell r="AK153">
            <v>907524</v>
          </cell>
          <cell r="AM153">
            <v>0</v>
          </cell>
          <cell r="AN153">
            <v>0</v>
          </cell>
          <cell r="AO153">
            <v>0</v>
          </cell>
          <cell r="AP153">
            <v>0</v>
          </cell>
          <cell r="AQ153">
            <v>0</v>
          </cell>
          <cell r="AR153">
            <v>0</v>
          </cell>
          <cell r="AS153">
            <v>0</v>
          </cell>
          <cell r="AT153">
            <v>50000</v>
          </cell>
          <cell r="AU153">
            <v>18960</v>
          </cell>
          <cell r="AV153">
            <v>24048457.5636383</v>
          </cell>
          <cell r="AW153">
            <v>111543</v>
          </cell>
          <cell r="AX153">
            <v>333333</v>
          </cell>
          <cell r="BA153">
            <v>0</v>
          </cell>
          <cell r="BC153">
            <v>0</v>
          </cell>
          <cell r="BD153">
            <v>120419</v>
          </cell>
          <cell r="BF153">
            <v>0</v>
          </cell>
          <cell r="BG153">
            <v>0</v>
          </cell>
          <cell r="BH153">
            <v>0</v>
          </cell>
          <cell r="BI153">
            <v>536021</v>
          </cell>
          <cell r="BJ153">
            <v>441225</v>
          </cell>
          <cell r="BK153">
            <v>441225</v>
          </cell>
          <cell r="BL153">
            <v>0</v>
          </cell>
          <cell r="BM153">
            <v>85760</v>
          </cell>
          <cell r="BN153">
            <v>546700</v>
          </cell>
          <cell r="BO153">
            <v>430002</v>
          </cell>
          <cell r="BP153">
            <v>110698</v>
          </cell>
          <cell r="BQ153">
            <v>199418.60465116301</v>
          </cell>
          <cell r="BR153">
            <v>817710</v>
          </cell>
          <cell r="BS153">
            <v>0</v>
          </cell>
          <cell r="BT153">
            <v>567558</v>
          </cell>
          <cell r="BY153">
            <v>6957998.0822187299</v>
          </cell>
          <cell r="BZ153">
            <v>8318397.2181683304</v>
          </cell>
          <cell r="CA153">
            <v>8408984.0790283494</v>
          </cell>
          <cell r="CB153">
            <v>8664758.7449860405</v>
          </cell>
          <cell r="CC153">
            <v>16209594</v>
          </cell>
          <cell r="CD153">
            <v>219043986</v>
          </cell>
          <cell r="CE153">
            <v>12838055</v>
          </cell>
          <cell r="CF153">
            <v>-37936</v>
          </cell>
          <cell r="CG153">
            <v>12723055</v>
          </cell>
          <cell r="CH153">
            <v>12723055</v>
          </cell>
          <cell r="CI153">
            <v>12723055</v>
          </cell>
          <cell r="CJ153">
            <v>12723055</v>
          </cell>
          <cell r="CK153">
            <v>92265896</v>
          </cell>
          <cell r="CL153">
            <v>92221334</v>
          </cell>
          <cell r="CM153">
            <v>92220613</v>
          </cell>
          <cell r="CN153">
            <v>92219028</v>
          </cell>
          <cell r="CO153">
            <v>92221225</v>
          </cell>
          <cell r="CP153">
            <v>-38764</v>
          </cell>
          <cell r="CQ153">
            <v>19838116</v>
          </cell>
          <cell r="CR153">
            <v>18901464</v>
          </cell>
          <cell r="CS153">
            <v>18254331</v>
          </cell>
          <cell r="CT153">
            <v>17821158</v>
          </cell>
          <cell r="CU153">
            <v>17303834</v>
          </cell>
          <cell r="CV153">
            <v>-1750777</v>
          </cell>
          <cell r="CW153">
            <v>0</v>
          </cell>
          <cell r="CX153">
            <v>0</v>
          </cell>
          <cell r="CY153">
            <v>0</v>
          </cell>
          <cell r="CZ153">
            <v>0</v>
          </cell>
          <cell r="DA153">
            <v>80000</v>
          </cell>
          <cell r="DC153">
            <v>0</v>
          </cell>
          <cell r="DD153">
            <v>0</v>
          </cell>
          <cell r="DE153">
            <v>0</v>
          </cell>
          <cell r="DF153">
            <v>0</v>
          </cell>
          <cell r="DG153">
            <v>0</v>
          </cell>
          <cell r="DH153">
            <v>0</v>
          </cell>
          <cell r="DI153">
            <v>0</v>
          </cell>
          <cell r="DJ153">
            <v>0</v>
          </cell>
          <cell r="DK153">
            <v>0</v>
          </cell>
          <cell r="DL153">
            <v>0</v>
          </cell>
        </row>
        <row r="154">
          <cell r="A154">
            <v>1581</v>
          </cell>
          <cell r="B154" t="str">
            <v>Utrechtse Heuvelrug</v>
          </cell>
          <cell r="C154">
            <v>6</v>
          </cell>
          <cell r="D154">
            <v>-2804</v>
          </cell>
          <cell r="E154">
            <v>-1402</v>
          </cell>
          <cell r="F154">
            <v>0</v>
          </cell>
          <cell r="G154">
            <v>0</v>
          </cell>
          <cell r="H154">
            <v>0</v>
          </cell>
          <cell r="I154">
            <v>0</v>
          </cell>
          <cell r="K154">
            <v>0</v>
          </cell>
          <cell r="L154">
            <v>147749</v>
          </cell>
          <cell r="M154">
            <v>143225</v>
          </cell>
          <cell r="N154">
            <v>0</v>
          </cell>
          <cell r="O154">
            <v>0</v>
          </cell>
          <cell r="P154">
            <v>0</v>
          </cell>
          <cell r="Q154">
            <v>0</v>
          </cell>
          <cell r="R154">
            <v>0</v>
          </cell>
          <cell r="S154">
            <v>0</v>
          </cell>
          <cell r="T154">
            <v>0</v>
          </cell>
          <cell r="U154">
            <v>0</v>
          </cell>
          <cell r="V154">
            <v>0</v>
          </cell>
          <cell r="W154">
            <v>195156</v>
          </cell>
          <cell r="X154">
            <v>0</v>
          </cell>
          <cell r="Z154">
            <v>0</v>
          </cell>
          <cell r="AA154">
            <v>0</v>
          </cell>
          <cell r="AB154">
            <v>0</v>
          </cell>
          <cell r="AD154">
            <v>0</v>
          </cell>
          <cell r="AE154">
            <v>0</v>
          </cell>
          <cell r="AF154">
            <v>0</v>
          </cell>
          <cell r="AG154">
            <v>0</v>
          </cell>
          <cell r="AH154">
            <v>0</v>
          </cell>
          <cell r="AI154">
            <v>0</v>
          </cell>
          <cell r="AJ154">
            <v>0</v>
          </cell>
          <cell r="AK154">
            <v>0</v>
          </cell>
          <cell r="AM154">
            <v>0</v>
          </cell>
          <cell r="AN154">
            <v>0</v>
          </cell>
          <cell r="AO154">
            <v>0</v>
          </cell>
          <cell r="AP154">
            <v>0</v>
          </cell>
          <cell r="AQ154">
            <v>0</v>
          </cell>
          <cell r="AR154">
            <v>0</v>
          </cell>
          <cell r="AS154">
            <v>0</v>
          </cell>
          <cell r="AT154">
            <v>0</v>
          </cell>
          <cell r="AU154">
            <v>0</v>
          </cell>
          <cell r="AV154">
            <v>0</v>
          </cell>
          <cell r="AW154">
            <v>0</v>
          </cell>
          <cell r="AX154">
            <v>0</v>
          </cell>
          <cell r="BA154">
            <v>0</v>
          </cell>
          <cell r="BC154">
            <v>0</v>
          </cell>
          <cell r="BD154">
            <v>17213</v>
          </cell>
          <cell r="BF154">
            <v>0</v>
          </cell>
          <cell r="BG154">
            <v>0</v>
          </cell>
          <cell r="BH154">
            <v>0</v>
          </cell>
          <cell r="BI154">
            <v>50322</v>
          </cell>
          <cell r="BJ154">
            <v>41423</v>
          </cell>
          <cell r="BK154">
            <v>41423</v>
          </cell>
          <cell r="BL154">
            <v>0</v>
          </cell>
          <cell r="BM154">
            <v>0</v>
          </cell>
          <cell r="BN154">
            <v>0</v>
          </cell>
          <cell r="BO154">
            <v>127444</v>
          </cell>
          <cell r="BP154">
            <v>23721</v>
          </cell>
          <cell r="BQ154">
            <v>42732.5581395349</v>
          </cell>
          <cell r="BR154">
            <v>0</v>
          </cell>
          <cell r="BS154">
            <v>0</v>
          </cell>
          <cell r="BT154">
            <v>81767</v>
          </cell>
          <cell r="BY154">
            <v>0</v>
          </cell>
          <cell r="BZ154">
            <v>0</v>
          </cell>
          <cell r="CA154">
            <v>0</v>
          </cell>
          <cell r="CB154">
            <v>0</v>
          </cell>
          <cell r="CC154">
            <v>3589355</v>
          </cell>
          <cell r="CD154">
            <v>18379826</v>
          </cell>
          <cell r="CE154">
            <v>3667717</v>
          </cell>
          <cell r="CF154">
            <v>0</v>
          </cell>
          <cell r="CG154">
            <v>3667717</v>
          </cell>
          <cell r="CH154">
            <v>3667717</v>
          </cell>
          <cell r="CI154">
            <v>3667717</v>
          </cell>
          <cell r="CJ154">
            <v>3667717</v>
          </cell>
          <cell r="CK154">
            <v>0</v>
          </cell>
          <cell r="CL154">
            <v>0</v>
          </cell>
          <cell r="CM154">
            <v>0</v>
          </cell>
          <cell r="CN154">
            <v>0</v>
          </cell>
          <cell r="CO154">
            <v>0</v>
          </cell>
          <cell r="CP154">
            <v>0</v>
          </cell>
          <cell r="CQ154">
            <v>1686291</v>
          </cell>
          <cell r="CR154">
            <v>1617318</v>
          </cell>
          <cell r="CS154">
            <v>1571070</v>
          </cell>
          <cell r="CT154">
            <v>1551175</v>
          </cell>
          <cell r="CU154">
            <v>1516651</v>
          </cell>
          <cell r="CV154">
            <v>19894</v>
          </cell>
          <cell r="CW154">
            <v>0</v>
          </cell>
          <cell r="CX154">
            <v>0</v>
          </cell>
          <cell r="CY154">
            <v>0</v>
          </cell>
          <cell r="CZ154">
            <v>0</v>
          </cell>
          <cell r="DA154">
            <v>0</v>
          </cell>
          <cell r="DC154">
            <v>0</v>
          </cell>
          <cell r="DD154">
            <v>0</v>
          </cell>
          <cell r="DE154">
            <v>0</v>
          </cell>
          <cell r="DF154">
            <v>0</v>
          </cell>
          <cell r="DG154">
            <v>0</v>
          </cell>
          <cell r="DH154">
            <v>0</v>
          </cell>
          <cell r="DI154">
            <v>0</v>
          </cell>
          <cell r="DJ154">
            <v>0</v>
          </cell>
          <cell r="DK154">
            <v>0</v>
          </cell>
          <cell r="DL154">
            <v>0</v>
          </cell>
        </row>
        <row r="155">
          <cell r="A155">
            <v>345</v>
          </cell>
          <cell r="B155" t="str">
            <v>Veenendaal</v>
          </cell>
          <cell r="C155">
            <v>6</v>
          </cell>
          <cell r="D155">
            <v>-26765</v>
          </cell>
          <cell r="E155">
            <v>-13383</v>
          </cell>
          <cell r="F155">
            <v>0</v>
          </cell>
          <cell r="G155">
            <v>247081</v>
          </cell>
          <cell r="H155">
            <v>0</v>
          </cell>
          <cell r="I155">
            <v>0</v>
          </cell>
          <cell r="K155">
            <v>0</v>
          </cell>
          <cell r="L155">
            <v>331768</v>
          </cell>
          <cell r="M155">
            <v>340635</v>
          </cell>
          <cell r="N155">
            <v>0</v>
          </cell>
          <cell r="O155">
            <v>0</v>
          </cell>
          <cell r="P155">
            <v>0</v>
          </cell>
          <cell r="Q155">
            <v>0</v>
          </cell>
          <cell r="R155">
            <v>0</v>
          </cell>
          <cell r="S155">
            <v>0</v>
          </cell>
          <cell r="T155">
            <v>0</v>
          </cell>
          <cell r="U155">
            <v>0</v>
          </cell>
          <cell r="V155">
            <v>15000</v>
          </cell>
          <cell r="W155">
            <v>167690</v>
          </cell>
          <cell r="X155">
            <v>0</v>
          </cell>
          <cell r="Z155">
            <v>0</v>
          </cell>
          <cell r="AA155">
            <v>0</v>
          </cell>
          <cell r="AB155">
            <v>0</v>
          </cell>
          <cell r="AD155">
            <v>44001</v>
          </cell>
          <cell r="AE155">
            <v>0</v>
          </cell>
          <cell r="AF155">
            <v>0</v>
          </cell>
          <cell r="AG155">
            <v>0</v>
          </cell>
          <cell r="AH155">
            <v>0</v>
          </cell>
          <cell r="AI155">
            <v>0</v>
          </cell>
          <cell r="AJ155">
            <v>0</v>
          </cell>
          <cell r="AK155">
            <v>0</v>
          </cell>
          <cell r="AM155">
            <v>0</v>
          </cell>
          <cell r="AN155">
            <v>0</v>
          </cell>
          <cell r="AO155">
            <v>0</v>
          </cell>
          <cell r="AP155">
            <v>0</v>
          </cell>
          <cell r="AQ155">
            <v>0</v>
          </cell>
          <cell r="AR155">
            <v>0</v>
          </cell>
          <cell r="AS155">
            <v>0</v>
          </cell>
          <cell r="AT155">
            <v>0</v>
          </cell>
          <cell r="AU155">
            <v>9480</v>
          </cell>
          <cell r="AV155">
            <v>0</v>
          </cell>
          <cell r="AW155">
            <v>0</v>
          </cell>
          <cell r="AX155">
            <v>0</v>
          </cell>
          <cell r="BA155">
            <v>0</v>
          </cell>
          <cell r="BC155">
            <v>0</v>
          </cell>
          <cell r="BD155">
            <v>22564</v>
          </cell>
          <cell r="BF155">
            <v>0</v>
          </cell>
          <cell r="BG155">
            <v>0</v>
          </cell>
          <cell r="BH155">
            <v>0</v>
          </cell>
          <cell r="BI155">
            <v>91439</v>
          </cell>
          <cell r="BJ155">
            <v>75268</v>
          </cell>
          <cell r="BK155">
            <v>75268</v>
          </cell>
          <cell r="BL155">
            <v>0</v>
          </cell>
          <cell r="BM155">
            <v>0</v>
          </cell>
          <cell r="BN155">
            <v>0</v>
          </cell>
          <cell r="BO155">
            <v>81233</v>
          </cell>
          <cell r="BP155">
            <v>41116.400000000001</v>
          </cell>
          <cell r="BQ155">
            <v>74069.767441860502</v>
          </cell>
          <cell r="BR155">
            <v>0</v>
          </cell>
          <cell r="BS155">
            <v>0</v>
          </cell>
          <cell r="BT155">
            <v>108827</v>
          </cell>
          <cell r="BY155">
            <v>0</v>
          </cell>
          <cell r="BZ155">
            <v>0</v>
          </cell>
          <cell r="CA155">
            <v>0</v>
          </cell>
          <cell r="CB155">
            <v>0</v>
          </cell>
          <cell r="CC155">
            <v>4752675</v>
          </cell>
          <cell r="CD155">
            <v>32550096</v>
          </cell>
          <cell r="CE155">
            <v>2070282</v>
          </cell>
          <cell r="CF155">
            <v>0</v>
          </cell>
          <cell r="CG155">
            <v>2070282</v>
          </cell>
          <cell r="CH155">
            <v>2070282</v>
          </cell>
          <cell r="CI155">
            <v>2070282</v>
          </cell>
          <cell r="CJ155">
            <v>2070282</v>
          </cell>
          <cell r="CK155">
            <v>0</v>
          </cell>
          <cell r="CL155">
            <v>0</v>
          </cell>
          <cell r="CM155">
            <v>0</v>
          </cell>
          <cell r="CN155">
            <v>0</v>
          </cell>
          <cell r="CO155">
            <v>0</v>
          </cell>
          <cell r="CP155">
            <v>0</v>
          </cell>
          <cell r="CQ155">
            <v>7174448</v>
          </cell>
          <cell r="CR155">
            <v>6866246</v>
          </cell>
          <cell r="CS155">
            <v>6714532</v>
          </cell>
          <cell r="CT155">
            <v>6510876</v>
          </cell>
          <cell r="CU155">
            <v>6434483</v>
          </cell>
          <cell r="CV155">
            <v>-81317</v>
          </cell>
          <cell r="CW155">
            <v>0</v>
          </cell>
          <cell r="CX155">
            <v>0</v>
          </cell>
          <cell r="CY155">
            <v>0</v>
          </cell>
          <cell r="CZ155">
            <v>0</v>
          </cell>
          <cell r="DA155">
            <v>0</v>
          </cell>
          <cell r="DC155">
            <v>0</v>
          </cell>
          <cell r="DD155">
            <v>0</v>
          </cell>
          <cell r="DE155">
            <v>0</v>
          </cell>
          <cell r="DF155">
            <v>0</v>
          </cell>
          <cell r="DG155">
            <v>0</v>
          </cell>
          <cell r="DH155">
            <v>0</v>
          </cell>
          <cell r="DI155">
            <v>0</v>
          </cell>
          <cell r="DJ155">
            <v>0</v>
          </cell>
          <cell r="DK155">
            <v>0</v>
          </cell>
          <cell r="DL155">
            <v>0</v>
          </cell>
        </row>
        <row r="156">
          <cell r="A156">
            <v>620</v>
          </cell>
          <cell r="B156" t="str">
            <v>Vianen</v>
          </cell>
          <cell r="C156">
            <v>6</v>
          </cell>
          <cell r="D156">
            <v>-51022</v>
          </cell>
          <cell r="E156">
            <v>-25511</v>
          </cell>
          <cell r="F156">
            <v>0</v>
          </cell>
          <cell r="G156">
            <v>0</v>
          </cell>
          <cell r="H156">
            <v>-12331</v>
          </cell>
          <cell r="I156">
            <v>-6828</v>
          </cell>
          <cell r="K156">
            <v>0</v>
          </cell>
          <cell r="L156">
            <v>76680</v>
          </cell>
          <cell r="M156">
            <v>77112</v>
          </cell>
          <cell r="N156">
            <v>0</v>
          </cell>
          <cell r="O156">
            <v>0</v>
          </cell>
          <cell r="P156">
            <v>0</v>
          </cell>
          <cell r="Q156">
            <v>0</v>
          </cell>
          <cell r="R156">
            <v>0</v>
          </cell>
          <cell r="S156">
            <v>0</v>
          </cell>
          <cell r="T156">
            <v>0</v>
          </cell>
          <cell r="U156">
            <v>0</v>
          </cell>
          <cell r="V156">
            <v>0</v>
          </cell>
          <cell r="W156">
            <v>82999</v>
          </cell>
          <cell r="X156">
            <v>0</v>
          </cell>
          <cell r="Z156">
            <v>0</v>
          </cell>
          <cell r="AA156">
            <v>0</v>
          </cell>
          <cell r="AB156">
            <v>0</v>
          </cell>
          <cell r="AD156">
            <v>20000</v>
          </cell>
          <cell r="AE156">
            <v>0</v>
          </cell>
          <cell r="AF156">
            <v>0</v>
          </cell>
          <cell r="AG156">
            <v>0</v>
          </cell>
          <cell r="AH156">
            <v>0</v>
          </cell>
          <cell r="AI156">
            <v>0</v>
          </cell>
          <cell r="AJ156">
            <v>0</v>
          </cell>
          <cell r="AK156">
            <v>0</v>
          </cell>
          <cell r="AM156">
            <v>33161</v>
          </cell>
          <cell r="AN156">
            <v>33924</v>
          </cell>
          <cell r="AO156">
            <v>34704</v>
          </cell>
          <cell r="AP156">
            <v>35503</v>
          </cell>
          <cell r="AQ156">
            <v>36319</v>
          </cell>
          <cell r="AR156">
            <v>37154</v>
          </cell>
          <cell r="AS156">
            <v>0</v>
          </cell>
          <cell r="AT156">
            <v>0</v>
          </cell>
          <cell r="AU156">
            <v>0</v>
          </cell>
          <cell r="AV156">
            <v>0</v>
          </cell>
          <cell r="AW156">
            <v>0</v>
          </cell>
          <cell r="AX156">
            <v>0</v>
          </cell>
          <cell r="BA156">
            <v>0</v>
          </cell>
          <cell r="BC156">
            <v>0</v>
          </cell>
          <cell r="BD156">
            <v>34587</v>
          </cell>
          <cell r="BF156">
            <v>0</v>
          </cell>
          <cell r="BG156">
            <v>0</v>
          </cell>
          <cell r="BH156">
            <v>0</v>
          </cell>
          <cell r="BI156">
            <v>23768</v>
          </cell>
          <cell r="BJ156">
            <v>19565</v>
          </cell>
          <cell r="BK156">
            <v>19565</v>
          </cell>
          <cell r="BL156">
            <v>0</v>
          </cell>
          <cell r="BM156">
            <v>0</v>
          </cell>
          <cell r="BN156">
            <v>0</v>
          </cell>
          <cell r="BO156">
            <v>105555</v>
          </cell>
          <cell r="BP156">
            <v>11069.8</v>
          </cell>
          <cell r="BQ156">
            <v>19941.8604651163</v>
          </cell>
          <cell r="BR156">
            <v>0</v>
          </cell>
          <cell r="BS156">
            <v>0</v>
          </cell>
          <cell r="BT156">
            <v>32045</v>
          </cell>
          <cell r="BY156">
            <v>0</v>
          </cell>
          <cell r="BZ156">
            <v>0</v>
          </cell>
          <cell r="CA156">
            <v>0</v>
          </cell>
          <cell r="CB156">
            <v>0</v>
          </cell>
          <cell r="CC156">
            <v>1350657</v>
          </cell>
          <cell r="CD156">
            <v>6535623</v>
          </cell>
          <cell r="CE156">
            <v>328753</v>
          </cell>
          <cell r="CF156">
            <v>-6796</v>
          </cell>
          <cell r="CG156">
            <v>328753</v>
          </cell>
          <cell r="CH156">
            <v>328753</v>
          </cell>
          <cell r="CI156">
            <v>328753</v>
          </cell>
          <cell r="CJ156">
            <v>328753</v>
          </cell>
          <cell r="CK156">
            <v>0</v>
          </cell>
          <cell r="CL156">
            <v>0</v>
          </cell>
          <cell r="CM156">
            <v>0</v>
          </cell>
          <cell r="CN156">
            <v>0</v>
          </cell>
          <cell r="CO156">
            <v>0</v>
          </cell>
          <cell r="CP156">
            <v>-1447</v>
          </cell>
          <cell r="CQ156">
            <v>660293</v>
          </cell>
          <cell r="CR156">
            <v>648586</v>
          </cell>
          <cell r="CS156">
            <v>648807</v>
          </cell>
          <cell r="CT156">
            <v>636244</v>
          </cell>
          <cell r="CU156">
            <v>640925</v>
          </cell>
          <cell r="CV156">
            <v>-183</v>
          </cell>
          <cell r="CW156">
            <v>0</v>
          </cell>
          <cell r="CX156">
            <v>0</v>
          </cell>
          <cell r="CY156">
            <v>0</v>
          </cell>
          <cell r="CZ156">
            <v>0</v>
          </cell>
          <cell r="DA156">
            <v>0</v>
          </cell>
          <cell r="DC156">
            <v>0</v>
          </cell>
          <cell r="DD156">
            <v>0</v>
          </cell>
          <cell r="DE156">
            <v>0</v>
          </cell>
          <cell r="DF156">
            <v>0</v>
          </cell>
          <cell r="DG156">
            <v>0</v>
          </cell>
          <cell r="DH156">
            <v>0</v>
          </cell>
          <cell r="DI156">
            <v>0</v>
          </cell>
          <cell r="DJ156">
            <v>0</v>
          </cell>
          <cell r="DK156">
            <v>0</v>
          </cell>
          <cell r="DL156">
            <v>0</v>
          </cell>
        </row>
        <row r="157">
          <cell r="A157">
            <v>352</v>
          </cell>
          <cell r="B157" t="str">
            <v>Wijk bij Duurstede</v>
          </cell>
          <cell r="C157">
            <v>6</v>
          </cell>
          <cell r="D157">
            <v>9505</v>
          </cell>
          <cell r="E157">
            <v>4752</v>
          </cell>
          <cell r="F157">
            <v>0</v>
          </cell>
          <cell r="G157">
            <v>0</v>
          </cell>
          <cell r="H157">
            <v>0</v>
          </cell>
          <cell r="I157">
            <v>0</v>
          </cell>
          <cell r="K157">
            <v>0</v>
          </cell>
          <cell r="L157">
            <v>71168</v>
          </cell>
          <cell r="M157">
            <v>71160</v>
          </cell>
          <cell r="N157">
            <v>0</v>
          </cell>
          <cell r="O157">
            <v>0</v>
          </cell>
          <cell r="P157">
            <v>0</v>
          </cell>
          <cell r="Q157">
            <v>0</v>
          </cell>
          <cell r="R157">
            <v>0</v>
          </cell>
          <cell r="S157">
            <v>0</v>
          </cell>
          <cell r="T157">
            <v>0</v>
          </cell>
          <cell r="U157">
            <v>0</v>
          </cell>
          <cell r="V157">
            <v>0</v>
          </cell>
          <cell r="W157">
            <v>62631</v>
          </cell>
          <cell r="X157">
            <v>0</v>
          </cell>
          <cell r="Z157">
            <v>0</v>
          </cell>
          <cell r="AA157">
            <v>0</v>
          </cell>
          <cell r="AB157">
            <v>0</v>
          </cell>
          <cell r="AD157">
            <v>0</v>
          </cell>
          <cell r="AE157">
            <v>0</v>
          </cell>
          <cell r="AF157">
            <v>0</v>
          </cell>
          <cell r="AG157">
            <v>0</v>
          </cell>
          <cell r="AH157">
            <v>0</v>
          </cell>
          <cell r="AI157">
            <v>0</v>
          </cell>
          <cell r="AJ157">
            <v>0</v>
          </cell>
          <cell r="AK157">
            <v>0</v>
          </cell>
          <cell r="AM157">
            <v>0</v>
          </cell>
          <cell r="AN157">
            <v>0</v>
          </cell>
          <cell r="AO157">
            <v>0</v>
          </cell>
          <cell r="AP157">
            <v>0</v>
          </cell>
          <cell r="AQ157">
            <v>0</v>
          </cell>
          <cell r="AR157">
            <v>0</v>
          </cell>
          <cell r="AS157">
            <v>0</v>
          </cell>
          <cell r="AT157">
            <v>0</v>
          </cell>
          <cell r="AU157">
            <v>0</v>
          </cell>
          <cell r="AV157">
            <v>0</v>
          </cell>
          <cell r="AW157">
            <v>0</v>
          </cell>
          <cell r="AX157">
            <v>0</v>
          </cell>
          <cell r="BA157">
            <v>0</v>
          </cell>
          <cell r="BC157">
            <v>0</v>
          </cell>
          <cell r="BD157">
            <v>8250</v>
          </cell>
          <cell r="BF157">
            <v>0</v>
          </cell>
          <cell r="BG157">
            <v>0</v>
          </cell>
          <cell r="BH157">
            <v>0</v>
          </cell>
          <cell r="BI157">
            <v>21249</v>
          </cell>
          <cell r="BJ157">
            <v>17491</v>
          </cell>
          <cell r="BK157">
            <v>17491</v>
          </cell>
          <cell r="BL157">
            <v>0</v>
          </cell>
          <cell r="BM157">
            <v>0</v>
          </cell>
          <cell r="BN157">
            <v>0</v>
          </cell>
          <cell r="BO157">
            <v>42806</v>
          </cell>
          <cell r="BP157">
            <v>11069.8</v>
          </cell>
          <cell r="BQ157">
            <v>19941.8604651163</v>
          </cell>
          <cell r="BR157">
            <v>0</v>
          </cell>
          <cell r="BS157">
            <v>0</v>
          </cell>
          <cell r="BT157">
            <v>35421</v>
          </cell>
          <cell r="BY157">
            <v>0</v>
          </cell>
          <cell r="BZ157">
            <v>0</v>
          </cell>
          <cell r="CA157">
            <v>0</v>
          </cell>
          <cell r="CB157">
            <v>0</v>
          </cell>
          <cell r="CC157">
            <v>1359034</v>
          </cell>
          <cell r="CD157">
            <v>8478542</v>
          </cell>
          <cell r="CE157">
            <v>639051</v>
          </cell>
          <cell r="CF157">
            <v>0</v>
          </cell>
          <cell r="CG157">
            <v>639051</v>
          </cell>
          <cell r="CH157">
            <v>639051</v>
          </cell>
          <cell r="CI157">
            <v>639051</v>
          </cell>
          <cell r="CJ157">
            <v>639051</v>
          </cell>
          <cell r="CK157">
            <v>0</v>
          </cell>
          <cell r="CL157">
            <v>0</v>
          </cell>
          <cell r="CM157">
            <v>0</v>
          </cell>
          <cell r="CN157">
            <v>0</v>
          </cell>
          <cell r="CO157">
            <v>0</v>
          </cell>
          <cell r="CP157">
            <v>0</v>
          </cell>
          <cell r="CQ157">
            <v>1361990</v>
          </cell>
          <cell r="CR157">
            <v>1308019</v>
          </cell>
          <cell r="CS157">
            <v>1288879</v>
          </cell>
          <cell r="CT157">
            <v>1274090</v>
          </cell>
          <cell r="CU157">
            <v>1248683</v>
          </cell>
          <cell r="CV157">
            <v>34047</v>
          </cell>
          <cell r="CW157">
            <v>0</v>
          </cell>
          <cell r="CX157">
            <v>0</v>
          </cell>
          <cell r="CY157">
            <v>0</v>
          </cell>
          <cell r="CZ157">
            <v>0</v>
          </cell>
          <cell r="DA157">
            <v>0</v>
          </cell>
          <cell r="DC157">
            <v>0</v>
          </cell>
          <cell r="DD157">
            <v>0</v>
          </cell>
          <cell r="DE157">
            <v>0</v>
          </cell>
          <cell r="DF157">
            <v>0</v>
          </cell>
          <cell r="DG157">
            <v>0</v>
          </cell>
          <cell r="DH157">
            <v>0</v>
          </cell>
          <cell r="DI157">
            <v>0</v>
          </cell>
          <cell r="DJ157">
            <v>0</v>
          </cell>
          <cell r="DK157">
            <v>0</v>
          </cell>
          <cell r="DL157">
            <v>0</v>
          </cell>
        </row>
        <row r="158">
          <cell r="A158">
            <v>632</v>
          </cell>
          <cell r="B158" t="str">
            <v>Woerden</v>
          </cell>
          <cell r="C158">
            <v>6</v>
          </cell>
          <cell r="D158">
            <v>44328</v>
          </cell>
          <cell r="E158">
            <v>22164</v>
          </cell>
          <cell r="F158">
            <v>0</v>
          </cell>
          <cell r="G158">
            <v>0</v>
          </cell>
          <cell r="H158">
            <v>0</v>
          </cell>
          <cell r="I158">
            <v>-8454</v>
          </cell>
          <cell r="K158">
            <v>0</v>
          </cell>
          <cell r="L158">
            <v>167844</v>
          </cell>
          <cell r="M158">
            <v>162842</v>
          </cell>
          <cell r="N158">
            <v>0</v>
          </cell>
          <cell r="O158">
            <v>0</v>
          </cell>
          <cell r="P158">
            <v>0</v>
          </cell>
          <cell r="Q158">
            <v>0</v>
          </cell>
          <cell r="R158">
            <v>0</v>
          </cell>
          <cell r="S158">
            <v>0</v>
          </cell>
          <cell r="T158">
            <v>0</v>
          </cell>
          <cell r="U158">
            <v>0</v>
          </cell>
          <cell r="V158">
            <v>6000</v>
          </cell>
          <cell r="W158">
            <v>190116</v>
          </cell>
          <cell r="X158">
            <v>0</v>
          </cell>
          <cell r="Z158">
            <v>0</v>
          </cell>
          <cell r="AA158">
            <v>0</v>
          </cell>
          <cell r="AB158">
            <v>0</v>
          </cell>
          <cell r="AD158">
            <v>0</v>
          </cell>
          <cell r="AE158">
            <v>0</v>
          </cell>
          <cell r="AF158">
            <v>0</v>
          </cell>
          <cell r="AG158">
            <v>0</v>
          </cell>
          <cell r="AH158">
            <v>0</v>
          </cell>
          <cell r="AI158">
            <v>0</v>
          </cell>
          <cell r="AJ158">
            <v>0</v>
          </cell>
          <cell r="AK158">
            <v>0</v>
          </cell>
          <cell r="AM158">
            <v>0</v>
          </cell>
          <cell r="AN158">
            <v>0</v>
          </cell>
          <cell r="AO158">
            <v>0</v>
          </cell>
          <cell r="AP158">
            <v>0</v>
          </cell>
          <cell r="AQ158">
            <v>0</v>
          </cell>
          <cell r="AR158">
            <v>0</v>
          </cell>
          <cell r="AS158">
            <v>0</v>
          </cell>
          <cell r="AT158">
            <v>0</v>
          </cell>
          <cell r="AU158">
            <v>7110</v>
          </cell>
          <cell r="AV158">
            <v>0</v>
          </cell>
          <cell r="AW158">
            <v>0</v>
          </cell>
          <cell r="AX158">
            <v>0</v>
          </cell>
          <cell r="BA158">
            <v>0</v>
          </cell>
          <cell r="BC158">
            <v>0</v>
          </cell>
          <cell r="BD158">
            <v>18083</v>
          </cell>
          <cell r="BF158">
            <v>0</v>
          </cell>
          <cell r="BG158">
            <v>0</v>
          </cell>
          <cell r="BH158">
            <v>0</v>
          </cell>
          <cell r="BI158">
            <v>52321</v>
          </cell>
          <cell r="BJ158">
            <v>43068</v>
          </cell>
          <cell r="BK158">
            <v>43068</v>
          </cell>
          <cell r="BL158">
            <v>0</v>
          </cell>
          <cell r="BM158">
            <v>0</v>
          </cell>
          <cell r="BN158">
            <v>0</v>
          </cell>
          <cell r="BO158">
            <v>76856</v>
          </cell>
          <cell r="BP158">
            <v>22139.599999999999</v>
          </cell>
          <cell r="BQ158">
            <v>39883.720930232601</v>
          </cell>
          <cell r="BR158">
            <v>0</v>
          </cell>
          <cell r="BS158">
            <v>0</v>
          </cell>
          <cell r="BT158">
            <v>82809</v>
          </cell>
          <cell r="BY158">
            <v>0</v>
          </cell>
          <cell r="BZ158">
            <v>0</v>
          </cell>
          <cell r="CA158">
            <v>0</v>
          </cell>
          <cell r="CB158">
            <v>0</v>
          </cell>
          <cell r="CC158">
            <v>3109929</v>
          </cell>
          <cell r="CD158">
            <v>20402476</v>
          </cell>
          <cell r="CE158">
            <v>676484</v>
          </cell>
          <cell r="CF158">
            <v>-2923</v>
          </cell>
          <cell r="CG158">
            <v>676484</v>
          </cell>
          <cell r="CH158">
            <v>676484</v>
          </cell>
          <cell r="CI158">
            <v>676484</v>
          </cell>
          <cell r="CJ158">
            <v>676484</v>
          </cell>
          <cell r="CK158">
            <v>0</v>
          </cell>
          <cell r="CL158">
            <v>0</v>
          </cell>
          <cell r="CM158">
            <v>0</v>
          </cell>
          <cell r="CN158">
            <v>0</v>
          </cell>
          <cell r="CO158">
            <v>0</v>
          </cell>
          <cell r="CP158">
            <v>-2614</v>
          </cell>
          <cell r="CQ158">
            <v>5564581</v>
          </cell>
          <cell r="CR158">
            <v>5350329</v>
          </cell>
          <cell r="CS158">
            <v>5226667</v>
          </cell>
          <cell r="CT158">
            <v>5126729</v>
          </cell>
          <cell r="CU158">
            <v>5017560</v>
          </cell>
          <cell r="CV158">
            <v>1827</v>
          </cell>
          <cell r="CW158">
            <v>0</v>
          </cell>
          <cell r="CX158">
            <v>0</v>
          </cell>
          <cell r="CY158">
            <v>0</v>
          </cell>
          <cell r="CZ158">
            <v>0</v>
          </cell>
          <cell r="DA158">
            <v>0</v>
          </cell>
          <cell r="DC158">
            <v>250000</v>
          </cell>
          <cell r="DD158">
            <v>0</v>
          </cell>
          <cell r="DE158">
            <v>0</v>
          </cell>
          <cell r="DF158">
            <v>0</v>
          </cell>
          <cell r="DG158">
            <v>0</v>
          </cell>
          <cell r="DH158">
            <v>0</v>
          </cell>
          <cell r="DI158">
            <v>0</v>
          </cell>
          <cell r="DJ158">
            <v>0</v>
          </cell>
          <cell r="DK158">
            <v>0</v>
          </cell>
          <cell r="DL158">
            <v>0</v>
          </cell>
        </row>
        <row r="159">
          <cell r="A159">
            <v>351</v>
          </cell>
          <cell r="B159" t="str">
            <v>Woudenberg</v>
          </cell>
          <cell r="C159">
            <v>6</v>
          </cell>
          <cell r="D159">
            <v>9627</v>
          </cell>
          <cell r="E159">
            <v>4813</v>
          </cell>
          <cell r="F159">
            <v>0</v>
          </cell>
          <cell r="G159">
            <v>0</v>
          </cell>
          <cell r="H159">
            <v>-5763</v>
          </cell>
          <cell r="I159">
            <v>-4083</v>
          </cell>
          <cell r="K159">
            <v>0</v>
          </cell>
          <cell r="L159">
            <v>39394</v>
          </cell>
          <cell r="M159">
            <v>37139</v>
          </cell>
          <cell r="N159">
            <v>0</v>
          </cell>
          <cell r="O159">
            <v>0</v>
          </cell>
          <cell r="P159">
            <v>0</v>
          </cell>
          <cell r="Q159">
            <v>0</v>
          </cell>
          <cell r="R159">
            <v>0</v>
          </cell>
          <cell r="S159">
            <v>0</v>
          </cell>
          <cell r="T159">
            <v>0</v>
          </cell>
          <cell r="U159">
            <v>0</v>
          </cell>
          <cell r="V159">
            <v>0</v>
          </cell>
          <cell r="W159">
            <v>53065</v>
          </cell>
          <cell r="X159">
            <v>0</v>
          </cell>
          <cell r="Z159">
            <v>0</v>
          </cell>
          <cell r="AA159">
            <v>0</v>
          </cell>
          <cell r="AB159">
            <v>0</v>
          </cell>
          <cell r="AD159">
            <v>0</v>
          </cell>
          <cell r="AE159">
            <v>0</v>
          </cell>
          <cell r="AF159">
            <v>0</v>
          </cell>
          <cell r="AG159">
            <v>0</v>
          </cell>
          <cell r="AH159">
            <v>0</v>
          </cell>
          <cell r="AI159">
            <v>0</v>
          </cell>
          <cell r="AJ159">
            <v>0</v>
          </cell>
          <cell r="AK159">
            <v>0</v>
          </cell>
          <cell r="AM159">
            <v>0</v>
          </cell>
          <cell r="AN159">
            <v>0</v>
          </cell>
          <cell r="AO159">
            <v>0</v>
          </cell>
          <cell r="AP159">
            <v>0</v>
          </cell>
          <cell r="AQ159">
            <v>0</v>
          </cell>
          <cell r="AR159">
            <v>0</v>
          </cell>
          <cell r="AS159">
            <v>0</v>
          </cell>
          <cell r="AT159">
            <v>0</v>
          </cell>
          <cell r="AU159">
            <v>4740</v>
          </cell>
          <cell r="AV159">
            <v>0</v>
          </cell>
          <cell r="AW159">
            <v>0</v>
          </cell>
          <cell r="AX159">
            <v>0</v>
          </cell>
          <cell r="BA159">
            <v>0</v>
          </cell>
          <cell r="BC159">
            <v>0</v>
          </cell>
          <cell r="BD159">
            <v>4459</v>
          </cell>
          <cell r="BF159">
            <v>0</v>
          </cell>
          <cell r="BG159">
            <v>0</v>
          </cell>
          <cell r="BH159">
            <v>0</v>
          </cell>
          <cell r="BI159">
            <v>10377</v>
          </cell>
          <cell r="BJ159">
            <v>8542</v>
          </cell>
          <cell r="BK159">
            <v>8542</v>
          </cell>
          <cell r="BL159">
            <v>0</v>
          </cell>
          <cell r="BM159">
            <v>0</v>
          </cell>
          <cell r="BN159">
            <v>0</v>
          </cell>
          <cell r="BO159">
            <v>44265</v>
          </cell>
          <cell r="BP159">
            <v>1581.4</v>
          </cell>
          <cell r="BQ159">
            <v>2848.8372093023299</v>
          </cell>
          <cell r="BR159">
            <v>0</v>
          </cell>
          <cell r="BS159">
            <v>0</v>
          </cell>
          <cell r="BT159">
            <v>19711</v>
          </cell>
          <cell r="BY159">
            <v>0</v>
          </cell>
          <cell r="BZ159">
            <v>0</v>
          </cell>
          <cell r="CA159">
            <v>0</v>
          </cell>
          <cell r="CB159">
            <v>0</v>
          </cell>
          <cell r="CC159">
            <v>850593</v>
          </cell>
          <cell r="CD159">
            <v>4460161</v>
          </cell>
          <cell r="CE159">
            <v>443939</v>
          </cell>
          <cell r="CF159">
            <v>0</v>
          </cell>
          <cell r="CG159">
            <v>443939</v>
          </cell>
          <cell r="CH159">
            <v>443939</v>
          </cell>
          <cell r="CI159">
            <v>443939</v>
          </cell>
          <cell r="CJ159">
            <v>443939</v>
          </cell>
          <cell r="CK159">
            <v>0</v>
          </cell>
          <cell r="CL159">
            <v>0</v>
          </cell>
          <cell r="CM159">
            <v>0</v>
          </cell>
          <cell r="CN159">
            <v>0</v>
          </cell>
          <cell r="CO159">
            <v>0</v>
          </cell>
          <cell r="CP159">
            <v>-1467</v>
          </cell>
          <cell r="CQ159">
            <v>361187</v>
          </cell>
          <cell r="CR159">
            <v>346924</v>
          </cell>
          <cell r="CS159">
            <v>340275</v>
          </cell>
          <cell r="CT159">
            <v>341462</v>
          </cell>
          <cell r="CU159">
            <v>343025</v>
          </cell>
          <cell r="CV159">
            <v>-23237</v>
          </cell>
          <cell r="CW159">
            <v>0</v>
          </cell>
          <cell r="CX159">
            <v>0</v>
          </cell>
          <cell r="CY159">
            <v>0</v>
          </cell>
          <cell r="CZ159">
            <v>0</v>
          </cell>
          <cell r="DA159">
            <v>0</v>
          </cell>
          <cell r="DC159">
            <v>0</v>
          </cell>
          <cell r="DD159">
            <v>0</v>
          </cell>
          <cell r="DE159">
            <v>0</v>
          </cell>
          <cell r="DF159">
            <v>0</v>
          </cell>
          <cell r="DG159">
            <v>0</v>
          </cell>
          <cell r="DH159">
            <v>0</v>
          </cell>
          <cell r="DI159">
            <v>0</v>
          </cell>
          <cell r="DJ159">
            <v>0</v>
          </cell>
          <cell r="DK159">
            <v>0</v>
          </cell>
          <cell r="DL159">
            <v>0</v>
          </cell>
        </row>
        <row r="160">
          <cell r="A160">
            <v>355</v>
          </cell>
          <cell r="B160" t="str">
            <v>Zeist</v>
          </cell>
          <cell r="C160">
            <v>6</v>
          </cell>
          <cell r="D160">
            <v>-67637</v>
          </cell>
          <cell r="E160">
            <v>-33819</v>
          </cell>
          <cell r="F160">
            <v>0</v>
          </cell>
          <cell r="G160">
            <v>0</v>
          </cell>
          <cell r="H160">
            <v>-9415</v>
          </cell>
          <cell r="I160">
            <v>-10078</v>
          </cell>
          <cell r="K160">
            <v>0</v>
          </cell>
          <cell r="L160">
            <v>290981</v>
          </cell>
          <cell r="M160">
            <v>323970</v>
          </cell>
          <cell r="N160">
            <v>0</v>
          </cell>
          <cell r="O160">
            <v>0</v>
          </cell>
          <cell r="P160">
            <v>0</v>
          </cell>
          <cell r="Q160">
            <v>0</v>
          </cell>
          <cell r="R160">
            <v>0</v>
          </cell>
          <cell r="S160">
            <v>0</v>
          </cell>
          <cell r="T160">
            <v>0</v>
          </cell>
          <cell r="U160">
            <v>0</v>
          </cell>
          <cell r="V160">
            <v>12000</v>
          </cell>
          <cell r="W160">
            <v>234809</v>
          </cell>
          <cell r="X160">
            <v>0</v>
          </cell>
          <cell r="Z160">
            <v>0</v>
          </cell>
          <cell r="AA160">
            <v>0</v>
          </cell>
          <cell r="AB160">
            <v>0</v>
          </cell>
          <cell r="AD160">
            <v>44978</v>
          </cell>
          <cell r="AE160">
            <v>0</v>
          </cell>
          <cell r="AF160">
            <v>0</v>
          </cell>
          <cell r="AG160">
            <v>0</v>
          </cell>
          <cell r="AH160">
            <v>0</v>
          </cell>
          <cell r="AI160">
            <v>0</v>
          </cell>
          <cell r="AJ160">
            <v>0</v>
          </cell>
          <cell r="AK160">
            <v>0</v>
          </cell>
          <cell r="AM160">
            <v>0</v>
          </cell>
          <cell r="AN160">
            <v>0</v>
          </cell>
          <cell r="AO160">
            <v>0</v>
          </cell>
          <cell r="AP160">
            <v>0</v>
          </cell>
          <cell r="AQ160">
            <v>0</v>
          </cell>
          <cell r="AR160">
            <v>0</v>
          </cell>
          <cell r="AS160">
            <v>0</v>
          </cell>
          <cell r="AT160">
            <v>0</v>
          </cell>
          <cell r="AU160">
            <v>9480</v>
          </cell>
          <cell r="AV160">
            <v>0</v>
          </cell>
          <cell r="AW160">
            <v>0</v>
          </cell>
          <cell r="AX160">
            <v>0</v>
          </cell>
          <cell r="BA160">
            <v>0</v>
          </cell>
          <cell r="BC160">
            <v>0</v>
          </cell>
          <cell r="BD160">
            <v>22056</v>
          </cell>
          <cell r="BF160">
            <v>0</v>
          </cell>
          <cell r="BG160">
            <v>0</v>
          </cell>
          <cell r="BH160">
            <v>0</v>
          </cell>
          <cell r="BI160">
            <v>95718</v>
          </cell>
          <cell r="BJ160">
            <v>78790</v>
          </cell>
          <cell r="BK160">
            <v>78790</v>
          </cell>
          <cell r="BL160">
            <v>0</v>
          </cell>
          <cell r="BM160">
            <v>0</v>
          </cell>
          <cell r="BN160">
            <v>0</v>
          </cell>
          <cell r="BO160">
            <v>154198</v>
          </cell>
          <cell r="BP160">
            <v>12651.2</v>
          </cell>
          <cell r="BQ160">
            <v>22790.697674418599</v>
          </cell>
          <cell r="BR160">
            <v>0</v>
          </cell>
          <cell r="BS160">
            <v>0</v>
          </cell>
          <cell r="BT160">
            <v>99796</v>
          </cell>
          <cell r="BY160">
            <v>0</v>
          </cell>
          <cell r="BZ160">
            <v>0</v>
          </cell>
          <cell r="CA160">
            <v>0</v>
          </cell>
          <cell r="CB160">
            <v>0</v>
          </cell>
          <cell r="CC160">
            <v>4947676</v>
          </cell>
          <cell r="CD160">
            <v>34291910</v>
          </cell>
          <cell r="CE160">
            <v>5235783</v>
          </cell>
          <cell r="CF160">
            <v>0</v>
          </cell>
          <cell r="CG160">
            <v>5235783</v>
          </cell>
          <cell r="CH160">
            <v>5235783</v>
          </cell>
          <cell r="CI160">
            <v>5235783</v>
          </cell>
          <cell r="CJ160">
            <v>5235783</v>
          </cell>
          <cell r="CK160">
            <v>0</v>
          </cell>
          <cell r="CL160">
            <v>0</v>
          </cell>
          <cell r="CM160">
            <v>0</v>
          </cell>
          <cell r="CN160">
            <v>0</v>
          </cell>
          <cell r="CO160">
            <v>0</v>
          </cell>
          <cell r="CP160">
            <v>-3618</v>
          </cell>
          <cell r="CQ160">
            <v>5130814</v>
          </cell>
          <cell r="CR160">
            <v>4936594</v>
          </cell>
          <cell r="CS160">
            <v>4877689</v>
          </cell>
          <cell r="CT160">
            <v>4864275</v>
          </cell>
          <cell r="CU160">
            <v>4760130</v>
          </cell>
          <cell r="CV160">
            <v>-73057</v>
          </cell>
          <cell r="CW160">
            <v>0</v>
          </cell>
          <cell r="CX160">
            <v>0</v>
          </cell>
          <cell r="CY160">
            <v>0</v>
          </cell>
          <cell r="CZ160">
            <v>0</v>
          </cell>
          <cell r="DA160">
            <v>0</v>
          </cell>
          <cell r="DC160">
            <v>0</v>
          </cell>
          <cell r="DD160">
            <v>0</v>
          </cell>
          <cell r="DE160">
            <v>0</v>
          </cell>
          <cell r="DF160">
            <v>0</v>
          </cell>
          <cell r="DG160">
            <v>0</v>
          </cell>
          <cell r="DH160">
            <v>0</v>
          </cell>
          <cell r="DI160">
            <v>0</v>
          </cell>
          <cell r="DJ160">
            <v>0</v>
          </cell>
          <cell r="DK160">
            <v>0</v>
          </cell>
          <cell r="DL160">
            <v>0</v>
          </cell>
        </row>
        <row r="161">
          <cell r="A161">
            <v>358</v>
          </cell>
          <cell r="B161" t="str">
            <v>Aalsmeer</v>
          </cell>
          <cell r="C161">
            <v>7</v>
          </cell>
          <cell r="D161">
            <v>28532</v>
          </cell>
          <cell r="E161">
            <v>14266</v>
          </cell>
          <cell r="F161">
            <v>0</v>
          </cell>
          <cell r="G161">
            <v>17281</v>
          </cell>
          <cell r="H161">
            <v>-15341</v>
          </cell>
          <cell r="I161">
            <v>-9527</v>
          </cell>
          <cell r="K161">
            <v>0</v>
          </cell>
          <cell r="L161">
            <v>89135</v>
          </cell>
          <cell r="M161">
            <v>81659</v>
          </cell>
          <cell r="N161">
            <v>0</v>
          </cell>
          <cell r="O161">
            <v>0</v>
          </cell>
          <cell r="P161">
            <v>0</v>
          </cell>
          <cell r="Q161">
            <v>0</v>
          </cell>
          <cell r="R161">
            <v>0</v>
          </cell>
          <cell r="S161">
            <v>0</v>
          </cell>
          <cell r="T161">
            <v>0</v>
          </cell>
          <cell r="U161">
            <v>0</v>
          </cell>
          <cell r="V161">
            <v>6000</v>
          </cell>
          <cell r="W161">
            <v>88896</v>
          </cell>
          <cell r="X161">
            <v>0</v>
          </cell>
          <cell r="Z161">
            <v>0</v>
          </cell>
          <cell r="AA161">
            <v>0</v>
          </cell>
          <cell r="AB161">
            <v>0</v>
          </cell>
          <cell r="AD161">
            <v>0</v>
          </cell>
          <cell r="AE161">
            <v>0</v>
          </cell>
          <cell r="AF161">
            <v>0</v>
          </cell>
          <cell r="AG161">
            <v>0</v>
          </cell>
          <cell r="AH161">
            <v>0</v>
          </cell>
          <cell r="AI161">
            <v>0</v>
          </cell>
          <cell r="AJ161">
            <v>0</v>
          </cell>
          <cell r="AK161">
            <v>0</v>
          </cell>
          <cell r="AM161">
            <v>0</v>
          </cell>
          <cell r="AN161">
            <v>0</v>
          </cell>
          <cell r="AO161">
            <v>0</v>
          </cell>
          <cell r="AP161">
            <v>0</v>
          </cell>
          <cell r="AQ161">
            <v>0</v>
          </cell>
          <cell r="AR161">
            <v>0</v>
          </cell>
          <cell r="AS161">
            <v>0</v>
          </cell>
          <cell r="AT161">
            <v>0</v>
          </cell>
          <cell r="AU161">
            <v>0</v>
          </cell>
          <cell r="AV161">
            <v>0</v>
          </cell>
          <cell r="AW161">
            <v>0</v>
          </cell>
          <cell r="AX161">
            <v>0</v>
          </cell>
          <cell r="BA161">
            <v>0</v>
          </cell>
          <cell r="BC161">
            <v>0</v>
          </cell>
          <cell r="BD161">
            <v>11013</v>
          </cell>
          <cell r="BF161">
            <v>0</v>
          </cell>
          <cell r="BG161">
            <v>0</v>
          </cell>
          <cell r="BH161">
            <v>0</v>
          </cell>
          <cell r="BI161">
            <v>32075</v>
          </cell>
          <cell r="BJ161">
            <v>26402</v>
          </cell>
          <cell r="BK161">
            <v>26402</v>
          </cell>
          <cell r="BL161">
            <v>0</v>
          </cell>
          <cell r="BM161">
            <v>0</v>
          </cell>
          <cell r="BN161">
            <v>0</v>
          </cell>
          <cell r="BO161">
            <v>139605</v>
          </cell>
          <cell r="BP161">
            <v>34790.800000000003</v>
          </cell>
          <cell r="BQ161">
            <v>62674.418604651197</v>
          </cell>
          <cell r="BR161">
            <v>0</v>
          </cell>
          <cell r="BS161">
            <v>0</v>
          </cell>
          <cell r="BT161">
            <v>46220</v>
          </cell>
          <cell r="BY161">
            <v>0</v>
          </cell>
          <cell r="BZ161">
            <v>0</v>
          </cell>
          <cell r="CA161">
            <v>0</v>
          </cell>
          <cell r="CB161">
            <v>0</v>
          </cell>
          <cell r="CC161">
            <v>1847175</v>
          </cell>
          <cell r="CD161">
            <v>7812053</v>
          </cell>
          <cell r="CE161">
            <v>416477</v>
          </cell>
          <cell r="CF161">
            <v>0</v>
          </cell>
          <cell r="CG161">
            <v>416477</v>
          </cell>
          <cell r="CH161">
            <v>416477</v>
          </cell>
          <cell r="CI161">
            <v>416477</v>
          </cell>
          <cell r="CJ161">
            <v>416477</v>
          </cell>
          <cell r="CK161">
            <v>0</v>
          </cell>
          <cell r="CL161">
            <v>0</v>
          </cell>
          <cell r="CM161">
            <v>0</v>
          </cell>
          <cell r="CN161">
            <v>0</v>
          </cell>
          <cell r="CO161">
            <v>0</v>
          </cell>
          <cell r="CP161">
            <v>-3406</v>
          </cell>
          <cell r="CQ161">
            <v>930206</v>
          </cell>
          <cell r="CR161">
            <v>893237</v>
          </cell>
          <cell r="CS161">
            <v>893455</v>
          </cell>
          <cell r="CT161">
            <v>878298</v>
          </cell>
          <cell r="CU161">
            <v>865429</v>
          </cell>
          <cell r="CV161">
            <v>-92323</v>
          </cell>
          <cell r="CW161">
            <v>0</v>
          </cell>
          <cell r="CX161">
            <v>0</v>
          </cell>
          <cell r="CY161">
            <v>0</v>
          </cell>
          <cell r="CZ161">
            <v>0</v>
          </cell>
          <cell r="DA161">
            <v>0</v>
          </cell>
          <cell r="DC161">
            <v>0</v>
          </cell>
          <cell r="DD161">
            <v>0</v>
          </cell>
          <cell r="DE161">
            <v>0</v>
          </cell>
          <cell r="DF161">
            <v>0</v>
          </cell>
          <cell r="DG161">
            <v>0</v>
          </cell>
          <cell r="DH161">
            <v>0</v>
          </cell>
          <cell r="DI161">
            <v>0</v>
          </cell>
          <cell r="DJ161">
            <v>0</v>
          </cell>
          <cell r="DK161">
            <v>0</v>
          </cell>
          <cell r="DL161">
            <v>0</v>
          </cell>
        </row>
        <row r="162">
          <cell r="A162">
            <v>361</v>
          </cell>
          <cell r="B162" t="str">
            <v>Alkmaar</v>
          </cell>
          <cell r="C162">
            <v>7</v>
          </cell>
          <cell r="D162">
            <v>18308</v>
          </cell>
          <cell r="E162">
            <v>9154</v>
          </cell>
          <cell r="F162">
            <v>0</v>
          </cell>
          <cell r="G162">
            <v>0</v>
          </cell>
          <cell r="H162">
            <v>-66117</v>
          </cell>
          <cell r="I162">
            <v>-45343</v>
          </cell>
          <cell r="K162">
            <v>0</v>
          </cell>
          <cell r="L162">
            <v>490320</v>
          </cell>
          <cell r="M162">
            <v>485717</v>
          </cell>
          <cell r="N162">
            <v>0</v>
          </cell>
          <cell r="O162">
            <v>0</v>
          </cell>
          <cell r="P162">
            <v>150000</v>
          </cell>
          <cell r="Q162">
            <v>0</v>
          </cell>
          <cell r="R162">
            <v>0</v>
          </cell>
          <cell r="S162">
            <v>684545</v>
          </cell>
          <cell r="T162">
            <v>684545</v>
          </cell>
          <cell r="U162">
            <v>684545</v>
          </cell>
          <cell r="V162">
            <v>69000</v>
          </cell>
          <cell r="W162">
            <v>401196</v>
          </cell>
          <cell r="X162">
            <v>0</v>
          </cell>
          <cell r="Z162">
            <v>0</v>
          </cell>
          <cell r="AA162">
            <v>37000</v>
          </cell>
          <cell r="AB162">
            <v>0</v>
          </cell>
          <cell r="AD162">
            <v>25000</v>
          </cell>
          <cell r="AE162">
            <v>0</v>
          </cell>
          <cell r="AF162">
            <v>0</v>
          </cell>
          <cell r="AG162">
            <v>0</v>
          </cell>
          <cell r="AH162">
            <v>0</v>
          </cell>
          <cell r="AI162">
            <v>0</v>
          </cell>
          <cell r="AJ162">
            <v>0</v>
          </cell>
          <cell r="AK162">
            <v>165775</v>
          </cell>
          <cell r="AM162">
            <v>69213</v>
          </cell>
          <cell r="AN162">
            <v>70804</v>
          </cell>
          <cell r="AO162">
            <v>72433</v>
          </cell>
          <cell r="AP162">
            <v>74098</v>
          </cell>
          <cell r="AQ162">
            <v>75803</v>
          </cell>
          <cell r="AR162">
            <v>77546</v>
          </cell>
          <cell r="AS162">
            <v>0</v>
          </cell>
          <cell r="AT162">
            <v>20000</v>
          </cell>
          <cell r="AU162">
            <v>7110</v>
          </cell>
          <cell r="AV162">
            <v>3465757.3341347598</v>
          </cell>
          <cell r="AW162">
            <v>95772</v>
          </cell>
          <cell r="AX162">
            <v>0</v>
          </cell>
          <cell r="BA162">
            <v>0</v>
          </cell>
          <cell r="BC162">
            <v>0</v>
          </cell>
          <cell r="BD162">
            <v>38043</v>
          </cell>
          <cell r="BF162">
            <v>0</v>
          </cell>
          <cell r="BG162">
            <v>0</v>
          </cell>
          <cell r="BH162">
            <v>0</v>
          </cell>
          <cell r="BI162">
            <v>197252</v>
          </cell>
          <cell r="BJ162">
            <v>162368</v>
          </cell>
          <cell r="BK162">
            <v>162368</v>
          </cell>
          <cell r="BL162">
            <v>0</v>
          </cell>
          <cell r="BM162">
            <v>0</v>
          </cell>
          <cell r="BN162">
            <v>251790</v>
          </cell>
          <cell r="BO162">
            <v>151766</v>
          </cell>
          <cell r="BP162">
            <v>36372.199999999997</v>
          </cell>
          <cell r="BQ162">
            <v>65523.255813953503</v>
          </cell>
          <cell r="BR162">
            <v>0</v>
          </cell>
          <cell r="BS162">
            <v>0</v>
          </cell>
          <cell r="BT162">
            <v>173009</v>
          </cell>
          <cell r="BY162">
            <v>3085878.7405357198</v>
          </cell>
          <cell r="BZ162">
            <v>3571892.8463839199</v>
          </cell>
          <cell r="CA162">
            <v>3613411.6393458298</v>
          </cell>
          <cell r="CB162">
            <v>3730641.1724147401</v>
          </cell>
          <cell r="CC162">
            <v>8279801</v>
          </cell>
          <cell r="CD162">
            <v>75576602</v>
          </cell>
          <cell r="CE162">
            <v>4007828</v>
          </cell>
          <cell r="CF162">
            <v>-98821</v>
          </cell>
          <cell r="CG162">
            <v>4007828</v>
          </cell>
          <cell r="CH162">
            <v>4007828</v>
          </cell>
          <cell r="CI162">
            <v>4007828</v>
          </cell>
          <cell r="CJ162">
            <v>4007828</v>
          </cell>
          <cell r="CK162">
            <v>21952145</v>
          </cell>
          <cell r="CL162">
            <v>21941157</v>
          </cell>
          <cell r="CM162">
            <v>21940979</v>
          </cell>
          <cell r="CN162">
            <v>21940589</v>
          </cell>
          <cell r="CO162">
            <v>21941130</v>
          </cell>
          <cell r="CP162">
            <v>-1578</v>
          </cell>
          <cell r="CQ162">
            <v>11934362</v>
          </cell>
          <cell r="CR162">
            <v>11478742</v>
          </cell>
          <cell r="CS162">
            <v>11225390</v>
          </cell>
          <cell r="CT162">
            <v>11068131</v>
          </cell>
          <cell r="CU162">
            <v>10859450</v>
          </cell>
          <cell r="CV162">
            <v>-108727</v>
          </cell>
          <cell r="CW162">
            <v>0</v>
          </cell>
          <cell r="CX162">
            <v>0</v>
          </cell>
          <cell r="CY162">
            <v>0</v>
          </cell>
          <cell r="CZ162">
            <v>0</v>
          </cell>
          <cell r="DA162">
            <v>0</v>
          </cell>
          <cell r="DC162">
            <v>0</v>
          </cell>
          <cell r="DD162">
            <v>0</v>
          </cell>
          <cell r="DE162">
            <v>0</v>
          </cell>
          <cell r="DF162">
            <v>0</v>
          </cell>
          <cell r="DG162">
            <v>0</v>
          </cell>
          <cell r="DH162">
            <v>0</v>
          </cell>
          <cell r="DI162">
            <v>0</v>
          </cell>
          <cell r="DJ162">
            <v>0</v>
          </cell>
          <cell r="DK162">
            <v>0</v>
          </cell>
          <cell r="DL162">
            <v>0</v>
          </cell>
        </row>
        <row r="163">
          <cell r="A163">
            <v>362</v>
          </cell>
          <cell r="B163" t="str">
            <v>Amstelveen</v>
          </cell>
          <cell r="C163">
            <v>7</v>
          </cell>
          <cell r="D163">
            <v>-25528</v>
          </cell>
          <cell r="E163">
            <v>-12764</v>
          </cell>
          <cell r="F163">
            <v>0</v>
          </cell>
          <cell r="G163">
            <v>0</v>
          </cell>
          <cell r="H163">
            <v>0</v>
          </cell>
          <cell r="I163">
            <v>-1781</v>
          </cell>
          <cell r="K163">
            <v>0</v>
          </cell>
          <cell r="L163">
            <v>295716</v>
          </cell>
          <cell r="M163">
            <v>273594</v>
          </cell>
          <cell r="N163">
            <v>0</v>
          </cell>
          <cell r="O163">
            <v>0</v>
          </cell>
          <cell r="P163">
            <v>0</v>
          </cell>
          <cell r="Q163">
            <v>0</v>
          </cell>
          <cell r="R163">
            <v>0</v>
          </cell>
          <cell r="S163">
            <v>0</v>
          </cell>
          <cell r="T163">
            <v>0</v>
          </cell>
          <cell r="U163">
            <v>0</v>
          </cell>
          <cell r="V163">
            <v>9000</v>
          </cell>
          <cell r="W163">
            <v>168296</v>
          </cell>
          <cell r="X163">
            <v>0</v>
          </cell>
          <cell r="Z163">
            <v>0</v>
          </cell>
          <cell r="AA163">
            <v>0</v>
          </cell>
          <cell r="AB163">
            <v>0</v>
          </cell>
          <cell r="AD163">
            <v>62579</v>
          </cell>
          <cell r="AE163">
            <v>0</v>
          </cell>
          <cell r="AF163">
            <v>0</v>
          </cell>
          <cell r="AG163">
            <v>0</v>
          </cell>
          <cell r="AH163">
            <v>0</v>
          </cell>
          <cell r="AI163">
            <v>148777</v>
          </cell>
          <cell r="AJ163">
            <v>0</v>
          </cell>
          <cell r="AK163">
            <v>0</v>
          </cell>
          <cell r="AM163">
            <v>0</v>
          </cell>
          <cell r="AN163">
            <v>0</v>
          </cell>
          <cell r="AO163">
            <v>0</v>
          </cell>
          <cell r="AP163">
            <v>0</v>
          </cell>
          <cell r="AQ163">
            <v>0</v>
          </cell>
          <cell r="AR163">
            <v>0</v>
          </cell>
          <cell r="AS163">
            <v>0</v>
          </cell>
          <cell r="AT163">
            <v>0</v>
          </cell>
          <cell r="AU163">
            <v>2370</v>
          </cell>
          <cell r="AV163">
            <v>0</v>
          </cell>
          <cell r="AW163">
            <v>0</v>
          </cell>
          <cell r="AX163">
            <v>0</v>
          </cell>
          <cell r="BA163">
            <v>0</v>
          </cell>
          <cell r="BC163">
            <v>0</v>
          </cell>
          <cell r="BD163">
            <v>31345</v>
          </cell>
          <cell r="BF163">
            <v>0</v>
          </cell>
          <cell r="BG163">
            <v>0</v>
          </cell>
          <cell r="BH163">
            <v>0</v>
          </cell>
          <cell r="BI163">
            <v>105968</v>
          </cell>
          <cell r="BJ163">
            <v>87227</v>
          </cell>
          <cell r="BK163">
            <v>87227</v>
          </cell>
          <cell r="BL163">
            <v>0</v>
          </cell>
          <cell r="BM163">
            <v>0</v>
          </cell>
          <cell r="BN163">
            <v>0</v>
          </cell>
          <cell r="BO163">
            <v>99231</v>
          </cell>
          <cell r="BP163">
            <v>15814</v>
          </cell>
          <cell r="BQ163">
            <v>28488.372093023299</v>
          </cell>
          <cell r="BR163">
            <v>0</v>
          </cell>
          <cell r="BS163">
            <v>0</v>
          </cell>
          <cell r="BT163">
            <v>122304</v>
          </cell>
          <cell r="BY163">
            <v>0</v>
          </cell>
          <cell r="BZ163">
            <v>0</v>
          </cell>
          <cell r="CA163">
            <v>0</v>
          </cell>
          <cell r="CB163">
            <v>0</v>
          </cell>
          <cell r="CC163">
            <v>5665901</v>
          </cell>
          <cell r="CD163">
            <v>21959525</v>
          </cell>
          <cell r="CE163">
            <v>1299360</v>
          </cell>
          <cell r="CF163">
            <v>0</v>
          </cell>
          <cell r="CG163">
            <v>1299360</v>
          </cell>
          <cell r="CH163">
            <v>1299360</v>
          </cell>
          <cell r="CI163">
            <v>1299360</v>
          </cell>
          <cell r="CJ163">
            <v>1299360</v>
          </cell>
          <cell r="CK163">
            <v>0</v>
          </cell>
          <cell r="CL163">
            <v>0</v>
          </cell>
          <cell r="CM163">
            <v>0</v>
          </cell>
          <cell r="CN163">
            <v>0</v>
          </cell>
          <cell r="CO163">
            <v>0</v>
          </cell>
          <cell r="CP163">
            <v>-628</v>
          </cell>
          <cell r="CQ163">
            <v>2265071</v>
          </cell>
          <cell r="CR163">
            <v>2232189</v>
          </cell>
          <cell r="CS163">
            <v>2189894</v>
          </cell>
          <cell r="CT163">
            <v>2202832</v>
          </cell>
          <cell r="CU163">
            <v>2210346</v>
          </cell>
          <cell r="CV163">
            <v>90237</v>
          </cell>
          <cell r="CW163">
            <v>0</v>
          </cell>
          <cell r="CX163">
            <v>0</v>
          </cell>
          <cell r="CY163">
            <v>0</v>
          </cell>
          <cell r="CZ163">
            <v>250000</v>
          </cell>
          <cell r="DA163">
            <v>0</v>
          </cell>
          <cell r="DC163">
            <v>0</v>
          </cell>
          <cell r="DD163">
            <v>0</v>
          </cell>
          <cell r="DE163">
            <v>0</v>
          </cell>
          <cell r="DF163">
            <v>0</v>
          </cell>
          <cell r="DG163">
            <v>0</v>
          </cell>
          <cell r="DH163">
            <v>0</v>
          </cell>
          <cell r="DI163">
            <v>0</v>
          </cell>
          <cell r="DJ163">
            <v>0</v>
          </cell>
          <cell r="DK163">
            <v>0</v>
          </cell>
          <cell r="DL163">
            <v>0</v>
          </cell>
        </row>
        <row r="164">
          <cell r="A164">
            <v>363</v>
          </cell>
          <cell r="B164" t="str">
            <v>Amsterdam</v>
          </cell>
          <cell r="C164">
            <v>7</v>
          </cell>
          <cell r="D164">
            <v>-1272654</v>
          </cell>
          <cell r="E164">
            <v>-636327</v>
          </cell>
          <cell r="F164">
            <v>0</v>
          </cell>
          <cell r="G164">
            <v>884722</v>
          </cell>
          <cell r="H164">
            <v>528909</v>
          </cell>
          <cell r="I164">
            <v>-78575</v>
          </cell>
          <cell r="K164">
            <v>7278</v>
          </cell>
          <cell r="L164">
            <v>6764130</v>
          </cell>
          <cell r="M164">
            <v>7165502</v>
          </cell>
          <cell r="N164">
            <v>0</v>
          </cell>
          <cell r="O164">
            <v>0</v>
          </cell>
          <cell r="P164">
            <v>2605874</v>
          </cell>
          <cell r="Q164">
            <v>0</v>
          </cell>
          <cell r="R164">
            <v>0</v>
          </cell>
          <cell r="S164">
            <v>12053718</v>
          </cell>
          <cell r="T164">
            <v>10867677</v>
          </cell>
          <cell r="U164">
            <v>7291594</v>
          </cell>
          <cell r="V164">
            <v>219000</v>
          </cell>
          <cell r="W164">
            <v>2511170</v>
          </cell>
          <cell r="X164">
            <v>0</v>
          </cell>
          <cell r="Z164">
            <v>0</v>
          </cell>
          <cell r="AA164">
            <v>33000</v>
          </cell>
          <cell r="AB164">
            <v>0</v>
          </cell>
          <cell r="AD164">
            <v>2103247</v>
          </cell>
          <cell r="AE164">
            <v>0</v>
          </cell>
          <cell r="AF164">
            <v>0</v>
          </cell>
          <cell r="AG164">
            <v>0</v>
          </cell>
          <cell r="AH164">
            <v>310000</v>
          </cell>
          <cell r="AI164">
            <v>0</v>
          </cell>
          <cell r="AJ164">
            <v>23750</v>
          </cell>
          <cell r="AK164">
            <v>4209153</v>
          </cell>
          <cell r="AM164">
            <v>47971</v>
          </cell>
          <cell r="AN164">
            <v>49074</v>
          </cell>
          <cell r="AO164">
            <v>50203</v>
          </cell>
          <cell r="AP164">
            <v>51357</v>
          </cell>
          <cell r="AQ164">
            <v>52539</v>
          </cell>
          <cell r="AR164">
            <v>53747</v>
          </cell>
          <cell r="AS164">
            <v>0</v>
          </cell>
          <cell r="AT164">
            <v>47000</v>
          </cell>
          <cell r="AU164">
            <v>56880</v>
          </cell>
          <cell r="AV164">
            <v>64466461.6525876</v>
          </cell>
          <cell r="AW164">
            <v>50469</v>
          </cell>
          <cell r="AX164">
            <v>333333</v>
          </cell>
          <cell r="BA164">
            <v>4540</v>
          </cell>
          <cell r="BC164">
            <v>0</v>
          </cell>
          <cell r="BD164">
            <v>296606</v>
          </cell>
          <cell r="BF164">
            <v>0</v>
          </cell>
          <cell r="BG164">
            <v>0</v>
          </cell>
          <cell r="BH164">
            <v>0</v>
          </cell>
          <cell r="BI164">
            <v>1850860</v>
          </cell>
          <cell r="BJ164">
            <v>1523532</v>
          </cell>
          <cell r="BK164">
            <v>1523532</v>
          </cell>
          <cell r="BL164">
            <v>0</v>
          </cell>
          <cell r="BM164">
            <v>211237</v>
          </cell>
          <cell r="BN164">
            <v>676830</v>
          </cell>
          <cell r="BO164">
            <v>406167</v>
          </cell>
          <cell r="BP164">
            <v>493396.8</v>
          </cell>
          <cell r="BQ164">
            <v>888837.20930232597</v>
          </cell>
          <cell r="BR164">
            <v>244000</v>
          </cell>
          <cell r="BS164">
            <v>0</v>
          </cell>
          <cell r="BT164">
            <v>1619715</v>
          </cell>
          <cell r="BY164">
            <v>13542438.7667643</v>
          </cell>
          <cell r="BZ164">
            <v>15646159.2843662</v>
          </cell>
          <cell r="CA164">
            <v>15825874.1024528</v>
          </cell>
          <cell r="CB164">
            <v>16333304.177050199</v>
          </cell>
          <cell r="CC164">
            <v>48455057</v>
          </cell>
          <cell r="CD164">
            <v>519254454</v>
          </cell>
          <cell r="CE164">
            <v>31393709</v>
          </cell>
          <cell r="CF164">
            <v>-187488</v>
          </cell>
          <cell r="CG164">
            <v>31393709</v>
          </cell>
          <cell r="CH164">
            <v>31393709</v>
          </cell>
          <cell r="CI164">
            <v>31393709</v>
          </cell>
          <cell r="CJ164">
            <v>31393709</v>
          </cell>
          <cell r="CK164">
            <v>131255076</v>
          </cell>
          <cell r="CL164">
            <v>131189711</v>
          </cell>
          <cell r="CM164">
            <v>131188653</v>
          </cell>
          <cell r="CN164">
            <v>131186328</v>
          </cell>
          <cell r="CO164">
            <v>131189551</v>
          </cell>
          <cell r="CP164">
            <v>0</v>
          </cell>
          <cell r="CQ164">
            <v>77400039</v>
          </cell>
          <cell r="CR164">
            <v>73878475</v>
          </cell>
          <cell r="CS164">
            <v>71807551</v>
          </cell>
          <cell r="CT164">
            <v>69972173</v>
          </cell>
          <cell r="CU164">
            <v>68104813</v>
          </cell>
          <cell r="CV164">
            <v>-1738719</v>
          </cell>
          <cell r="CW164">
            <v>0</v>
          </cell>
          <cell r="CX164">
            <v>100000</v>
          </cell>
          <cell r="CY164">
            <v>600000</v>
          </cell>
          <cell r="CZ164">
            <v>250000</v>
          </cell>
          <cell r="DA164">
            <v>0</v>
          </cell>
          <cell r="DC164">
            <v>400000</v>
          </cell>
          <cell r="DD164">
            <v>0</v>
          </cell>
          <cell r="DE164">
            <v>0</v>
          </cell>
          <cell r="DF164">
            <v>0</v>
          </cell>
          <cell r="DG164">
            <v>0</v>
          </cell>
          <cell r="DH164">
            <v>0</v>
          </cell>
          <cell r="DI164">
            <v>0</v>
          </cell>
          <cell r="DJ164">
            <v>310000</v>
          </cell>
          <cell r="DK164">
            <v>310000</v>
          </cell>
          <cell r="DL164">
            <v>310000</v>
          </cell>
        </row>
        <row r="165">
          <cell r="A165">
            <v>370</v>
          </cell>
          <cell r="B165" t="str">
            <v>Beemster</v>
          </cell>
          <cell r="C165">
            <v>7</v>
          </cell>
          <cell r="D165">
            <v>-596</v>
          </cell>
          <cell r="E165">
            <v>-298</v>
          </cell>
          <cell r="F165">
            <v>0</v>
          </cell>
          <cell r="G165">
            <v>0</v>
          </cell>
          <cell r="H165">
            <v>-7286</v>
          </cell>
          <cell r="I165">
            <v>-4549</v>
          </cell>
          <cell r="K165">
            <v>0</v>
          </cell>
          <cell r="L165">
            <v>25029</v>
          </cell>
          <cell r="M165">
            <v>27926</v>
          </cell>
          <cell r="N165">
            <v>0</v>
          </cell>
          <cell r="O165">
            <v>0</v>
          </cell>
          <cell r="P165">
            <v>0</v>
          </cell>
          <cell r="Q165">
            <v>0</v>
          </cell>
          <cell r="R165">
            <v>0</v>
          </cell>
          <cell r="S165">
            <v>0</v>
          </cell>
          <cell r="T165">
            <v>0</v>
          </cell>
          <cell r="U165">
            <v>0</v>
          </cell>
          <cell r="V165">
            <v>0</v>
          </cell>
          <cell r="W165">
            <v>31114</v>
          </cell>
          <cell r="X165">
            <v>0</v>
          </cell>
          <cell r="Z165">
            <v>0</v>
          </cell>
          <cell r="AA165">
            <v>0</v>
          </cell>
          <cell r="AB165">
            <v>0</v>
          </cell>
          <cell r="AD165">
            <v>0</v>
          </cell>
          <cell r="AE165">
            <v>0</v>
          </cell>
          <cell r="AF165">
            <v>0</v>
          </cell>
          <cell r="AG165">
            <v>0</v>
          </cell>
          <cell r="AH165">
            <v>0</v>
          </cell>
          <cell r="AI165">
            <v>0</v>
          </cell>
          <cell r="AJ165">
            <v>0</v>
          </cell>
          <cell r="AK165">
            <v>0</v>
          </cell>
          <cell r="AM165">
            <v>57548</v>
          </cell>
          <cell r="AN165">
            <v>58872</v>
          </cell>
          <cell r="AO165">
            <v>60226</v>
          </cell>
          <cell r="AP165">
            <v>61611</v>
          </cell>
          <cell r="AQ165">
            <v>63028</v>
          </cell>
          <cell r="AR165">
            <v>64477</v>
          </cell>
          <cell r="AS165">
            <v>0</v>
          </cell>
          <cell r="AT165">
            <v>0</v>
          </cell>
          <cell r="AU165">
            <v>2370</v>
          </cell>
          <cell r="AV165">
            <v>0</v>
          </cell>
          <cell r="AW165">
            <v>0</v>
          </cell>
          <cell r="AX165">
            <v>0</v>
          </cell>
          <cell r="BA165">
            <v>0</v>
          </cell>
          <cell r="BC165">
            <v>0</v>
          </cell>
          <cell r="BD165">
            <v>3231</v>
          </cell>
          <cell r="BF165">
            <v>0</v>
          </cell>
          <cell r="BG165">
            <v>0</v>
          </cell>
          <cell r="BH165">
            <v>0</v>
          </cell>
          <cell r="BI165">
            <v>9171</v>
          </cell>
          <cell r="BJ165">
            <v>7549</v>
          </cell>
          <cell r="BK165">
            <v>7549</v>
          </cell>
          <cell r="BL165">
            <v>0</v>
          </cell>
          <cell r="BM165">
            <v>0</v>
          </cell>
          <cell r="BN165">
            <v>0</v>
          </cell>
          <cell r="BO165">
            <v>58858</v>
          </cell>
          <cell r="BP165">
            <v>7907</v>
          </cell>
          <cell r="BQ165">
            <v>14244.186046511601</v>
          </cell>
          <cell r="BR165">
            <v>0</v>
          </cell>
          <cell r="BS165">
            <v>0</v>
          </cell>
          <cell r="BT165">
            <v>15256</v>
          </cell>
          <cell r="BY165">
            <v>0</v>
          </cell>
          <cell r="BZ165">
            <v>0</v>
          </cell>
          <cell r="CA165">
            <v>0</v>
          </cell>
          <cell r="CB165">
            <v>0</v>
          </cell>
          <cell r="CC165">
            <v>592410</v>
          </cell>
          <cell r="CD165">
            <v>2631692</v>
          </cell>
          <cell r="CE165">
            <v>259103</v>
          </cell>
          <cell r="CF165">
            <v>0</v>
          </cell>
          <cell r="CG165">
            <v>259103</v>
          </cell>
          <cell r="CH165">
            <v>259103</v>
          </cell>
          <cell r="CI165">
            <v>259103</v>
          </cell>
          <cell r="CJ165">
            <v>259103</v>
          </cell>
          <cell r="CK165">
            <v>0</v>
          </cell>
          <cell r="CL165">
            <v>0</v>
          </cell>
          <cell r="CM165">
            <v>0</v>
          </cell>
          <cell r="CN165">
            <v>0</v>
          </cell>
          <cell r="CO165">
            <v>0</v>
          </cell>
          <cell r="CP165">
            <v>-1645</v>
          </cell>
          <cell r="CQ165">
            <v>54465</v>
          </cell>
          <cell r="CR165">
            <v>59958</v>
          </cell>
          <cell r="CS165">
            <v>61711</v>
          </cell>
          <cell r="CT165">
            <v>66818</v>
          </cell>
          <cell r="CU165">
            <v>71562</v>
          </cell>
          <cell r="CV165">
            <v>-833</v>
          </cell>
          <cell r="CW165">
            <v>0</v>
          </cell>
          <cell r="CX165">
            <v>0</v>
          </cell>
          <cell r="CY165">
            <v>0</v>
          </cell>
          <cell r="CZ165">
            <v>0</v>
          </cell>
          <cell r="DA165">
            <v>0</v>
          </cell>
          <cell r="DC165">
            <v>0</v>
          </cell>
          <cell r="DD165">
            <v>0</v>
          </cell>
          <cell r="DE165">
            <v>0</v>
          </cell>
          <cell r="DF165">
            <v>0</v>
          </cell>
          <cell r="DG165">
            <v>0</v>
          </cell>
          <cell r="DH165">
            <v>0</v>
          </cell>
          <cell r="DI165">
            <v>0</v>
          </cell>
          <cell r="DJ165">
            <v>0</v>
          </cell>
          <cell r="DK165">
            <v>0</v>
          </cell>
          <cell r="DL165">
            <v>0</v>
          </cell>
        </row>
        <row r="166">
          <cell r="A166">
            <v>373</v>
          </cell>
          <cell r="B166" t="str">
            <v>Bergen NH</v>
          </cell>
          <cell r="C166">
            <v>7</v>
          </cell>
          <cell r="D166">
            <v>-30491</v>
          </cell>
          <cell r="E166">
            <v>-15246</v>
          </cell>
          <cell r="F166">
            <v>0</v>
          </cell>
          <cell r="G166">
            <v>0</v>
          </cell>
          <cell r="H166">
            <v>-48131</v>
          </cell>
          <cell r="I166">
            <v>-42876</v>
          </cell>
          <cell r="K166">
            <v>0</v>
          </cell>
          <cell r="L166">
            <v>85792</v>
          </cell>
          <cell r="M166">
            <v>78159</v>
          </cell>
          <cell r="N166">
            <v>0</v>
          </cell>
          <cell r="O166">
            <v>0</v>
          </cell>
          <cell r="P166">
            <v>0</v>
          </cell>
          <cell r="Q166">
            <v>0</v>
          </cell>
          <cell r="R166">
            <v>0</v>
          </cell>
          <cell r="S166">
            <v>0</v>
          </cell>
          <cell r="T166">
            <v>0</v>
          </cell>
          <cell r="U166">
            <v>0</v>
          </cell>
          <cell r="V166">
            <v>3000</v>
          </cell>
          <cell r="W166">
            <v>82229</v>
          </cell>
          <cell r="X166">
            <v>0</v>
          </cell>
          <cell r="Z166">
            <v>0</v>
          </cell>
          <cell r="AA166">
            <v>0</v>
          </cell>
          <cell r="AB166">
            <v>0</v>
          </cell>
          <cell r="AD166">
            <v>0</v>
          </cell>
          <cell r="AE166">
            <v>0</v>
          </cell>
          <cell r="AF166">
            <v>0</v>
          </cell>
          <cell r="AG166">
            <v>0</v>
          </cell>
          <cell r="AH166">
            <v>0</v>
          </cell>
          <cell r="AI166">
            <v>0</v>
          </cell>
          <cell r="AJ166">
            <v>0</v>
          </cell>
          <cell r="AK166">
            <v>0</v>
          </cell>
          <cell r="AM166">
            <v>39080</v>
          </cell>
          <cell r="AN166">
            <v>39979</v>
          </cell>
          <cell r="AO166">
            <v>40898</v>
          </cell>
          <cell r="AP166">
            <v>41839</v>
          </cell>
          <cell r="AQ166">
            <v>42801</v>
          </cell>
          <cell r="AR166">
            <v>43786</v>
          </cell>
          <cell r="AS166">
            <v>0</v>
          </cell>
          <cell r="AT166">
            <v>0</v>
          </cell>
          <cell r="AU166">
            <v>4740</v>
          </cell>
          <cell r="AV166">
            <v>0</v>
          </cell>
          <cell r="AW166">
            <v>0</v>
          </cell>
          <cell r="AX166">
            <v>0</v>
          </cell>
          <cell r="BA166">
            <v>0</v>
          </cell>
          <cell r="BC166">
            <v>0</v>
          </cell>
          <cell r="BD166">
            <v>10476</v>
          </cell>
          <cell r="BF166">
            <v>0</v>
          </cell>
          <cell r="BG166">
            <v>0</v>
          </cell>
          <cell r="BH166">
            <v>0</v>
          </cell>
          <cell r="BI166">
            <v>35414</v>
          </cell>
          <cell r="BJ166">
            <v>29151</v>
          </cell>
          <cell r="BK166">
            <v>29151</v>
          </cell>
          <cell r="BL166">
            <v>0</v>
          </cell>
          <cell r="BM166">
            <v>0</v>
          </cell>
          <cell r="BN166">
            <v>0</v>
          </cell>
          <cell r="BO166">
            <v>39887</v>
          </cell>
          <cell r="BP166">
            <v>17395.400000000001</v>
          </cell>
          <cell r="BQ166">
            <v>31337.209302325598</v>
          </cell>
          <cell r="BR166">
            <v>0</v>
          </cell>
          <cell r="BS166">
            <v>0</v>
          </cell>
          <cell r="BT166">
            <v>39375</v>
          </cell>
          <cell r="BY166">
            <v>0</v>
          </cell>
          <cell r="BZ166">
            <v>0</v>
          </cell>
          <cell r="CA166">
            <v>0</v>
          </cell>
          <cell r="CB166">
            <v>0</v>
          </cell>
          <cell r="CC166">
            <v>2387405</v>
          </cell>
          <cell r="CD166">
            <v>9808665</v>
          </cell>
          <cell r="CE166">
            <v>737951</v>
          </cell>
          <cell r="CF166">
            <v>-50413</v>
          </cell>
          <cell r="CG166">
            <v>737951</v>
          </cell>
          <cell r="CH166">
            <v>737951</v>
          </cell>
          <cell r="CI166">
            <v>737951</v>
          </cell>
          <cell r="CJ166">
            <v>737951</v>
          </cell>
          <cell r="CK166">
            <v>0</v>
          </cell>
          <cell r="CL166">
            <v>0</v>
          </cell>
          <cell r="CM166">
            <v>0</v>
          </cell>
          <cell r="CN166">
            <v>0</v>
          </cell>
          <cell r="CO166">
            <v>0</v>
          </cell>
          <cell r="CP166">
            <v>-7994</v>
          </cell>
          <cell r="CQ166">
            <v>1456759</v>
          </cell>
          <cell r="CR166">
            <v>1409562</v>
          </cell>
          <cell r="CS166">
            <v>1395440</v>
          </cell>
          <cell r="CT166">
            <v>1362411</v>
          </cell>
          <cell r="CU166">
            <v>1322264</v>
          </cell>
          <cell r="CV166">
            <v>48820</v>
          </cell>
          <cell r="CW166">
            <v>0</v>
          </cell>
          <cell r="CX166">
            <v>0</v>
          </cell>
          <cell r="CY166">
            <v>0</v>
          </cell>
          <cell r="CZ166">
            <v>0</v>
          </cell>
          <cell r="DA166">
            <v>0</v>
          </cell>
          <cell r="DC166">
            <v>0</v>
          </cell>
          <cell r="DD166">
            <v>0</v>
          </cell>
          <cell r="DE166">
            <v>0</v>
          </cell>
          <cell r="DF166">
            <v>0</v>
          </cell>
          <cell r="DG166">
            <v>0</v>
          </cell>
          <cell r="DH166">
            <v>0</v>
          </cell>
          <cell r="DI166">
            <v>0</v>
          </cell>
          <cell r="DJ166">
            <v>0</v>
          </cell>
          <cell r="DK166">
            <v>0</v>
          </cell>
          <cell r="DL166">
            <v>0</v>
          </cell>
        </row>
        <row r="167">
          <cell r="A167">
            <v>375</v>
          </cell>
          <cell r="B167" t="str">
            <v>Beverwijk</v>
          </cell>
          <cell r="C167">
            <v>7</v>
          </cell>
          <cell r="D167">
            <v>8072</v>
          </cell>
          <cell r="E167">
            <v>4036</v>
          </cell>
          <cell r="F167">
            <v>0</v>
          </cell>
          <cell r="G167">
            <v>0</v>
          </cell>
          <cell r="H167">
            <v>-47220</v>
          </cell>
          <cell r="I167">
            <v>-37974</v>
          </cell>
          <cell r="K167">
            <v>0</v>
          </cell>
          <cell r="L167">
            <v>213764</v>
          </cell>
          <cell r="M167">
            <v>220051</v>
          </cell>
          <cell r="N167">
            <v>0</v>
          </cell>
          <cell r="O167">
            <v>0</v>
          </cell>
          <cell r="P167">
            <v>0</v>
          </cell>
          <cell r="Q167">
            <v>0</v>
          </cell>
          <cell r="R167">
            <v>0</v>
          </cell>
          <cell r="S167">
            <v>0</v>
          </cell>
          <cell r="T167">
            <v>0</v>
          </cell>
          <cell r="U167">
            <v>0</v>
          </cell>
          <cell r="V167">
            <v>3000</v>
          </cell>
          <cell r="W167">
            <v>139952</v>
          </cell>
          <cell r="X167">
            <v>0</v>
          </cell>
          <cell r="Z167">
            <v>0</v>
          </cell>
          <cell r="AA167">
            <v>0</v>
          </cell>
          <cell r="AB167">
            <v>0</v>
          </cell>
          <cell r="AD167">
            <v>20533</v>
          </cell>
          <cell r="AE167">
            <v>0</v>
          </cell>
          <cell r="AF167">
            <v>0</v>
          </cell>
          <cell r="AG167">
            <v>0</v>
          </cell>
          <cell r="AH167">
            <v>0</v>
          </cell>
          <cell r="AI167">
            <v>0</v>
          </cell>
          <cell r="AJ167">
            <v>0</v>
          </cell>
          <cell r="AK167">
            <v>0</v>
          </cell>
          <cell r="AM167">
            <v>0</v>
          </cell>
          <cell r="AN167">
            <v>0</v>
          </cell>
          <cell r="AO167">
            <v>0</v>
          </cell>
          <cell r="AP167">
            <v>0</v>
          </cell>
          <cell r="AQ167">
            <v>0</v>
          </cell>
          <cell r="AR167">
            <v>0</v>
          </cell>
          <cell r="AS167">
            <v>0</v>
          </cell>
          <cell r="AT167">
            <v>0</v>
          </cell>
          <cell r="AU167">
            <v>2370</v>
          </cell>
          <cell r="AV167">
            <v>0</v>
          </cell>
          <cell r="AW167">
            <v>0</v>
          </cell>
          <cell r="AX167">
            <v>0</v>
          </cell>
          <cell r="BA167">
            <v>0</v>
          </cell>
          <cell r="BC167">
            <v>0</v>
          </cell>
          <cell r="BD167">
            <v>14290</v>
          </cell>
          <cell r="BF167">
            <v>0</v>
          </cell>
          <cell r="BG167">
            <v>0</v>
          </cell>
          <cell r="BH167">
            <v>0</v>
          </cell>
          <cell r="BI167">
            <v>74274</v>
          </cell>
          <cell r="BJ167">
            <v>61139</v>
          </cell>
          <cell r="BK167">
            <v>61139</v>
          </cell>
          <cell r="BL167">
            <v>0</v>
          </cell>
          <cell r="BM167">
            <v>0</v>
          </cell>
          <cell r="BN167">
            <v>0</v>
          </cell>
          <cell r="BO167">
            <v>70532</v>
          </cell>
          <cell r="BP167">
            <v>14232.6</v>
          </cell>
          <cell r="BQ167">
            <v>25639.534883720899</v>
          </cell>
          <cell r="BR167">
            <v>0</v>
          </cell>
          <cell r="BS167">
            <v>0</v>
          </cell>
          <cell r="BT167">
            <v>65760</v>
          </cell>
          <cell r="BY167">
            <v>0</v>
          </cell>
          <cell r="BZ167">
            <v>0</v>
          </cell>
          <cell r="CA167">
            <v>0</v>
          </cell>
          <cell r="CB167">
            <v>0</v>
          </cell>
          <cell r="CC167">
            <v>3281580</v>
          </cell>
          <cell r="CD167">
            <v>20277148</v>
          </cell>
          <cell r="CE167">
            <v>747458</v>
          </cell>
          <cell r="CF167">
            <v>-57934</v>
          </cell>
          <cell r="CG167">
            <v>747458</v>
          </cell>
          <cell r="CH167">
            <v>747458</v>
          </cell>
          <cell r="CI167">
            <v>747458</v>
          </cell>
          <cell r="CJ167">
            <v>747458</v>
          </cell>
          <cell r="CK167">
            <v>0</v>
          </cell>
          <cell r="CL167">
            <v>0</v>
          </cell>
          <cell r="CM167">
            <v>0</v>
          </cell>
          <cell r="CN167">
            <v>0</v>
          </cell>
          <cell r="CO167">
            <v>0</v>
          </cell>
          <cell r="CP167">
            <v>-5032</v>
          </cell>
          <cell r="CQ167">
            <v>4668292</v>
          </cell>
          <cell r="CR167">
            <v>4492284</v>
          </cell>
          <cell r="CS167">
            <v>4448234</v>
          </cell>
          <cell r="CT167">
            <v>4380259</v>
          </cell>
          <cell r="CU167">
            <v>4266439</v>
          </cell>
          <cell r="CV167">
            <v>21059</v>
          </cell>
          <cell r="CW167">
            <v>0</v>
          </cell>
          <cell r="CX167">
            <v>0</v>
          </cell>
          <cell r="CY167">
            <v>0</v>
          </cell>
          <cell r="CZ167">
            <v>0</v>
          </cell>
          <cell r="DA167">
            <v>0</v>
          </cell>
          <cell r="DC167">
            <v>0</v>
          </cell>
          <cell r="DD167">
            <v>0</v>
          </cell>
          <cell r="DE167">
            <v>0</v>
          </cell>
          <cell r="DF167">
            <v>0</v>
          </cell>
          <cell r="DG167">
            <v>0</v>
          </cell>
          <cell r="DH167">
            <v>0</v>
          </cell>
          <cell r="DI167">
            <v>0</v>
          </cell>
          <cell r="DJ167">
            <v>0</v>
          </cell>
          <cell r="DK167">
            <v>0</v>
          </cell>
          <cell r="DL167">
            <v>0</v>
          </cell>
        </row>
        <row r="168">
          <cell r="A168">
            <v>376</v>
          </cell>
          <cell r="B168" t="str">
            <v>Blaricum</v>
          </cell>
          <cell r="C168">
            <v>7</v>
          </cell>
          <cell r="D168">
            <v>54655</v>
          </cell>
          <cell r="E168">
            <v>27328</v>
          </cell>
          <cell r="F168">
            <v>0</v>
          </cell>
          <cell r="G168">
            <v>0</v>
          </cell>
          <cell r="H168">
            <v>-1682</v>
          </cell>
          <cell r="I168">
            <v>0</v>
          </cell>
          <cell r="K168">
            <v>0</v>
          </cell>
          <cell r="L168">
            <v>38320</v>
          </cell>
          <cell r="M168">
            <v>35997</v>
          </cell>
          <cell r="N168">
            <v>0</v>
          </cell>
          <cell r="O168">
            <v>0</v>
          </cell>
          <cell r="P168">
            <v>0</v>
          </cell>
          <cell r="Q168">
            <v>0</v>
          </cell>
          <cell r="R168">
            <v>0</v>
          </cell>
          <cell r="S168">
            <v>0</v>
          </cell>
          <cell r="T168">
            <v>0</v>
          </cell>
          <cell r="U168">
            <v>0</v>
          </cell>
          <cell r="V168">
            <v>0</v>
          </cell>
          <cell r="W168">
            <v>25255</v>
          </cell>
          <cell r="X168">
            <v>0</v>
          </cell>
          <cell r="Z168">
            <v>0</v>
          </cell>
          <cell r="AA168">
            <v>0</v>
          </cell>
          <cell r="AB168">
            <v>0</v>
          </cell>
          <cell r="AD168">
            <v>0</v>
          </cell>
          <cell r="AE168">
            <v>0</v>
          </cell>
          <cell r="AF168">
            <v>0</v>
          </cell>
          <cell r="AG168">
            <v>0</v>
          </cell>
          <cell r="AH168">
            <v>0</v>
          </cell>
          <cell r="AI168">
            <v>0</v>
          </cell>
          <cell r="AJ168">
            <v>0</v>
          </cell>
          <cell r="AK168">
            <v>0</v>
          </cell>
          <cell r="AM168">
            <v>0</v>
          </cell>
          <cell r="AN168">
            <v>0</v>
          </cell>
          <cell r="AO168">
            <v>0</v>
          </cell>
          <cell r="AP168">
            <v>0</v>
          </cell>
          <cell r="AQ168">
            <v>0</v>
          </cell>
          <cell r="AR168">
            <v>0</v>
          </cell>
          <cell r="AS168">
            <v>0</v>
          </cell>
          <cell r="AT168">
            <v>0</v>
          </cell>
          <cell r="AU168">
            <v>0</v>
          </cell>
          <cell r="AV168">
            <v>0</v>
          </cell>
          <cell r="AW168">
            <v>0</v>
          </cell>
          <cell r="AX168">
            <v>0</v>
          </cell>
          <cell r="BA168">
            <v>0</v>
          </cell>
          <cell r="BC168">
            <v>0</v>
          </cell>
          <cell r="BD168">
            <v>3581</v>
          </cell>
          <cell r="BF168">
            <v>0</v>
          </cell>
          <cell r="BG168">
            <v>0</v>
          </cell>
          <cell r="BH168">
            <v>0</v>
          </cell>
          <cell r="BI168">
            <v>8319</v>
          </cell>
          <cell r="BJ168">
            <v>6847</v>
          </cell>
          <cell r="BK168">
            <v>6847</v>
          </cell>
          <cell r="BL168">
            <v>0</v>
          </cell>
          <cell r="BM168">
            <v>0</v>
          </cell>
          <cell r="BN168">
            <v>0</v>
          </cell>
          <cell r="BO168">
            <v>0</v>
          </cell>
          <cell r="BP168">
            <v>0</v>
          </cell>
          <cell r="BQ168">
            <v>0</v>
          </cell>
          <cell r="BR168">
            <v>0</v>
          </cell>
          <cell r="BS168">
            <v>0</v>
          </cell>
          <cell r="BT168">
            <v>14813</v>
          </cell>
          <cell r="BY168">
            <v>0</v>
          </cell>
          <cell r="BZ168">
            <v>0</v>
          </cell>
          <cell r="CA168">
            <v>0</v>
          </cell>
          <cell r="CB168">
            <v>0</v>
          </cell>
          <cell r="CC168">
            <v>535612</v>
          </cell>
          <cell r="CD168">
            <v>2137707</v>
          </cell>
          <cell r="CE168">
            <v>141256</v>
          </cell>
          <cell r="CF168">
            <v>0</v>
          </cell>
          <cell r="CG168">
            <v>141256</v>
          </cell>
          <cell r="CH168">
            <v>141256</v>
          </cell>
          <cell r="CI168">
            <v>141256</v>
          </cell>
          <cell r="CJ168">
            <v>141256</v>
          </cell>
          <cell r="CK168">
            <v>0</v>
          </cell>
          <cell r="CL168">
            <v>0</v>
          </cell>
          <cell r="CM168">
            <v>0</v>
          </cell>
          <cell r="CN168">
            <v>0</v>
          </cell>
          <cell r="CO168">
            <v>0</v>
          </cell>
          <cell r="CP168">
            <v>0</v>
          </cell>
          <cell r="CQ168">
            <v>173335</v>
          </cell>
          <cell r="CR168">
            <v>158919</v>
          </cell>
          <cell r="CS168">
            <v>157271</v>
          </cell>
          <cell r="CT168">
            <v>140277</v>
          </cell>
          <cell r="CU168">
            <v>140848</v>
          </cell>
          <cell r="CV168">
            <v>5688</v>
          </cell>
          <cell r="CW168">
            <v>0</v>
          </cell>
          <cell r="CX168">
            <v>0</v>
          </cell>
          <cell r="CY168">
            <v>0</v>
          </cell>
          <cell r="CZ168">
            <v>0</v>
          </cell>
          <cell r="DA168">
            <v>0</v>
          </cell>
          <cell r="DC168">
            <v>0</v>
          </cell>
          <cell r="DD168">
            <v>0</v>
          </cell>
          <cell r="DE168">
            <v>0</v>
          </cell>
          <cell r="DF168">
            <v>0</v>
          </cell>
          <cell r="DG168">
            <v>0</v>
          </cell>
          <cell r="DH168">
            <v>0</v>
          </cell>
          <cell r="DI168">
            <v>0</v>
          </cell>
          <cell r="DJ168">
            <v>0</v>
          </cell>
          <cell r="DK168">
            <v>0</v>
          </cell>
          <cell r="DL168">
            <v>0</v>
          </cell>
        </row>
        <row r="169">
          <cell r="A169">
            <v>377</v>
          </cell>
          <cell r="B169" t="str">
            <v>Bloemendaal</v>
          </cell>
          <cell r="C169">
            <v>7</v>
          </cell>
          <cell r="D169">
            <v>97657</v>
          </cell>
          <cell r="E169">
            <v>48829</v>
          </cell>
          <cell r="F169">
            <v>0</v>
          </cell>
          <cell r="G169">
            <v>0</v>
          </cell>
          <cell r="H169">
            <v>-4477</v>
          </cell>
          <cell r="I169">
            <v>-10856</v>
          </cell>
          <cell r="K169">
            <v>0</v>
          </cell>
          <cell r="L169">
            <v>64941</v>
          </cell>
          <cell r="M169">
            <v>61709</v>
          </cell>
          <cell r="N169">
            <v>0</v>
          </cell>
          <cell r="O169">
            <v>0</v>
          </cell>
          <cell r="P169">
            <v>0</v>
          </cell>
          <cell r="Q169">
            <v>0</v>
          </cell>
          <cell r="R169">
            <v>0</v>
          </cell>
          <cell r="S169">
            <v>0</v>
          </cell>
          <cell r="T169">
            <v>0</v>
          </cell>
          <cell r="U169">
            <v>0</v>
          </cell>
          <cell r="V169">
            <v>0</v>
          </cell>
          <cell r="W169">
            <v>91746</v>
          </cell>
          <cell r="X169">
            <v>0</v>
          </cell>
          <cell r="Z169">
            <v>0</v>
          </cell>
          <cell r="AA169">
            <v>0</v>
          </cell>
          <cell r="AB169">
            <v>0</v>
          </cell>
          <cell r="AD169">
            <v>0</v>
          </cell>
          <cell r="AE169">
            <v>0</v>
          </cell>
          <cell r="AF169">
            <v>0</v>
          </cell>
          <cell r="AG169">
            <v>0</v>
          </cell>
          <cell r="AH169">
            <v>0</v>
          </cell>
          <cell r="AI169">
            <v>0</v>
          </cell>
          <cell r="AJ169">
            <v>0</v>
          </cell>
          <cell r="AK169">
            <v>0</v>
          </cell>
          <cell r="AM169">
            <v>0</v>
          </cell>
          <cell r="AN169">
            <v>0</v>
          </cell>
          <cell r="AO169">
            <v>0</v>
          </cell>
          <cell r="AP169">
            <v>0</v>
          </cell>
          <cell r="AQ169">
            <v>0</v>
          </cell>
          <cell r="AR169">
            <v>0</v>
          </cell>
          <cell r="AS169">
            <v>0</v>
          </cell>
          <cell r="AT169">
            <v>0</v>
          </cell>
          <cell r="AU169">
            <v>2370</v>
          </cell>
          <cell r="AV169">
            <v>0</v>
          </cell>
          <cell r="AW169">
            <v>0</v>
          </cell>
          <cell r="AX169">
            <v>0</v>
          </cell>
          <cell r="BA169">
            <v>0</v>
          </cell>
          <cell r="BC169">
            <v>0</v>
          </cell>
          <cell r="BD169">
            <v>8013</v>
          </cell>
          <cell r="BF169">
            <v>0</v>
          </cell>
          <cell r="BG169">
            <v>0</v>
          </cell>
          <cell r="BH169">
            <v>0</v>
          </cell>
          <cell r="BI169">
            <v>15570</v>
          </cell>
          <cell r="BJ169">
            <v>12816</v>
          </cell>
          <cell r="BK169">
            <v>12816</v>
          </cell>
          <cell r="BL169">
            <v>0</v>
          </cell>
          <cell r="BM169">
            <v>0</v>
          </cell>
          <cell r="BN169">
            <v>0</v>
          </cell>
          <cell r="BO169">
            <v>10215</v>
          </cell>
          <cell r="BP169">
            <v>6325.6</v>
          </cell>
          <cell r="BQ169">
            <v>11395.3488372093</v>
          </cell>
          <cell r="BR169">
            <v>0</v>
          </cell>
          <cell r="BS169">
            <v>0</v>
          </cell>
          <cell r="BT169">
            <v>35300</v>
          </cell>
          <cell r="BY169">
            <v>0</v>
          </cell>
          <cell r="BZ169">
            <v>0</v>
          </cell>
          <cell r="CA169">
            <v>0</v>
          </cell>
          <cell r="CB169">
            <v>0</v>
          </cell>
          <cell r="CC169">
            <v>1137675</v>
          </cell>
          <cell r="CD169">
            <v>5279212</v>
          </cell>
          <cell r="CE169">
            <v>172667</v>
          </cell>
          <cell r="CF169">
            <v>-14025</v>
          </cell>
          <cell r="CG169">
            <v>172667</v>
          </cell>
          <cell r="CH169">
            <v>172667</v>
          </cell>
          <cell r="CI169">
            <v>172667</v>
          </cell>
          <cell r="CJ169">
            <v>172667</v>
          </cell>
          <cell r="CK169">
            <v>0</v>
          </cell>
          <cell r="CL169">
            <v>0</v>
          </cell>
          <cell r="CM169">
            <v>0</v>
          </cell>
          <cell r="CN169">
            <v>0</v>
          </cell>
          <cell r="CO169">
            <v>0</v>
          </cell>
          <cell r="CP169">
            <v>-1791</v>
          </cell>
          <cell r="CQ169">
            <v>824854</v>
          </cell>
          <cell r="CR169">
            <v>803750</v>
          </cell>
          <cell r="CS169">
            <v>792618</v>
          </cell>
          <cell r="CT169">
            <v>786879</v>
          </cell>
          <cell r="CU169">
            <v>747753</v>
          </cell>
          <cell r="CV169">
            <v>-42060</v>
          </cell>
          <cell r="CW169">
            <v>0</v>
          </cell>
          <cell r="CX169">
            <v>0</v>
          </cell>
          <cell r="CY169">
            <v>0</v>
          </cell>
          <cell r="CZ169">
            <v>0</v>
          </cell>
          <cell r="DA169">
            <v>0</v>
          </cell>
          <cell r="DC169">
            <v>0</v>
          </cell>
          <cell r="DD169">
            <v>0</v>
          </cell>
          <cell r="DE169">
            <v>0</v>
          </cell>
          <cell r="DF169">
            <v>0</v>
          </cell>
          <cell r="DG169">
            <v>0</v>
          </cell>
          <cell r="DH169">
            <v>0</v>
          </cell>
          <cell r="DI169">
            <v>0</v>
          </cell>
          <cell r="DJ169">
            <v>0</v>
          </cell>
          <cell r="DK169">
            <v>0</v>
          </cell>
          <cell r="DL169">
            <v>0</v>
          </cell>
        </row>
        <row r="170">
          <cell r="A170">
            <v>383</v>
          </cell>
          <cell r="B170" t="str">
            <v>Castricum</v>
          </cell>
          <cell r="C170">
            <v>7</v>
          </cell>
          <cell r="D170">
            <v>84261</v>
          </cell>
          <cell r="E170">
            <v>42130</v>
          </cell>
          <cell r="F170">
            <v>0</v>
          </cell>
          <cell r="G170">
            <v>0</v>
          </cell>
          <cell r="H170">
            <v>-26495</v>
          </cell>
          <cell r="I170">
            <v>-26604</v>
          </cell>
          <cell r="K170">
            <v>0</v>
          </cell>
          <cell r="L170">
            <v>78888</v>
          </cell>
          <cell r="M170">
            <v>71184</v>
          </cell>
          <cell r="N170">
            <v>0</v>
          </cell>
          <cell r="O170">
            <v>0</v>
          </cell>
          <cell r="P170">
            <v>0</v>
          </cell>
          <cell r="Q170">
            <v>0</v>
          </cell>
          <cell r="R170">
            <v>0</v>
          </cell>
          <cell r="S170">
            <v>0</v>
          </cell>
          <cell r="T170">
            <v>0</v>
          </cell>
          <cell r="U170">
            <v>0</v>
          </cell>
          <cell r="V170">
            <v>0</v>
          </cell>
          <cell r="W170">
            <v>107079</v>
          </cell>
          <cell r="X170">
            <v>0</v>
          </cell>
          <cell r="Z170">
            <v>0</v>
          </cell>
          <cell r="AA170">
            <v>0</v>
          </cell>
          <cell r="AB170">
            <v>0</v>
          </cell>
          <cell r="AD170">
            <v>0</v>
          </cell>
          <cell r="AE170">
            <v>0</v>
          </cell>
          <cell r="AF170">
            <v>0</v>
          </cell>
          <cell r="AG170">
            <v>0</v>
          </cell>
          <cell r="AH170">
            <v>0</v>
          </cell>
          <cell r="AI170">
            <v>148777</v>
          </cell>
          <cell r="AJ170">
            <v>0</v>
          </cell>
          <cell r="AK170">
            <v>0</v>
          </cell>
          <cell r="AM170">
            <v>18180</v>
          </cell>
          <cell r="AN170">
            <v>18598</v>
          </cell>
          <cell r="AO170">
            <v>19026</v>
          </cell>
          <cell r="AP170">
            <v>19463</v>
          </cell>
          <cell r="AQ170">
            <v>19911</v>
          </cell>
          <cell r="AR170">
            <v>20369</v>
          </cell>
          <cell r="AS170">
            <v>0</v>
          </cell>
          <cell r="AT170">
            <v>0</v>
          </cell>
          <cell r="AU170">
            <v>9480</v>
          </cell>
          <cell r="AV170">
            <v>0</v>
          </cell>
          <cell r="AW170">
            <v>0</v>
          </cell>
          <cell r="AX170">
            <v>0</v>
          </cell>
          <cell r="BA170">
            <v>0</v>
          </cell>
          <cell r="BC170">
            <v>0</v>
          </cell>
          <cell r="BD170">
            <v>12362</v>
          </cell>
          <cell r="BF170">
            <v>0</v>
          </cell>
          <cell r="BG170">
            <v>0</v>
          </cell>
          <cell r="BH170">
            <v>0</v>
          </cell>
          <cell r="BI170">
            <v>34298</v>
          </cell>
          <cell r="BJ170">
            <v>28233</v>
          </cell>
          <cell r="BK170">
            <v>28233</v>
          </cell>
          <cell r="BL170">
            <v>0</v>
          </cell>
          <cell r="BM170">
            <v>0</v>
          </cell>
          <cell r="BN170">
            <v>0</v>
          </cell>
          <cell r="BO170">
            <v>66154</v>
          </cell>
          <cell r="BP170">
            <v>6325.6</v>
          </cell>
          <cell r="BQ170">
            <v>11395.3488372093</v>
          </cell>
          <cell r="BR170">
            <v>0</v>
          </cell>
          <cell r="BS170">
            <v>0</v>
          </cell>
          <cell r="BT170">
            <v>49390</v>
          </cell>
          <cell r="BY170">
            <v>0</v>
          </cell>
          <cell r="BZ170">
            <v>0</v>
          </cell>
          <cell r="CA170">
            <v>0</v>
          </cell>
          <cell r="CB170">
            <v>0</v>
          </cell>
          <cell r="CC170">
            <v>2425183</v>
          </cell>
          <cell r="CD170">
            <v>9386138</v>
          </cell>
          <cell r="CE170">
            <v>529046</v>
          </cell>
          <cell r="CF170">
            <v>-33691</v>
          </cell>
          <cell r="CG170">
            <v>529046</v>
          </cell>
          <cell r="CH170">
            <v>529046</v>
          </cell>
          <cell r="CI170">
            <v>529046</v>
          </cell>
          <cell r="CJ170">
            <v>529046</v>
          </cell>
          <cell r="CK170">
            <v>0</v>
          </cell>
          <cell r="CL170">
            <v>0</v>
          </cell>
          <cell r="CM170">
            <v>0</v>
          </cell>
          <cell r="CN170">
            <v>0</v>
          </cell>
          <cell r="CO170">
            <v>0</v>
          </cell>
          <cell r="CP170">
            <v>-4557</v>
          </cell>
          <cell r="CQ170">
            <v>781498</v>
          </cell>
          <cell r="CR170">
            <v>778435</v>
          </cell>
          <cell r="CS170">
            <v>773183</v>
          </cell>
          <cell r="CT170">
            <v>780010</v>
          </cell>
          <cell r="CU170">
            <v>787190</v>
          </cell>
          <cell r="CV170">
            <v>68294</v>
          </cell>
          <cell r="CW170">
            <v>0</v>
          </cell>
          <cell r="CX170">
            <v>0</v>
          </cell>
          <cell r="CY170">
            <v>0</v>
          </cell>
          <cell r="CZ170">
            <v>0</v>
          </cell>
          <cell r="DA170">
            <v>0</v>
          </cell>
          <cell r="DC170">
            <v>0</v>
          </cell>
          <cell r="DD170">
            <v>0</v>
          </cell>
          <cell r="DE170">
            <v>0</v>
          </cell>
          <cell r="DF170">
            <v>0</v>
          </cell>
          <cell r="DG170">
            <v>0</v>
          </cell>
          <cell r="DH170">
            <v>0</v>
          </cell>
          <cell r="DI170">
            <v>0</v>
          </cell>
          <cell r="DJ170">
            <v>0</v>
          </cell>
          <cell r="DK170">
            <v>0</v>
          </cell>
          <cell r="DL170">
            <v>0</v>
          </cell>
        </row>
        <row r="171">
          <cell r="A171">
            <v>400</v>
          </cell>
          <cell r="B171" t="str">
            <v>Den Helder</v>
          </cell>
          <cell r="C171">
            <v>7</v>
          </cell>
          <cell r="D171">
            <v>47818</v>
          </cell>
          <cell r="E171">
            <v>23909</v>
          </cell>
          <cell r="F171">
            <v>0</v>
          </cell>
          <cell r="G171">
            <v>416959</v>
          </cell>
          <cell r="H171">
            <v>403490</v>
          </cell>
          <cell r="I171">
            <v>375052</v>
          </cell>
          <cell r="K171">
            <v>0</v>
          </cell>
          <cell r="L171">
            <v>356817</v>
          </cell>
          <cell r="M171">
            <v>349968</v>
          </cell>
          <cell r="N171">
            <v>0</v>
          </cell>
          <cell r="O171">
            <v>0</v>
          </cell>
          <cell r="P171">
            <v>0</v>
          </cell>
          <cell r="Q171">
            <v>0</v>
          </cell>
          <cell r="R171">
            <v>0</v>
          </cell>
          <cell r="S171">
            <v>0</v>
          </cell>
          <cell r="T171">
            <v>0</v>
          </cell>
          <cell r="U171">
            <v>0</v>
          </cell>
          <cell r="V171">
            <v>15000</v>
          </cell>
          <cell r="W171">
            <v>215760</v>
          </cell>
          <cell r="X171">
            <v>0</v>
          </cell>
          <cell r="Z171">
            <v>0</v>
          </cell>
          <cell r="AA171">
            <v>0</v>
          </cell>
          <cell r="AB171">
            <v>0</v>
          </cell>
          <cell r="AD171">
            <v>63557</v>
          </cell>
          <cell r="AE171">
            <v>0</v>
          </cell>
          <cell r="AF171">
            <v>0</v>
          </cell>
          <cell r="AG171">
            <v>0</v>
          </cell>
          <cell r="AH171">
            <v>0</v>
          </cell>
          <cell r="AI171">
            <v>0</v>
          </cell>
          <cell r="AJ171">
            <v>0</v>
          </cell>
          <cell r="AK171">
            <v>0</v>
          </cell>
          <cell r="AM171">
            <v>38135</v>
          </cell>
          <cell r="AN171">
            <v>39012</v>
          </cell>
          <cell r="AO171">
            <v>39909</v>
          </cell>
          <cell r="AP171">
            <v>40827</v>
          </cell>
          <cell r="AQ171">
            <v>41766</v>
          </cell>
          <cell r="AR171">
            <v>42727</v>
          </cell>
          <cell r="AS171">
            <v>0</v>
          </cell>
          <cell r="AT171">
            <v>0</v>
          </cell>
          <cell r="AU171">
            <v>2370</v>
          </cell>
          <cell r="AV171">
            <v>1826089.03857468</v>
          </cell>
          <cell r="AW171">
            <v>0</v>
          </cell>
          <cell r="AX171">
            <v>0</v>
          </cell>
          <cell r="BA171">
            <v>0</v>
          </cell>
          <cell r="BC171">
            <v>0</v>
          </cell>
          <cell r="BD171">
            <v>19665</v>
          </cell>
          <cell r="BF171">
            <v>0</v>
          </cell>
          <cell r="BG171">
            <v>0</v>
          </cell>
          <cell r="BH171">
            <v>0</v>
          </cell>
          <cell r="BI171">
            <v>110707</v>
          </cell>
          <cell r="BJ171">
            <v>91128</v>
          </cell>
          <cell r="BK171">
            <v>91128</v>
          </cell>
          <cell r="BL171">
            <v>0</v>
          </cell>
          <cell r="BM171">
            <v>0</v>
          </cell>
          <cell r="BN171">
            <v>0</v>
          </cell>
          <cell r="BO171">
            <v>185815</v>
          </cell>
          <cell r="BP171">
            <v>26883.8</v>
          </cell>
          <cell r="BQ171">
            <v>48430.232558139498</v>
          </cell>
          <cell r="BR171">
            <v>0</v>
          </cell>
          <cell r="BS171">
            <v>0</v>
          </cell>
          <cell r="BT171">
            <v>93485</v>
          </cell>
          <cell r="BY171">
            <v>956346.11416790297</v>
          </cell>
          <cell r="BZ171">
            <v>1108628.51473186</v>
          </cell>
          <cell r="CA171">
            <v>1121637.5640262701</v>
          </cell>
          <cell r="CB171">
            <v>1158368.9973281301</v>
          </cell>
          <cell r="CC171">
            <v>5490039</v>
          </cell>
          <cell r="CD171">
            <v>45021867</v>
          </cell>
          <cell r="CE171">
            <v>3411172</v>
          </cell>
          <cell r="CF171">
            <v>565970</v>
          </cell>
          <cell r="CG171">
            <v>3411172</v>
          </cell>
          <cell r="CH171">
            <v>3411172</v>
          </cell>
          <cell r="CI171">
            <v>3411172</v>
          </cell>
          <cell r="CJ171">
            <v>3411172</v>
          </cell>
          <cell r="CK171">
            <v>9633830</v>
          </cell>
          <cell r="CL171">
            <v>9628995</v>
          </cell>
          <cell r="CM171">
            <v>9628917</v>
          </cell>
          <cell r="CN171">
            <v>9628745</v>
          </cell>
          <cell r="CO171">
            <v>9628983</v>
          </cell>
          <cell r="CP171">
            <v>-11282</v>
          </cell>
          <cell r="CQ171">
            <v>6707842</v>
          </cell>
          <cell r="CR171">
            <v>6502904</v>
          </cell>
          <cell r="CS171">
            <v>6400750</v>
          </cell>
          <cell r="CT171">
            <v>6345403</v>
          </cell>
          <cell r="CU171">
            <v>6274404</v>
          </cell>
          <cell r="CV171">
            <v>35045</v>
          </cell>
          <cell r="CW171">
            <v>0</v>
          </cell>
          <cell r="CX171">
            <v>0</v>
          </cell>
          <cell r="CY171">
            <v>0</v>
          </cell>
          <cell r="CZ171">
            <v>0</v>
          </cell>
          <cell r="DA171">
            <v>0</v>
          </cell>
          <cell r="DC171">
            <v>0</v>
          </cell>
          <cell r="DD171">
            <v>0</v>
          </cell>
          <cell r="DE171">
            <v>0</v>
          </cell>
          <cell r="DF171">
            <v>0</v>
          </cell>
          <cell r="DG171">
            <v>0</v>
          </cell>
          <cell r="DH171">
            <v>0</v>
          </cell>
          <cell r="DI171">
            <v>0</v>
          </cell>
          <cell r="DJ171">
            <v>0</v>
          </cell>
          <cell r="DK171">
            <v>0</v>
          </cell>
          <cell r="DL171">
            <v>0</v>
          </cell>
        </row>
        <row r="172">
          <cell r="A172">
            <v>384</v>
          </cell>
          <cell r="B172" t="str">
            <v>Diemen</v>
          </cell>
          <cell r="C172">
            <v>7</v>
          </cell>
          <cell r="D172">
            <v>-24095</v>
          </cell>
          <cell r="E172">
            <v>-12048</v>
          </cell>
          <cell r="F172">
            <v>0</v>
          </cell>
          <cell r="G172">
            <v>0</v>
          </cell>
          <cell r="H172">
            <v>-31369</v>
          </cell>
          <cell r="I172">
            <v>-24860</v>
          </cell>
          <cell r="K172">
            <v>0</v>
          </cell>
          <cell r="L172">
            <v>142357</v>
          </cell>
          <cell r="M172">
            <v>133916</v>
          </cell>
          <cell r="N172">
            <v>0</v>
          </cell>
          <cell r="O172">
            <v>0</v>
          </cell>
          <cell r="P172">
            <v>0</v>
          </cell>
          <cell r="Q172">
            <v>0</v>
          </cell>
          <cell r="R172">
            <v>0</v>
          </cell>
          <cell r="S172">
            <v>0</v>
          </cell>
          <cell r="T172">
            <v>0</v>
          </cell>
          <cell r="U172">
            <v>0</v>
          </cell>
          <cell r="V172">
            <v>6000</v>
          </cell>
          <cell r="W172">
            <v>90580</v>
          </cell>
          <cell r="X172">
            <v>0</v>
          </cell>
          <cell r="Z172">
            <v>0</v>
          </cell>
          <cell r="AA172">
            <v>0</v>
          </cell>
          <cell r="AB172">
            <v>0</v>
          </cell>
          <cell r="AD172">
            <v>61601</v>
          </cell>
          <cell r="AE172">
            <v>0</v>
          </cell>
          <cell r="AF172">
            <v>0</v>
          </cell>
          <cell r="AG172">
            <v>0</v>
          </cell>
          <cell r="AH172">
            <v>0</v>
          </cell>
          <cell r="AI172">
            <v>0</v>
          </cell>
          <cell r="AJ172">
            <v>0</v>
          </cell>
          <cell r="AK172">
            <v>0</v>
          </cell>
          <cell r="AM172">
            <v>0</v>
          </cell>
          <cell r="AN172">
            <v>0</v>
          </cell>
          <cell r="AO172">
            <v>0</v>
          </cell>
          <cell r="AP172">
            <v>0</v>
          </cell>
          <cell r="AQ172">
            <v>0</v>
          </cell>
          <cell r="AR172">
            <v>0</v>
          </cell>
          <cell r="AS172">
            <v>0</v>
          </cell>
          <cell r="AT172">
            <v>0</v>
          </cell>
          <cell r="AU172">
            <v>0</v>
          </cell>
          <cell r="AV172">
            <v>0</v>
          </cell>
          <cell r="AW172">
            <v>0</v>
          </cell>
          <cell r="AX172">
            <v>0</v>
          </cell>
          <cell r="BA172">
            <v>0</v>
          </cell>
          <cell r="BC172">
            <v>0</v>
          </cell>
          <cell r="BD172">
            <v>9573</v>
          </cell>
          <cell r="BF172">
            <v>0</v>
          </cell>
          <cell r="BG172">
            <v>0</v>
          </cell>
          <cell r="BH172">
            <v>0</v>
          </cell>
          <cell r="BI172">
            <v>37065</v>
          </cell>
          <cell r="BJ172">
            <v>30510</v>
          </cell>
          <cell r="BK172">
            <v>30510</v>
          </cell>
          <cell r="BL172">
            <v>0</v>
          </cell>
          <cell r="BM172">
            <v>0</v>
          </cell>
          <cell r="BN172">
            <v>0</v>
          </cell>
          <cell r="BO172">
            <v>49129</v>
          </cell>
          <cell r="BP172">
            <v>17395.400000000001</v>
          </cell>
          <cell r="BQ172">
            <v>31337.209302325598</v>
          </cell>
          <cell r="BR172">
            <v>0</v>
          </cell>
          <cell r="BS172">
            <v>0</v>
          </cell>
          <cell r="BT172">
            <v>39390</v>
          </cell>
          <cell r="BY172">
            <v>0</v>
          </cell>
          <cell r="BZ172">
            <v>0</v>
          </cell>
          <cell r="CA172">
            <v>0</v>
          </cell>
          <cell r="CB172">
            <v>0</v>
          </cell>
          <cell r="CC172">
            <v>1637553</v>
          </cell>
          <cell r="CD172">
            <v>9819859</v>
          </cell>
          <cell r="CE172">
            <v>808437</v>
          </cell>
          <cell r="CF172">
            <v>-58451</v>
          </cell>
          <cell r="CG172">
            <v>808437</v>
          </cell>
          <cell r="CH172">
            <v>808437</v>
          </cell>
          <cell r="CI172">
            <v>808437</v>
          </cell>
          <cell r="CJ172">
            <v>808437</v>
          </cell>
          <cell r="CK172">
            <v>0</v>
          </cell>
          <cell r="CL172">
            <v>0</v>
          </cell>
          <cell r="CM172">
            <v>0</v>
          </cell>
          <cell r="CN172">
            <v>0</v>
          </cell>
          <cell r="CO172">
            <v>0</v>
          </cell>
          <cell r="CP172">
            <v>0</v>
          </cell>
          <cell r="CQ172">
            <v>1843995</v>
          </cell>
          <cell r="CR172">
            <v>1747710</v>
          </cell>
          <cell r="CS172">
            <v>1706685</v>
          </cell>
          <cell r="CT172">
            <v>1657423</v>
          </cell>
          <cell r="CU172">
            <v>1628102</v>
          </cell>
          <cell r="CV172">
            <v>71610</v>
          </cell>
          <cell r="CW172">
            <v>0</v>
          </cell>
          <cell r="CX172">
            <v>0</v>
          </cell>
          <cell r="CY172">
            <v>0</v>
          </cell>
          <cell r="CZ172">
            <v>0</v>
          </cell>
          <cell r="DA172">
            <v>0</v>
          </cell>
          <cell r="DC172">
            <v>0</v>
          </cell>
          <cell r="DD172">
            <v>0</v>
          </cell>
          <cell r="DE172">
            <v>0</v>
          </cell>
          <cell r="DF172">
            <v>0</v>
          </cell>
          <cell r="DG172">
            <v>0</v>
          </cell>
          <cell r="DH172">
            <v>0</v>
          </cell>
          <cell r="DI172">
            <v>0</v>
          </cell>
          <cell r="DJ172">
            <v>0</v>
          </cell>
          <cell r="DK172">
            <v>0</v>
          </cell>
          <cell r="DL172">
            <v>0</v>
          </cell>
        </row>
        <row r="173">
          <cell r="A173">
            <v>498</v>
          </cell>
          <cell r="B173" t="str">
            <v>Drechterland</v>
          </cell>
          <cell r="C173">
            <v>7</v>
          </cell>
          <cell r="D173">
            <v>-24788</v>
          </cell>
          <cell r="E173">
            <v>-12394</v>
          </cell>
          <cell r="F173">
            <v>0</v>
          </cell>
          <cell r="G173">
            <v>0</v>
          </cell>
          <cell r="H173">
            <v>-18221</v>
          </cell>
          <cell r="I173">
            <v>-13688</v>
          </cell>
          <cell r="K173">
            <v>0</v>
          </cell>
          <cell r="L173">
            <v>59688</v>
          </cell>
          <cell r="M173">
            <v>56185</v>
          </cell>
          <cell r="N173">
            <v>0</v>
          </cell>
          <cell r="O173">
            <v>0</v>
          </cell>
          <cell r="P173">
            <v>0</v>
          </cell>
          <cell r="Q173">
            <v>0</v>
          </cell>
          <cell r="R173">
            <v>0</v>
          </cell>
          <cell r="S173">
            <v>0</v>
          </cell>
          <cell r="T173">
            <v>0</v>
          </cell>
          <cell r="U173">
            <v>0</v>
          </cell>
          <cell r="V173">
            <v>9000</v>
          </cell>
          <cell r="W173">
            <v>80278</v>
          </cell>
          <cell r="X173">
            <v>0</v>
          </cell>
          <cell r="Z173">
            <v>0</v>
          </cell>
          <cell r="AA173">
            <v>0</v>
          </cell>
          <cell r="AB173">
            <v>0</v>
          </cell>
          <cell r="AD173">
            <v>0</v>
          </cell>
          <cell r="AE173">
            <v>0</v>
          </cell>
          <cell r="AF173">
            <v>0</v>
          </cell>
          <cell r="AG173">
            <v>0</v>
          </cell>
          <cell r="AH173">
            <v>0</v>
          </cell>
          <cell r="AI173">
            <v>0</v>
          </cell>
          <cell r="AJ173">
            <v>0</v>
          </cell>
          <cell r="AK173">
            <v>0</v>
          </cell>
          <cell r="AM173">
            <v>45034</v>
          </cell>
          <cell r="AN173">
            <v>46070</v>
          </cell>
          <cell r="AO173">
            <v>47129</v>
          </cell>
          <cell r="AP173">
            <v>48213</v>
          </cell>
          <cell r="AQ173">
            <v>49322</v>
          </cell>
          <cell r="AR173">
            <v>50457</v>
          </cell>
          <cell r="AS173">
            <v>0</v>
          </cell>
          <cell r="AT173">
            <v>0</v>
          </cell>
          <cell r="AU173">
            <v>0</v>
          </cell>
          <cell r="AV173">
            <v>0</v>
          </cell>
          <cell r="AW173">
            <v>0</v>
          </cell>
          <cell r="AX173">
            <v>0</v>
          </cell>
          <cell r="BA173">
            <v>0</v>
          </cell>
          <cell r="BC173">
            <v>0</v>
          </cell>
          <cell r="BD173">
            <v>6804</v>
          </cell>
          <cell r="BF173">
            <v>0</v>
          </cell>
          <cell r="BG173">
            <v>0</v>
          </cell>
          <cell r="BH173">
            <v>0</v>
          </cell>
          <cell r="BI173">
            <v>22088</v>
          </cell>
          <cell r="BJ173">
            <v>18182</v>
          </cell>
          <cell r="BK173">
            <v>18182</v>
          </cell>
          <cell r="BL173">
            <v>0</v>
          </cell>
          <cell r="BM173">
            <v>0</v>
          </cell>
          <cell r="BN173">
            <v>0</v>
          </cell>
          <cell r="BO173">
            <v>16052</v>
          </cell>
          <cell r="BP173">
            <v>12651.2</v>
          </cell>
          <cell r="BQ173">
            <v>22790.697674418599</v>
          </cell>
          <cell r="BR173">
            <v>0</v>
          </cell>
          <cell r="BS173">
            <v>0</v>
          </cell>
          <cell r="BT173">
            <v>35071</v>
          </cell>
          <cell r="BY173">
            <v>0</v>
          </cell>
          <cell r="BZ173">
            <v>0</v>
          </cell>
          <cell r="CA173">
            <v>0</v>
          </cell>
          <cell r="CB173">
            <v>0</v>
          </cell>
          <cell r="CC173">
            <v>1127536</v>
          </cell>
          <cell r="CD173">
            <v>7094763</v>
          </cell>
          <cell r="CE173">
            <v>524128</v>
          </cell>
          <cell r="CF173">
            <v>-17802</v>
          </cell>
          <cell r="CG173">
            <v>524128</v>
          </cell>
          <cell r="CH173">
            <v>524128</v>
          </cell>
          <cell r="CI173">
            <v>524128</v>
          </cell>
          <cell r="CJ173">
            <v>524128</v>
          </cell>
          <cell r="CK173">
            <v>0</v>
          </cell>
          <cell r="CL173">
            <v>0</v>
          </cell>
          <cell r="CM173">
            <v>0</v>
          </cell>
          <cell r="CN173">
            <v>0</v>
          </cell>
          <cell r="CO173">
            <v>0</v>
          </cell>
          <cell r="CP173">
            <v>-2274</v>
          </cell>
          <cell r="CQ173">
            <v>1207296</v>
          </cell>
          <cell r="CR173">
            <v>1141865</v>
          </cell>
          <cell r="CS173">
            <v>1116401</v>
          </cell>
          <cell r="CT173">
            <v>1105075</v>
          </cell>
          <cell r="CU173">
            <v>1090356</v>
          </cell>
          <cell r="CV173">
            <v>29636</v>
          </cell>
          <cell r="CW173">
            <v>0</v>
          </cell>
          <cell r="CX173">
            <v>0</v>
          </cell>
          <cell r="CY173">
            <v>0</v>
          </cell>
          <cell r="CZ173">
            <v>0</v>
          </cell>
          <cell r="DA173">
            <v>0</v>
          </cell>
          <cell r="DC173">
            <v>0</v>
          </cell>
          <cell r="DD173">
            <v>0</v>
          </cell>
          <cell r="DE173">
            <v>0</v>
          </cell>
          <cell r="DF173">
            <v>0</v>
          </cell>
          <cell r="DG173">
            <v>0</v>
          </cell>
          <cell r="DH173">
            <v>0</v>
          </cell>
          <cell r="DI173">
            <v>0</v>
          </cell>
          <cell r="DJ173">
            <v>0</v>
          </cell>
          <cell r="DK173">
            <v>0</v>
          </cell>
          <cell r="DL173">
            <v>0</v>
          </cell>
        </row>
        <row r="174">
          <cell r="A174">
            <v>385</v>
          </cell>
          <cell r="B174" t="str">
            <v>Edam-Volendam</v>
          </cell>
          <cell r="C174">
            <v>7</v>
          </cell>
          <cell r="D174">
            <v>-25767</v>
          </cell>
          <cell r="E174">
            <v>-12883</v>
          </cell>
          <cell r="F174">
            <v>0</v>
          </cell>
          <cell r="G174">
            <v>0</v>
          </cell>
          <cell r="H174">
            <v>-17074</v>
          </cell>
          <cell r="I174">
            <v>-26145</v>
          </cell>
          <cell r="K174">
            <v>0</v>
          </cell>
          <cell r="L174">
            <v>84280</v>
          </cell>
          <cell r="M174">
            <v>70779</v>
          </cell>
          <cell r="N174">
            <v>0</v>
          </cell>
          <cell r="O174">
            <v>0</v>
          </cell>
          <cell r="P174">
            <v>0</v>
          </cell>
          <cell r="Q174">
            <v>0</v>
          </cell>
          <cell r="R174">
            <v>0</v>
          </cell>
          <cell r="S174">
            <v>0</v>
          </cell>
          <cell r="T174">
            <v>0</v>
          </cell>
          <cell r="U174">
            <v>0</v>
          </cell>
          <cell r="V174">
            <v>0</v>
          </cell>
          <cell r="W174">
            <v>150449</v>
          </cell>
          <cell r="X174">
            <v>0</v>
          </cell>
          <cell r="Z174">
            <v>0</v>
          </cell>
          <cell r="AA174">
            <v>0</v>
          </cell>
          <cell r="AB174">
            <v>0</v>
          </cell>
          <cell r="AD174">
            <v>0</v>
          </cell>
          <cell r="AE174">
            <v>0</v>
          </cell>
          <cell r="AF174">
            <v>0</v>
          </cell>
          <cell r="AG174">
            <v>0</v>
          </cell>
          <cell r="AH174">
            <v>0</v>
          </cell>
          <cell r="AI174">
            <v>0</v>
          </cell>
          <cell r="AJ174">
            <v>0</v>
          </cell>
          <cell r="AK174">
            <v>0</v>
          </cell>
          <cell r="AM174">
            <v>45199</v>
          </cell>
          <cell r="AN174">
            <v>46238</v>
          </cell>
          <cell r="AO174">
            <v>47301</v>
          </cell>
          <cell r="AP174">
            <v>48389</v>
          </cell>
          <cell r="AQ174">
            <v>49502</v>
          </cell>
          <cell r="AR174">
            <v>50640</v>
          </cell>
          <cell r="AS174">
            <v>0</v>
          </cell>
          <cell r="AT174">
            <v>0</v>
          </cell>
          <cell r="AU174">
            <v>2370</v>
          </cell>
          <cell r="AV174">
            <v>0</v>
          </cell>
          <cell r="AW174">
            <v>0</v>
          </cell>
          <cell r="AX174">
            <v>0</v>
          </cell>
          <cell r="BA174">
            <v>0</v>
          </cell>
          <cell r="BC174">
            <v>0</v>
          </cell>
          <cell r="BD174">
            <v>62809</v>
          </cell>
          <cell r="BF174">
            <v>0</v>
          </cell>
          <cell r="BG174">
            <v>0</v>
          </cell>
          <cell r="BH174">
            <v>0</v>
          </cell>
          <cell r="BI174">
            <v>36625</v>
          </cell>
          <cell r="BJ174">
            <v>30148</v>
          </cell>
          <cell r="BK174">
            <v>30148</v>
          </cell>
          <cell r="BL174">
            <v>0</v>
          </cell>
          <cell r="BM174">
            <v>0</v>
          </cell>
          <cell r="BN174">
            <v>0</v>
          </cell>
          <cell r="BO174">
            <v>64695</v>
          </cell>
          <cell r="BP174">
            <v>17395.400000000001</v>
          </cell>
          <cell r="BQ174">
            <v>31337.209302325598</v>
          </cell>
          <cell r="BR174">
            <v>0</v>
          </cell>
          <cell r="BS174">
            <v>0</v>
          </cell>
          <cell r="BT174">
            <v>59465</v>
          </cell>
          <cell r="BY174">
            <v>0</v>
          </cell>
          <cell r="BZ174">
            <v>0</v>
          </cell>
          <cell r="CA174">
            <v>0</v>
          </cell>
          <cell r="CB174">
            <v>0</v>
          </cell>
          <cell r="CC174">
            <v>2174843</v>
          </cell>
          <cell r="CD174">
            <v>9814673</v>
          </cell>
          <cell r="CE174">
            <v>275333</v>
          </cell>
          <cell r="CF174">
            <v>-29150</v>
          </cell>
          <cell r="CG174">
            <v>275333</v>
          </cell>
          <cell r="CH174">
            <v>275333</v>
          </cell>
          <cell r="CI174">
            <v>275333</v>
          </cell>
          <cell r="CJ174">
            <v>275333</v>
          </cell>
          <cell r="CK174">
            <v>0</v>
          </cell>
          <cell r="CL174">
            <v>0</v>
          </cell>
          <cell r="CM174">
            <v>0</v>
          </cell>
          <cell r="CN174">
            <v>0</v>
          </cell>
          <cell r="CO174">
            <v>0</v>
          </cell>
          <cell r="CP174">
            <v>-5055</v>
          </cell>
          <cell r="CQ174">
            <v>1884493</v>
          </cell>
          <cell r="CR174">
            <v>1772479</v>
          </cell>
          <cell r="CS174">
            <v>1703695</v>
          </cell>
          <cell r="CT174">
            <v>1648698</v>
          </cell>
          <cell r="CU174">
            <v>1546542</v>
          </cell>
          <cell r="CV174">
            <v>-70898</v>
          </cell>
          <cell r="CW174">
            <v>0</v>
          </cell>
          <cell r="CX174">
            <v>0</v>
          </cell>
          <cell r="CY174">
            <v>0</v>
          </cell>
          <cell r="CZ174">
            <v>0</v>
          </cell>
          <cell r="DA174">
            <v>0</v>
          </cell>
          <cell r="DC174">
            <v>0</v>
          </cell>
          <cell r="DD174">
            <v>0</v>
          </cell>
          <cell r="DE174">
            <v>0</v>
          </cell>
          <cell r="DF174">
            <v>0</v>
          </cell>
          <cell r="DG174">
            <v>0</v>
          </cell>
          <cell r="DH174">
            <v>0</v>
          </cell>
          <cell r="DI174">
            <v>0</v>
          </cell>
          <cell r="DJ174">
            <v>0</v>
          </cell>
          <cell r="DK174">
            <v>0</v>
          </cell>
          <cell r="DL174">
            <v>0</v>
          </cell>
        </row>
        <row r="175">
          <cell r="A175">
            <v>388</v>
          </cell>
          <cell r="B175" t="str">
            <v>Enkhuizen</v>
          </cell>
          <cell r="C175">
            <v>7</v>
          </cell>
          <cell r="D175">
            <v>55085</v>
          </cell>
          <cell r="E175">
            <v>27543</v>
          </cell>
          <cell r="F175">
            <v>0</v>
          </cell>
          <cell r="G175">
            <v>0</v>
          </cell>
          <cell r="H175">
            <v>-46702</v>
          </cell>
          <cell r="I175">
            <v>-27175</v>
          </cell>
          <cell r="K175">
            <v>0</v>
          </cell>
          <cell r="L175">
            <v>89135</v>
          </cell>
          <cell r="M175">
            <v>84159</v>
          </cell>
          <cell r="N175">
            <v>0</v>
          </cell>
          <cell r="O175">
            <v>0</v>
          </cell>
          <cell r="P175">
            <v>0</v>
          </cell>
          <cell r="Q175">
            <v>0</v>
          </cell>
          <cell r="R175">
            <v>0</v>
          </cell>
          <cell r="S175">
            <v>0</v>
          </cell>
          <cell r="T175">
            <v>0</v>
          </cell>
          <cell r="U175">
            <v>0</v>
          </cell>
          <cell r="V175">
            <v>3000</v>
          </cell>
          <cell r="W175">
            <v>69587</v>
          </cell>
          <cell r="X175">
            <v>0</v>
          </cell>
          <cell r="Z175">
            <v>0</v>
          </cell>
          <cell r="AA175">
            <v>0</v>
          </cell>
          <cell r="AB175">
            <v>0</v>
          </cell>
          <cell r="AD175">
            <v>0</v>
          </cell>
          <cell r="AE175">
            <v>0</v>
          </cell>
          <cell r="AF175">
            <v>0</v>
          </cell>
          <cell r="AG175">
            <v>0</v>
          </cell>
          <cell r="AH175">
            <v>0</v>
          </cell>
          <cell r="AI175">
            <v>0</v>
          </cell>
          <cell r="AJ175">
            <v>0</v>
          </cell>
          <cell r="AK175">
            <v>0</v>
          </cell>
          <cell r="AM175">
            <v>9942</v>
          </cell>
          <cell r="AN175">
            <v>10171</v>
          </cell>
          <cell r="AO175">
            <v>10405</v>
          </cell>
          <cell r="AP175">
            <v>10644</v>
          </cell>
          <cell r="AQ175">
            <v>10889</v>
          </cell>
          <cell r="AR175">
            <v>11139</v>
          </cell>
          <cell r="AS175">
            <v>0</v>
          </cell>
          <cell r="AT175">
            <v>0</v>
          </cell>
          <cell r="AU175">
            <v>0</v>
          </cell>
          <cell r="AV175">
            <v>0</v>
          </cell>
          <cell r="AW175">
            <v>0</v>
          </cell>
          <cell r="AX175">
            <v>0</v>
          </cell>
          <cell r="BA175">
            <v>0</v>
          </cell>
          <cell r="BC175">
            <v>0</v>
          </cell>
          <cell r="BD175">
            <v>6487</v>
          </cell>
          <cell r="BF175">
            <v>0</v>
          </cell>
          <cell r="BG175">
            <v>0</v>
          </cell>
          <cell r="BH175">
            <v>0</v>
          </cell>
          <cell r="BI175">
            <v>35611</v>
          </cell>
          <cell r="BJ175">
            <v>29313</v>
          </cell>
          <cell r="BK175">
            <v>29313</v>
          </cell>
          <cell r="BL175">
            <v>0</v>
          </cell>
          <cell r="BM175">
            <v>0</v>
          </cell>
          <cell r="BN175">
            <v>0</v>
          </cell>
          <cell r="BO175">
            <v>83179</v>
          </cell>
          <cell r="BP175">
            <v>7907</v>
          </cell>
          <cell r="BQ175">
            <v>14244.186046511601</v>
          </cell>
          <cell r="BR175">
            <v>0</v>
          </cell>
          <cell r="BS175">
            <v>0</v>
          </cell>
          <cell r="BT175">
            <v>27876</v>
          </cell>
          <cell r="BY175">
            <v>0</v>
          </cell>
          <cell r="BZ175">
            <v>0</v>
          </cell>
          <cell r="CA175">
            <v>0</v>
          </cell>
          <cell r="CB175">
            <v>0</v>
          </cell>
          <cell r="CC175">
            <v>1493959</v>
          </cell>
          <cell r="CD175">
            <v>9371751</v>
          </cell>
          <cell r="CE175">
            <v>658725</v>
          </cell>
          <cell r="CF175">
            <v>-53106</v>
          </cell>
          <cell r="CG175">
            <v>658725</v>
          </cell>
          <cell r="CH175">
            <v>658725</v>
          </cell>
          <cell r="CI175">
            <v>658725</v>
          </cell>
          <cell r="CJ175">
            <v>658725</v>
          </cell>
          <cell r="CK175">
            <v>0</v>
          </cell>
          <cell r="CL175">
            <v>0</v>
          </cell>
          <cell r="CM175">
            <v>0</v>
          </cell>
          <cell r="CN175">
            <v>0</v>
          </cell>
          <cell r="CO175">
            <v>0</v>
          </cell>
          <cell r="CP175">
            <v>-1899</v>
          </cell>
          <cell r="CQ175">
            <v>1684776</v>
          </cell>
          <cell r="CR175">
            <v>1634953</v>
          </cell>
          <cell r="CS175">
            <v>1601908</v>
          </cell>
          <cell r="CT175">
            <v>1571777</v>
          </cell>
          <cell r="CU175">
            <v>1529528</v>
          </cell>
          <cell r="CV175">
            <v>-32950</v>
          </cell>
          <cell r="CW175">
            <v>0</v>
          </cell>
          <cell r="CX175">
            <v>0</v>
          </cell>
          <cell r="CY175">
            <v>0</v>
          </cell>
          <cell r="CZ175">
            <v>0</v>
          </cell>
          <cell r="DA175">
            <v>0</v>
          </cell>
          <cell r="DC175">
            <v>0</v>
          </cell>
          <cell r="DD175">
            <v>0</v>
          </cell>
          <cell r="DE175">
            <v>0</v>
          </cell>
          <cell r="DF175">
            <v>0</v>
          </cell>
          <cell r="DG175">
            <v>0</v>
          </cell>
          <cell r="DH175">
            <v>0</v>
          </cell>
          <cell r="DI175">
            <v>0</v>
          </cell>
          <cell r="DJ175">
            <v>0</v>
          </cell>
          <cell r="DK175">
            <v>0</v>
          </cell>
          <cell r="DL175">
            <v>0</v>
          </cell>
        </row>
        <row r="176">
          <cell r="A176">
            <v>1942</v>
          </cell>
          <cell r="B176" t="str">
            <v>Gooise Meren</v>
          </cell>
          <cell r="C176">
            <v>7</v>
          </cell>
          <cell r="D176">
            <v>-184841</v>
          </cell>
          <cell r="E176">
            <v>-92421</v>
          </cell>
          <cell r="F176">
            <v>0</v>
          </cell>
          <cell r="G176">
            <v>891812</v>
          </cell>
          <cell r="H176">
            <v>0</v>
          </cell>
          <cell r="I176">
            <v>-14752</v>
          </cell>
          <cell r="K176">
            <v>0</v>
          </cell>
          <cell r="L176">
            <v>196677</v>
          </cell>
          <cell r="M176">
            <v>183948</v>
          </cell>
          <cell r="N176">
            <v>0</v>
          </cell>
          <cell r="O176">
            <v>0</v>
          </cell>
          <cell r="P176">
            <v>0</v>
          </cell>
          <cell r="Q176">
            <v>0</v>
          </cell>
          <cell r="R176">
            <v>0</v>
          </cell>
          <cell r="S176">
            <v>0</v>
          </cell>
          <cell r="T176">
            <v>0</v>
          </cell>
          <cell r="U176">
            <v>0</v>
          </cell>
          <cell r="V176">
            <v>0</v>
          </cell>
          <cell r="W176">
            <v>234614</v>
          </cell>
          <cell r="X176">
            <v>0</v>
          </cell>
          <cell r="Z176">
            <v>0</v>
          </cell>
          <cell r="AA176">
            <v>0</v>
          </cell>
          <cell r="AB176">
            <v>0</v>
          </cell>
          <cell r="AD176">
            <v>0</v>
          </cell>
          <cell r="AE176">
            <v>0</v>
          </cell>
          <cell r="AF176">
            <v>0</v>
          </cell>
          <cell r="AG176">
            <v>0</v>
          </cell>
          <cell r="AH176">
            <v>0</v>
          </cell>
          <cell r="AI176">
            <v>0</v>
          </cell>
          <cell r="AJ176">
            <v>0</v>
          </cell>
          <cell r="AK176">
            <v>0</v>
          </cell>
          <cell r="AM176">
            <v>0</v>
          </cell>
          <cell r="AN176">
            <v>0</v>
          </cell>
          <cell r="AO176">
            <v>0</v>
          </cell>
          <cell r="AP176">
            <v>0</v>
          </cell>
          <cell r="AQ176">
            <v>0</v>
          </cell>
          <cell r="AR176">
            <v>0</v>
          </cell>
          <cell r="AS176">
            <v>0</v>
          </cell>
          <cell r="AT176">
            <v>0</v>
          </cell>
          <cell r="AU176">
            <v>4740</v>
          </cell>
          <cell r="AV176">
            <v>0</v>
          </cell>
          <cell r="AW176">
            <v>0</v>
          </cell>
          <cell r="AX176">
            <v>0</v>
          </cell>
          <cell r="BA176">
            <v>0</v>
          </cell>
          <cell r="BC176">
            <v>0</v>
          </cell>
          <cell r="BD176">
            <v>19986</v>
          </cell>
          <cell r="BF176">
            <v>0</v>
          </cell>
          <cell r="BG176">
            <v>0</v>
          </cell>
          <cell r="BH176">
            <v>0</v>
          </cell>
          <cell r="BI176">
            <v>75515</v>
          </cell>
          <cell r="BJ176">
            <v>62160</v>
          </cell>
          <cell r="BK176">
            <v>62160</v>
          </cell>
          <cell r="BL176">
            <v>0</v>
          </cell>
          <cell r="BM176">
            <v>0</v>
          </cell>
          <cell r="BN176">
            <v>0</v>
          </cell>
          <cell r="BO176">
            <v>85611</v>
          </cell>
          <cell r="BP176">
            <v>17395.400000000001</v>
          </cell>
          <cell r="BQ176">
            <v>31337.209302325598</v>
          </cell>
          <cell r="BR176">
            <v>0</v>
          </cell>
          <cell r="BS176">
            <v>0</v>
          </cell>
          <cell r="BT176">
            <v>95222</v>
          </cell>
          <cell r="BY176">
            <v>0</v>
          </cell>
          <cell r="BZ176">
            <v>0</v>
          </cell>
          <cell r="CA176">
            <v>0</v>
          </cell>
          <cell r="CB176">
            <v>0</v>
          </cell>
          <cell r="CC176">
            <v>3444543</v>
          </cell>
          <cell r="CD176">
            <v>15742382</v>
          </cell>
          <cell r="CE176">
            <v>1509653</v>
          </cell>
          <cell r="CF176">
            <v>-28084</v>
          </cell>
          <cell r="CG176">
            <v>1509653</v>
          </cell>
          <cell r="CH176">
            <v>1509653</v>
          </cell>
          <cell r="CI176">
            <v>1509653</v>
          </cell>
          <cell r="CJ176">
            <v>1509653</v>
          </cell>
          <cell r="CK176">
            <v>0</v>
          </cell>
          <cell r="CL176">
            <v>0</v>
          </cell>
          <cell r="CM176">
            <v>0</v>
          </cell>
          <cell r="CN176">
            <v>0</v>
          </cell>
          <cell r="CO176">
            <v>0</v>
          </cell>
          <cell r="CP176">
            <v>-1114</v>
          </cell>
          <cell r="CQ176">
            <v>1992008</v>
          </cell>
          <cell r="CR176">
            <v>1887988</v>
          </cell>
          <cell r="CS176">
            <v>1840356</v>
          </cell>
          <cell r="CT176">
            <v>1744999</v>
          </cell>
          <cell r="CU176">
            <v>1657003</v>
          </cell>
          <cell r="CV176">
            <v>-88788</v>
          </cell>
          <cell r="CW176">
            <v>0</v>
          </cell>
          <cell r="CX176">
            <v>0</v>
          </cell>
          <cell r="CY176">
            <v>0</v>
          </cell>
          <cell r="CZ176">
            <v>0</v>
          </cell>
          <cell r="DA176">
            <v>0</v>
          </cell>
          <cell r="DC176">
            <v>0</v>
          </cell>
          <cell r="DD176">
            <v>0</v>
          </cell>
          <cell r="DE176">
            <v>0</v>
          </cell>
          <cell r="DF176">
            <v>0</v>
          </cell>
          <cell r="DG176">
            <v>0</v>
          </cell>
          <cell r="DH176">
            <v>0</v>
          </cell>
          <cell r="DI176">
            <v>0</v>
          </cell>
          <cell r="DJ176">
            <v>0</v>
          </cell>
          <cell r="DK176">
            <v>0</v>
          </cell>
          <cell r="DL176">
            <v>0</v>
          </cell>
        </row>
        <row r="177">
          <cell r="A177">
            <v>392</v>
          </cell>
          <cell r="B177" t="str">
            <v>Haarlem</v>
          </cell>
          <cell r="C177">
            <v>7</v>
          </cell>
          <cell r="D177">
            <v>5962</v>
          </cell>
          <cell r="E177">
            <v>2981</v>
          </cell>
          <cell r="F177">
            <v>0</v>
          </cell>
          <cell r="G177">
            <v>0</v>
          </cell>
          <cell r="H177">
            <v>-40641</v>
          </cell>
          <cell r="I177">
            <v>-56168</v>
          </cell>
          <cell r="K177">
            <v>7646</v>
          </cell>
          <cell r="L177">
            <v>751079</v>
          </cell>
          <cell r="M177">
            <v>764643</v>
          </cell>
          <cell r="N177">
            <v>0</v>
          </cell>
          <cell r="O177">
            <v>0</v>
          </cell>
          <cell r="P177">
            <v>150000</v>
          </cell>
          <cell r="Q177">
            <v>1500000</v>
          </cell>
          <cell r="R177">
            <v>0</v>
          </cell>
          <cell r="S177">
            <v>1375319</v>
          </cell>
          <cell r="T177">
            <v>1375319</v>
          </cell>
          <cell r="U177">
            <v>1375319</v>
          </cell>
          <cell r="V177">
            <v>42000</v>
          </cell>
          <cell r="W177">
            <v>524432</v>
          </cell>
          <cell r="X177">
            <v>0</v>
          </cell>
          <cell r="Z177">
            <v>0</v>
          </cell>
          <cell r="AA177">
            <v>15000</v>
          </cell>
          <cell r="AB177">
            <v>0</v>
          </cell>
          <cell r="AD177">
            <v>135914</v>
          </cell>
          <cell r="AE177">
            <v>0</v>
          </cell>
          <cell r="AF177">
            <v>0</v>
          </cell>
          <cell r="AG177">
            <v>0</v>
          </cell>
          <cell r="AH177">
            <v>0</v>
          </cell>
          <cell r="AI177">
            <v>0</v>
          </cell>
          <cell r="AJ177">
            <v>0</v>
          </cell>
          <cell r="AK177">
            <v>313817</v>
          </cell>
          <cell r="AM177">
            <v>0</v>
          </cell>
          <cell r="AN177">
            <v>0</v>
          </cell>
          <cell r="AO177">
            <v>0</v>
          </cell>
          <cell r="AP177">
            <v>0</v>
          </cell>
          <cell r="AQ177">
            <v>0</v>
          </cell>
          <cell r="AR177">
            <v>0</v>
          </cell>
          <cell r="AS177">
            <v>0</v>
          </cell>
          <cell r="AT177">
            <v>20000</v>
          </cell>
          <cell r="AU177">
            <v>21330</v>
          </cell>
          <cell r="AV177">
            <v>7526255.2413367396</v>
          </cell>
          <cell r="AW177">
            <v>80000</v>
          </cell>
          <cell r="AX177">
            <v>0</v>
          </cell>
          <cell r="BA177">
            <v>86492</v>
          </cell>
          <cell r="BC177">
            <v>0</v>
          </cell>
          <cell r="BD177">
            <v>55895</v>
          </cell>
          <cell r="BF177">
            <v>0</v>
          </cell>
          <cell r="BG177">
            <v>0</v>
          </cell>
          <cell r="BH177">
            <v>0</v>
          </cell>
          <cell r="BI177">
            <v>295028</v>
          </cell>
          <cell r="BJ177">
            <v>242852</v>
          </cell>
          <cell r="BK177">
            <v>242852</v>
          </cell>
          <cell r="BL177">
            <v>0</v>
          </cell>
          <cell r="BM177">
            <v>0</v>
          </cell>
          <cell r="BN177">
            <v>219450</v>
          </cell>
          <cell r="BO177">
            <v>88043</v>
          </cell>
          <cell r="BP177">
            <v>28465.200000000001</v>
          </cell>
          <cell r="BQ177">
            <v>51279.069767441899</v>
          </cell>
          <cell r="BR177">
            <v>0</v>
          </cell>
          <cell r="BS177">
            <v>0</v>
          </cell>
          <cell r="BT177">
            <v>238243</v>
          </cell>
          <cell r="BY177">
            <v>3760484.6534836902</v>
          </cell>
          <cell r="BZ177">
            <v>4350127.9232007898</v>
          </cell>
          <cell r="CA177">
            <v>4400499.4588047601</v>
          </cell>
          <cell r="CB177">
            <v>4542724.9710983299</v>
          </cell>
          <cell r="CC177">
            <v>10794349</v>
          </cell>
          <cell r="CD177">
            <v>110068949</v>
          </cell>
          <cell r="CE177">
            <v>2700845</v>
          </cell>
          <cell r="CF177">
            <v>-134512</v>
          </cell>
          <cell r="CG177">
            <v>2700845</v>
          </cell>
          <cell r="CH177">
            <v>2700845</v>
          </cell>
          <cell r="CI177">
            <v>2700845</v>
          </cell>
          <cell r="CJ177">
            <v>2700845</v>
          </cell>
          <cell r="CK177">
            <v>43762543</v>
          </cell>
          <cell r="CL177">
            <v>43740579</v>
          </cell>
          <cell r="CM177">
            <v>43740224</v>
          </cell>
          <cell r="CN177">
            <v>43739442</v>
          </cell>
          <cell r="CO177">
            <v>43740525</v>
          </cell>
          <cell r="CP177">
            <v>0</v>
          </cell>
          <cell r="CQ177">
            <v>16391563</v>
          </cell>
          <cell r="CR177">
            <v>15691625</v>
          </cell>
          <cell r="CS177">
            <v>15316015</v>
          </cell>
          <cell r="CT177">
            <v>14965980</v>
          </cell>
          <cell r="CU177">
            <v>14640789</v>
          </cell>
          <cell r="CV177">
            <v>-418284</v>
          </cell>
          <cell r="CW177">
            <v>0</v>
          </cell>
          <cell r="CX177">
            <v>0</v>
          </cell>
          <cell r="CY177">
            <v>0</v>
          </cell>
          <cell r="CZ177">
            <v>0</v>
          </cell>
          <cell r="DA177">
            <v>20000</v>
          </cell>
          <cell r="DC177">
            <v>0</v>
          </cell>
          <cell r="DD177">
            <v>0</v>
          </cell>
          <cell r="DE177">
            <v>0</v>
          </cell>
          <cell r="DF177">
            <v>0</v>
          </cell>
          <cell r="DG177">
            <v>0</v>
          </cell>
          <cell r="DH177">
            <v>0</v>
          </cell>
          <cell r="DI177">
            <v>0</v>
          </cell>
          <cell r="DJ177">
            <v>0</v>
          </cell>
          <cell r="DK177">
            <v>0</v>
          </cell>
          <cell r="DL177">
            <v>0</v>
          </cell>
        </row>
        <row r="178">
          <cell r="A178">
            <v>393</v>
          </cell>
          <cell r="B178" t="str">
            <v>Haarlemmerliede Spaarnw</v>
          </cell>
          <cell r="C178">
            <v>7</v>
          </cell>
          <cell r="D178">
            <v>3281</v>
          </cell>
          <cell r="E178">
            <v>1640</v>
          </cell>
          <cell r="F178">
            <v>0</v>
          </cell>
          <cell r="G178">
            <v>0</v>
          </cell>
          <cell r="H178">
            <v>-2220</v>
          </cell>
          <cell r="I178">
            <v>-3802</v>
          </cell>
          <cell r="K178">
            <v>0</v>
          </cell>
          <cell r="L178">
            <v>17946</v>
          </cell>
          <cell r="M178">
            <v>16498</v>
          </cell>
          <cell r="N178">
            <v>0</v>
          </cell>
          <cell r="O178">
            <v>0</v>
          </cell>
          <cell r="P178">
            <v>0</v>
          </cell>
          <cell r="Q178">
            <v>0</v>
          </cell>
          <cell r="R178">
            <v>0</v>
          </cell>
          <cell r="S178">
            <v>0</v>
          </cell>
          <cell r="T178">
            <v>0</v>
          </cell>
          <cell r="U178">
            <v>0</v>
          </cell>
          <cell r="V178">
            <v>0</v>
          </cell>
          <cell r="W178">
            <v>23131</v>
          </cell>
          <cell r="X178">
            <v>0</v>
          </cell>
          <cell r="Z178">
            <v>0</v>
          </cell>
          <cell r="AA178">
            <v>0</v>
          </cell>
          <cell r="AB178">
            <v>0</v>
          </cell>
          <cell r="AD178">
            <v>0</v>
          </cell>
          <cell r="AE178">
            <v>0</v>
          </cell>
          <cell r="AF178">
            <v>0</v>
          </cell>
          <cell r="AG178">
            <v>0</v>
          </cell>
          <cell r="AH178">
            <v>0</v>
          </cell>
          <cell r="AI178">
            <v>0</v>
          </cell>
          <cell r="AJ178">
            <v>0</v>
          </cell>
          <cell r="AK178">
            <v>0</v>
          </cell>
          <cell r="AM178">
            <v>0</v>
          </cell>
          <cell r="AN178">
            <v>0</v>
          </cell>
          <cell r="AO178">
            <v>0</v>
          </cell>
          <cell r="AP178">
            <v>0</v>
          </cell>
          <cell r="AQ178">
            <v>0</v>
          </cell>
          <cell r="AR178">
            <v>0</v>
          </cell>
          <cell r="AS178">
            <v>0</v>
          </cell>
          <cell r="AT178">
            <v>0</v>
          </cell>
          <cell r="AU178">
            <v>0</v>
          </cell>
          <cell r="AV178">
            <v>0</v>
          </cell>
          <cell r="AW178">
            <v>0</v>
          </cell>
          <cell r="AX178">
            <v>0</v>
          </cell>
          <cell r="BA178">
            <v>0</v>
          </cell>
          <cell r="BC178">
            <v>0</v>
          </cell>
          <cell r="BD178">
            <v>9939</v>
          </cell>
          <cell r="BF178">
            <v>0</v>
          </cell>
          <cell r="BG178">
            <v>0</v>
          </cell>
          <cell r="BH178">
            <v>0</v>
          </cell>
          <cell r="BI178">
            <v>4265</v>
          </cell>
          <cell r="BJ178">
            <v>3511</v>
          </cell>
          <cell r="BK178">
            <v>3511</v>
          </cell>
          <cell r="BL178">
            <v>0</v>
          </cell>
          <cell r="BM178">
            <v>0</v>
          </cell>
          <cell r="BN178">
            <v>0</v>
          </cell>
          <cell r="BO178">
            <v>24321</v>
          </cell>
          <cell r="BP178">
            <v>0</v>
          </cell>
          <cell r="BQ178">
            <v>0</v>
          </cell>
          <cell r="BR178">
            <v>0</v>
          </cell>
          <cell r="BS178">
            <v>0</v>
          </cell>
          <cell r="BT178">
            <v>12036</v>
          </cell>
          <cell r="BY178">
            <v>0</v>
          </cell>
          <cell r="BZ178">
            <v>0</v>
          </cell>
          <cell r="CA178">
            <v>0</v>
          </cell>
          <cell r="CB178">
            <v>0</v>
          </cell>
          <cell r="CC178">
            <v>326633</v>
          </cell>
          <cell r="CD178">
            <v>1549981</v>
          </cell>
          <cell r="CE178">
            <v>154598</v>
          </cell>
          <cell r="CF178">
            <v>-4479</v>
          </cell>
          <cell r="CG178">
            <v>154598</v>
          </cell>
          <cell r="CH178">
            <v>154598</v>
          </cell>
          <cell r="CI178">
            <v>154598</v>
          </cell>
          <cell r="CJ178">
            <v>154598</v>
          </cell>
          <cell r="CK178">
            <v>0</v>
          </cell>
          <cell r="CL178">
            <v>0</v>
          </cell>
          <cell r="CM178">
            <v>0</v>
          </cell>
          <cell r="CN178">
            <v>0</v>
          </cell>
          <cell r="CO178">
            <v>0</v>
          </cell>
          <cell r="CP178">
            <v>-695</v>
          </cell>
          <cell r="CQ178">
            <v>157753</v>
          </cell>
          <cell r="CR178">
            <v>144952</v>
          </cell>
          <cell r="CS178">
            <v>135029</v>
          </cell>
          <cell r="CT178">
            <v>122633</v>
          </cell>
          <cell r="CU178">
            <v>118121</v>
          </cell>
          <cell r="CV178">
            <v>-5023</v>
          </cell>
          <cell r="CW178">
            <v>0</v>
          </cell>
          <cell r="CX178">
            <v>0</v>
          </cell>
          <cell r="CY178">
            <v>0</v>
          </cell>
          <cell r="CZ178">
            <v>0</v>
          </cell>
          <cell r="DA178">
            <v>0</v>
          </cell>
          <cell r="DC178">
            <v>0</v>
          </cell>
          <cell r="DD178">
            <v>0</v>
          </cell>
          <cell r="DE178">
            <v>0</v>
          </cell>
          <cell r="DF178">
            <v>0</v>
          </cell>
          <cell r="DG178">
            <v>0</v>
          </cell>
          <cell r="DH178">
            <v>0</v>
          </cell>
          <cell r="DI178">
            <v>0</v>
          </cell>
          <cell r="DJ178">
            <v>0</v>
          </cell>
          <cell r="DK178">
            <v>0</v>
          </cell>
          <cell r="DL178">
            <v>0</v>
          </cell>
        </row>
        <row r="179">
          <cell r="A179">
            <v>394</v>
          </cell>
          <cell r="B179" t="str">
            <v>Haarlemmermeer</v>
          </cell>
          <cell r="C179">
            <v>7</v>
          </cell>
          <cell r="D179">
            <v>301823</v>
          </cell>
          <cell r="E179">
            <v>150911</v>
          </cell>
          <cell r="F179">
            <v>0</v>
          </cell>
          <cell r="G179">
            <v>2289950</v>
          </cell>
          <cell r="H179">
            <v>0</v>
          </cell>
          <cell r="I179">
            <v>-14730</v>
          </cell>
          <cell r="K179">
            <v>0</v>
          </cell>
          <cell r="L179">
            <v>512485</v>
          </cell>
          <cell r="M179">
            <v>461814</v>
          </cell>
          <cell r="N179">
            <v>0</v>
          </cell>
          <cell r="O179">
            <v>0</v>
          </cell>
          <cell r="P179">
            <v>150000</v>
          </cell>
          <cell r="Q179">
            <v>0</v>
          </cell>
          <cell r="R179">
            <v>0</v>
          </cell>
          <cell r="S179">
            <v>0</v>
          </cell>
          <cell r="T179">
            <v>0</v>
          </cell>
          <cell r="U179">
            <v>0</v>
          </cell>
          <cell r="V179">
            <v>28250</v>
          </cell>
          <cell r="W179">
            <v>607431</v>
          </cell>
          <cell r="X179">
            <v>91000</v>
          </cell>
          <cell r="Z179">
            <v>0</v>
          </cell>
          <cell r="AA179">
            <v>0</v>
          </cell>
          <cell r="AB179">
            <v>0</v>
          </cell>
          <cell r="AD179">
            <v>0</v>
          </cell>
          <cell r="AE179">
            <v>0</v>
          </cell>
          <cell r="AF179">
            <v>0</v>
          </cell>
          <cell r="AG179">
            <v>0</v>
          </cell>
          <cell r="AH179">
            <v>0</v>
          </cell>
          <cell r="AI179">
            <v>0</v>
          </cell>
          <cell r="AJ179">
            <v>0</v>
          </cell>
          <cell r="AK179">
            <v>0</v>
          </cell>
          <cell r="AM179">
            <v>0</v>
          </cell>
          <cell r="AN179">
            <v>0</v>
          </cell>
          <cell r="AO179">
            <v>0</v>
          </cell>
          <cell r="AP179">
            <v>0</v>
          </cell>
          <cell r="AQ179">
            <v>0</v>
          </cell>
          <cell r="AR179">
            <v>0</v>
          </cell>
          <cell r="AS179">
            <v>0</v>
          </cell>
          <cell r="AT179">
            <v>0</v>
          </cell>
          <cell r="AU179">
            <v>7110</v>
          </cell>
          <cell r="AV179">
            <v>0</v>
          </cell>
          <cell r="AW179">
            <v>0</v>
          </cell>
          <cell r="AX179">
            <v>0</v>
          </cell>
          <cell r="BA179">
            <v>0</v>
          </cell>
          <cell r="BC179">
            <v>0</v>
          </cell>
          <cell r="BD179">
            <v>256152</v>
          </cell>
          <cell r="BF179">
            <v>0</v>
          </cell>
          <cell r="BG179">
            <v>0</v>
          </cell>
          <cell r="BH179">
            <v>0</v>
          </cell>
          <cell r="BI179">
            <v>135099</v>
          </cell>
          <cell r="BJ179">
            <v>111206</v>
          </cell>
          <cell r="BK179">
            <v>111206</v>
          </cell>
          <cell r="BL179">
            <v>0</v>
          </cell>
          <cell r="BM179">
            <v>0</v>
          </cell>
          <cell r="BN179">
            <v>0</v>
          </cell>
          <cell r="BO179">
            <v>1110029</v>
          </cell>
          <cell r="BP179">
            <v>113860.8</v>
          </cell>
          <cell r="BQ179">
            <v>205116.27906976701</v>
          </cell>
          <cell r="BR179">
            <v>165060</v>
          </cell>
          <cell r="BS179">
            <v>0</v>
          </cell>
          <cell r="BT179">
            <v>240747</v>
          </cell>
          <cell r="BY179">
            <v>0</v>
          </cell>
          <cell r="BZ179">
            <v>0</v>
          </cell>
          <cell r="CA179">
            <v>0</v>
          </cell>
          <cell r="CB179">
            <v>0</v>
          </cell>
          <cell r="CC179">
            <v>8172995</v>
          </cell>
          <cell r="CD179">
            <v>46568533</v>
          </cell>
          <cell r="CE179">
            <v>4390966</v>
          </cell>
          <cell r="CF179">
            <v>0</v>
          </cell>
          <cell r="CG179">
            <v>4390966</v>
          </cell>
          <cell r="CH179">
            <v>4390966</v>
          </cell>
          <cell r="CI179">
            <v>4390966</v>
          </cell>
          <cell r="CJ179">
            <v>4390966</v>
          </cell>
          <cell r="CK179">
            <v>0</v>
          </cell>
          <cell r="CL179">
            <v>0</v>
          </cell>
          <cell r="CM179">
            <v>0</v>
          </cell>
          <cell r="CN179">
            <v>0</v>
          </cell>
          <cell r="CO179">
            <v>0</v>
          </cell>
          <cell r="CP179">
            <v>-5318</v>
          </cell>
          <cell r="CQ179">
            <v>5991245</v>
          </cell>
          <cell r="CR179">
            <v>5735790</v>
          </cell>
          <cell r="CS179">
            <v>5605693</v>
          </cell>
          <cell r="CT179">
            <v>5572122</v>
          </cell>
          <cell r="CU179">
            <v>5518077</v>
          </cell>
          <cell r="CV179">
            <v>74366</v>
          </cell>
          <cell r="CW179">
            <v>0</v>
          </cell>
          <cell r="CX179">
            <v>0</v>
          </cell>
          <cell r="CY179">
            <v>0</v>
          </cell>
          <cell r="CZ179">
            <v>0</v>
          </cell>
          <cell r="DA179">
            <v>0</v>
          </cell>
          <cell r="DC179">
            <v>0</v>
          </cell>
          <cell r="DD179">
            <v>0</v>
          </cell>
          <cell r="DE179">
            <v>0</v>
          </cell>
          <cell r="DF179">
            <v>0</v>
          </cell>
          <cell r="DG179">
            <v>0</v>
          </cell>
          <cell r="DH179">
            <v>0</v>
          </cell>
          <cell r="DI179">
            <v>0</v>
          </cell>
          <cell r="DJ179">
            <v>0</v>
          </cell>
          <cell r="DK179">
            <v>0</v>
          </cell>
          <cell r="DL179">
            <v>0</v>
          </cell>
        </row>
        <row r="180">
          <cell r="A180">
            <v>396</v>
          </cell>
          <cell r="B180" t="str">
            <v>Heemskerk</v>
          </cell>
          <cell r="C180">
            <v>7</v>
          </cell>
          <cell r="D180">
            <v>-11566</v>
          </cell>
          <cell r="E180">
            <v>-5783</v>
          </cell>
          <cell r="F180">
            <v>0</v>
          </cell>
          <cell r="G180">
            <v>0</v>
          </cell>
          <cell r="H180">
            <v>0</v>
          </cell>
          <cell r="I180">
            <v>-17597</v>
          </cell>
          <cell r="K180">
            <v>0</v>
          </cell>
          <cell r="L180">
            <v>187362</v>
          </cell>
          <cell r="M180">
            <v>182483</v>
          </cell>
          <cell r="N180">
            <v>0</v>
          </cell>
          <cell r="O180">
            <v>0</v>
          </cell>
          <cell r="P180">
            <v>0</v>
          </cell>
          <cell r="Q180">
            <v>0</v>
          </cell>
          <cell r="R180">
            <v>0</v>
          </cell>
          <cell r="S180">
            <v>0</v>
          </cell>
          <cell r="T180">
            <v>0</v>
          </cell>
          <cell r="U180">
            <v>0</v>
          </cell>
          <cell r="V180">
            <v>0</v>
          </cell>
          <cell r="W180">
            <v>152587</v>
          </cell>
          <cell r="X180">
            <v>0</v>
          </cell>
          <cell r="Z180">
            <v>0</v>
          </cell>
          <cell r="AA180">
            <v>0</v>
          </cell>
          <cell r="AB180">
            <v>0</v>
          </cell>
          <cell r="AD180">
            <v>58668</v>
          </cell>
          <cell r="AE180">
            <v>0</v>
          </cell>
          <cell r="AF180">
            <v>0</v>
          </cell>
          <cell r="AG180">
            <v>0</v>
          </cell>
          <cell r="AH180">
            <v>0</v>
          </cell>
          <cell r="AI180">
            <v>0</v>
          </cell>
          <cell r="AJ180">
            <v>0</v>
          </cell>
          <cell r="AK180">
            <v>0</v>
          </cell>
          <cell r="AM180">
            <v>0</v>
          </cell>
          <cell r="AN180">
            <v>0</v>
          </cell>
          <cell r="AO180">
            <v>0</v>
          </cell>
          <cell r="AP180">
            <v>0</v>
          </cell>
          <cell r="AQ180">
            <v>0</v>
          </cell>
          <cell r="AR180">
            <v>0</v>
          </cell>
          <cell r="AS180">
            <v>0</v>
          </cell>
          <cell r="AT180">
            <v>0</v>
          </cell>
          <cell r="AU180">
            <v>4740</v>
          </cell>
          <cell r="AV180">
            <v>0</v>
          </cell>
          <cell r="AW180">
            <v>0</v>
          </cell>
          <cell r="AX180">
            <v>0</v>
          </cell>
          <cell r="BA180">
            <v>0</v>
          </cell>
          <cell r="BC180">
            <v>0</v>
          </cell>
          <cell r="BD180">
            <v>13750</v>
          </cell>
          <cell r="BF180">
            <v>0</v>
          </cell>
          <cell r="BG180">
            <v>0</v>
          </cell>
          <cell r="BH180">
            <v>0</v>
          </cell>
          <cell r="BI180">
            <v>56443</v>
          </cell>
          <cell r="BJ180">
            <v>46461</v>
          </cell>
          <cell r="BK180">
            <v>46461</v>
          </cell>
          <cell r="BL180">
            <v>0</v>
          </cell>
          <cell r="BM180">
            <v>0</v>
          </cell>
          <cell r="BN180">
            <v>0</v>
          </cell>
          <cell r="BO180">
            <v>10215</v>
          </cell>
          <cell r="BP180">
            <v>4744.2</v>
          </cell>
          <cell r="BQ180">
            <v>8546.5116279069807</v>
          </cell>
          <cell r="BR180">
            <v>0</v>
          </cell>
          <cell r="BS180">
            <v>0</v>
          </cell>
          <cell r="BT180">
            <v>60465</v>
          </cell>
          <cell r="BY180">
            <v>0</v>
          </cell>
          <cell r="BZ180">
            <v>0</v>
          </cell>
          <cell r="CA180">
            <v>0</v>
          </cell>
          <cell r="CB180">
            <v>0</v>
          </cell>
          <cell r="CC180">
            <v>3323438</v>
          </cell>
          <cell r="CD180">
            <v>17026475</v>
          </cell>
          <cell r="CE180">
            <v>585826</v>
          </cell>
          <cell r="CF180">
            <v>0</v>
          </cell>
          <cell r="CG180">
            <v>585826</v>
          </cell>
          <cell r="CH180">
            <v>585826</v>
          </cell>
          <cell r="CI180">
            <v>585826</v>
          </cell>
          <cell r="CJ180">
            <v>585826</v>
          </cell>
          <cell r="CK180">
            <v>0</v>
          </cell>
          <cell r="CL180">
            <v>0</v>
          </cell>
          <cell r="CM180">
            <v>0</v>
          </cell>
          <cell r="CN180">
            <v>0</v>
          </cell>
          <cell r="CO180">
            <v>0</v>
          </cell>
          <cell r="CP180">
            <v>-6349</v>
          </cell>
          <cell r="CQ180">
            <v>3882056</v>
          </cell>
          <cell r="CR180">
            <v>3705432</v>
          </cell>
          <cell r="CS180">
            <v>3657036</v>
          </cell>
          <cell r="CT180">
            <v>3596533</v>
          </cell>
          <cell r="CU180">
            <v>3512358</v>
          </cell>
          <cell r="CV180">
            <v>46768</v>
          </cell>
          <cell r="CW180">
            <v>0</v>
          </cell>
          <cell r="CX180">
            <v>0</v>
          </cell>
          <cell r="CY180">
            <v>0</v>
          </cell>
          <cell r="CZ180">
            <v>0</v>
          </cell>
          <cell r="DA180">
            <v>0</v>
          </cell>
          <cell r="DC180">
            <v>0</v>
          </cell>
          <cell r="DD180">
            <v>0</v>
          </cell>
          <cell r="DE180">
            <v>0</v>
          </cell>
          <cell r="DF180">
            <v>0</v>
          </cell>
          <cell r="DG180">
            <v>0</v>
          </cell>
          <cell r="DH180">
            <v>0</v>
          </cell>
          <cell r="DI180">
            <v>0</v>
          </cell>
          <cell r="DJ180">
            <v>0</v>
          </cell>
          <cell r="DK180">
            <v>0</v>
          </cell>
          <cell r="DL180">
            <v>0</v>
          </cell>
        </row>
        <row r="181">
          <cell r="A181">
            <v>397</v>
          </cell>
          <cell r="B181" t="str">
            <v>Heemstede</v>
          </cell>
          <cell r="C181">
            <v>7</v>
          </cell>
          <cell r="D181">
            <v>-15428</v>
          </cell>
          <cell r="E181">
            <v>-7714</v>
          </cell>
          <cell r="F181">
            <v>0</v>
          </cell>
          <cell r="G181">
            <v>0</v>
          </cell>
          <cell r="H181">
            <v>0</v>
          </cell>
          <cell r="I181">
            <v>-5871</v>
          </cell>
          <cell r="K181">
            <v>0</v>
          </cell>
          <cell r="L181">
            <v>64623</v>
          </cell>
          <cell r="M181">
            <v>58661</v>
          </cell>
          <cell r="N181">
            <v>0</v>
          </cell>
          <cell r="O181">
            <v>0</v>
          </cell>
          <cell r="P181">
            <v>0</v>
          </cell>
          <cell r="Q181">
            <v>0</v>
          </cell>
          <cell r="R181">
            <v>0</v>
          </cell>
          <cell r="S181">
            <v>0</v>
          </cell>
          <cell r="T181">
            <v>0</v>
          </cell>
          <cell r="U181">
            <v>0</v>
          </cell>
          <cell r="V181">
            <v>0</v>
          </cell>
          <cell r="W181">
            <v>59601</v>
          </cell>
          <cell r="X181">
            <v>0</v>
          </cell>
          <cell r="Z181">
            <v>0</v>
          </cell>
          <cell r="AA181">
            <v>0</v>
          </cell>
          <cell r="AB181">
            <v>0</v>
          </cell>
          <cell r="AD181">
            <v>0</v>
          </cell>
          <cell r="AE181">
            <v>0</v>
          </cell>
          <cell r="AF181">
            <v>0</v>
          </cell>
          <cell r="AG181">
            <v>0</v>
          </cell>
          <cell r="AH181">
            <v>0</v>
          </cell>
          <cell r="AI181">
            <v>0</v>
          </cell>
          <cell r="AJ181">
            <v>0</v>
          </cell>
          <cell r="AK181">
            <v>0</v>
          </cell>
          <cell r="AM181">
            <v>0</v>
          </cell>
          <cell r="AN181">
            <v>0</v>
          </cell>
          <cell r="AO181">
            <v>0</v>
          </cell>
          <cell r="AP181">
            <v>0</v>
          </cell>
          <cell r="AQ181">
            <v>0</v>
          </cell>
          <cell r="AR181">
            <v>0</v>
          </cell>
          <cell r="AS181">
            <v>0</v>
          </cell>
          <cell r="AT181">
            <v>0</v>
          </cell>
          <cell r="AU181">
            <v>2370</v>
          </cell>
          <cell r="AV181">
            <v>0</v>
          </cell>
          <cell r="AW181">
            <v>0</v>
          </cell>
          <cell r="AX181">
            <v>0</v>
          </cell>
          <cell r="BA181">
            <v>0</v>
          </cell>
          <cell r="BC181">
            <v>0</v>
          </cell>
          <cell r="BD181">
            <v>9455</v>
          </cell>
          <cell r="BF181">
            <v>0</v>
          </cell>
          <cell r="BG181">
            <v>0</v>
          </cell>
          <cell r="BH181">
            <v>0</v>
          </cell>
          <cell r="BI181">
            <v>28442</v>
          </cell>
          <cell r="BJ181">
            <v>23412</v>
          </cell>
          <cell r="BK181">
            <v>23412</v>
          </cell>
          <cell r="BL181">
            <v>0</v>
          </cell>
          <cell r="BM181">
            <v>0</v>
          </cell>
          <cell r="BN181">
            <v>0</v>
          </cell>
          <cell r="BO181">
            <v>10215</v>
          </cell>
          <cell r="BP181">
            <v>7907</v>
          </cell>
          <cell r="BQ181">
            <v>14244.186046511601</v>
          </cell>
          <cell r="BR181">
            <v>0</v>
          </cell>
          <cell r="BS181">
            <v>0</v>
          </cell>
          <cell r="BT181">
            <v>36601</v>
          </cell>
          <cell r="BY181">
            <v>0</v>
          </cell>
          <cell r="BZ181">
            <v>0</v>
          </cell>
          <cell r="CA181">
            <v>0</v>
          </cell>
          <cell r="CB181">
            <v>0</v>
          </cell>
          <cell r="CC181">
            <v>1998193</v>
          </cell>
          <cell r="CD181">
            <v>7868364</v>
          </cell>
          <cell r="CE181">
            <v>276334</v>
          </cell>
          <cell r="CF181">
            <v>-7619</v>
          </cell>
          <cell r="CG181">
            <v>276334</v>
          </cell>
          <cell r="CH181">
            <v>276334</v>
          </cell>
          <cell r="CI181">
            <v>276334</v>
          </cell>
          <cell r="CJ181">
            <v>276334</v>
          </cell>
          <cell r="CK181">
            <v>0</v>
          </cell>
          <cell r="CL181">
            <v>0</v>
          </cell>
          <cell r="CM181">
            <v>0</v>
          </cell>
          <cell r="CN181">
            <v>0</v>
          </cell>
          <cell r="CO181">
            <v>0</v>
          </cell>
          <cell r="CP181">
            <v>-973</v>
          </cell>
          <cell r="CQ181">
            <v>1506490</v>
          </cell>
          <cell r="CR181">
            <v>1383078</v>
          </cell>
          <cell r="CS181">
            <v>1280385</v>
          </cell>
          <cell r="CT181">
            <v>1237107</v>
          </cell>
          <cell r="CU181">
            <v>1162987</v>
          </cell>
          <cell r="CV181">
            <v>-29438</v>
          </cell>
          <cell r="CW181">
            <v>0</v>
          </cell>
          <cell r="CX181">
            <v>0</v>
          </cell>
          <cell r="CY181">
            <v>0</v>
          </cell>
          <cell r="CZ181">
            <v>0</v>
          </cell>
          <cell r="DA181">
            <v>0</v>
          </cell>
          <cell r="DC181">
            <v>0</v>
          </cell>
          <cell r="DD181">
            <v>0</v>
          </cell>
          <cell r="DE181">
            <v>0</v>
          </cell>
          <cell r="DF181">
            <v>0</v>
          </cell>
          <cell r="DG181">
            <v>0</v>
          </cell>
          <cell r="DH181">
            <v>0</v>
          </cell>
          <cell r="DI181">
            <v>0</v>
          </cell>
          <cell r="DJ181">
            <v>0</v>
          </cell>
          <cell r="DK181">
            <v>0</v>
          </cell>
          <cell r="DL181">
            <v>0</v>
          </cell>
        </row>
        <row r="182">
          <cell r="A182">
            <v>398</v>
          </cell>
          <cell r="B182" t="str">
            <v>Heerhugowaard</v>
          </cell>
          <cell r="C182">
            <v>7</v>
          </cell>
          <cell r="D182">
            <v>34792</v>
          </cell>
          <cell r="E182">
            <v>17396</v>
          </cell>
          <cell r="F182">
            <v>0</v>
          </cell>
          <cell r="G182">
            <v>0</v>
          </cell>
          <cell r="H182">
            <v>0</v>
          </cell>
          <cell r="I182">
            <v>-8756</v>
          </cell>
          <cell r="K182">
            <v>0</v>
          </cell>
          <cell r="L182">
            <v>243529</v>
          </cell>
          <cell r="M182">
            <v>214266</v>
          </cell>
          <cell r="N182">
            <v>0</v>
          </cell>
          <cell r="O182">
            <v>0</v>
          </cell>
          <cell r="P182">
            <v>0</v>
          </cell>
          <cell r="Q182">
            <v>0</v>
          </cell>
          <cell r="R182">
            <v>0</v>
          </cell>
          <cell r="S182">
            <v>0</v>
          </cell>
          <cell r="T182">
            <v>0</v>
          </cell>
          <cell r="U182">
            <v>0</v>
          </cell>
          <cell r="V182">
            <v>24000</v>
          </cell>
          <cell r="W182">
            <v>194359</v>
          </cell>
          <cell r="X182">
            <v>0</v>
          </cell>
          <cell r="Z182">
            <v>0</v>
          </cell>
          <cell r="AA182">
            <v>0</v>
          </cell>
          <cell r="AB182">
            <v>0</v>
          </cell>
          <cell r="AD182">
            <v>0</v>
          </cell>
          <cell r="AE182">
            <v>0</v>
          </cell>
          <cell r="AF182">
            <v>0</v>
          </cell>
          <cell r="AG182">
            <v>0</v>
          </cell>
          <cell r="AH182">
            <v>0</v>
          </cell>
          <cell r="AI182">
            <v>0</v>
          </cell>
          <cell r="AJ182">
            <v>0</v>
          </cell>
          <cell r="AK182">
            <v>0</v>
          </cell>
          <cell r="AM182">
            <v>0</v>
          </cell>
          <cell r="AN182">
            <v>0</v>
          </cell>
          <cell r="AO182">
            <v>0</v>
          </cell>
          <cell r="AP182">
            <v>0</v>
          </cell>
          <cell r="AQ182">
            <v>0</v>
          </cell>
          <cell r="AR182">
            <v>0</v>
          </cell>
          <cell r="AS182">
            <v>0</v>
          </cell>
          <cell r="AT182">
            <v>0</v>
          </cell>
          <cell r="AU182">
            <v>4740</v>
          </cell>
          <cell r="AV182">
            <v>0</v>
          </cell>
          <cell r="AW182">
            <v>0</v>
          </cell>
          <cell r="AX182">
            <v>0</v>
          </cell>
          <cell r="BA182">
            <v>0</v>
          </cell>
          <cell r="BC182">
            <v>0</v>
          </cell>
          <cell r="BD182">
            <v>19289</v>
          </cell>
          <cell r="BF182">
            <v>0</v>
          </cell>
          <cell r="BG182">
            <v>0</v>
          </cell>
          <cell r="BH182">
            <v>0</v>
          </cell>
          <cell r="BI182">
            <v>63114</v>
          </cell>
          <cell r="BJ182">
            <v>51952</v>
          </cell>
          <cell r="BK182">
            <v>51952</v>
          </cell>
          <cell r="BL182">
            <v>0</v>
          </cell>
          <cell r="BM182">
            <v>0</v>
          </cell>
          <cell r="BN182">
            <v>0</v>
          </cell>
          <cell r="BO182">
            <v>215974</v>
          </cell>
          <cell r="BP182">
            <v>25302.400000000001</v>
          </cell>
          <cell r="BQ182">
            <v>45581.395348837199</v>
          </cell>
          <cell r="BR182">
            <v>0</v>
          </cell>
          <cell r="BS182">
            <v>0</v>
          </cell>
          <cell r="BT182">
            <v>86874</v>
          </cell>
          <cell r="BY182">
            <v>0</v>
          </cell>
          <cell r="BZ182">
            <v>0</v>
          </cell>
          <cell r="CA182">
            <v>0</v>
          </cell>
          <cell r="CB182">
            <v>0</v>
          </cell>
          <cell r="CC182">
            <v>3707169</v>
          </cell>
          <cell r="CD182">
            <v>28437105</v>
          </cell>
          <cell r="CE182">
            <v>4873051</v>
          </cell>
          <cell r="CF182">
            <v>0</v>
          </cell>
          <cell r="CG182">
            <v>4873051</v>
          </cell>
          <cell r="CH182">
            <v>4873051</v>
          </cell>
          <cell r="CI182">
            <v>4873051</v>
          </cell>
          <cell r="CJ182">
            <v>4873051</v>
          </cell>
          <cell r="CK182">
            <v>0</v>
          </cell>
          <cell r="CL182">
            <v>0</v>
          </cell>
          <cell r="CM182">
            <v>0</v>
          </cell>
          <cell r="CN182">
            <v>0</v>
          </cell>
          <cell r="CO182">
            <v>0</v>
          </cell>
          <cell r="CP182">
            <v>-3148</v>
          </cell>
          <cell r="CQ182">
            <v>4253790</v>
          </cell>
          <cell r="CR182">
            <v>4141131</v>
          </cell>
          <cell r="CS182">
            <v>4114769</v>
          </cell>
          <cell r="CT182">
            <v>4106110</v>
          </cell>
          <cell r="CU182">
            <v>4083711</v>
          </cell>
          <cell r="CV182">
            <v>56168</v>
          </cell>
          <cell r="CW182">
            <v>0</v>
          </cell>
          <cell r="CX182">
            <v>0</v>
          </cell>
          <cell r="CY182">
            <v>0</v>
          </cell>
          <cell r="CZ182">
            <v>0</v>
          </cell>
          <cell r="DA182">
            <v>0</v>
          </cell>
          <cell r="DC182">
            <v>0</v>
          </cell>
          <cell r="DD182">
            <v>0</v>
          </cell>
          <cell r="DE182">
            <v>0</v>
          </cell>
          <cell r="DF182">
            <v>0</v>
          </cell>
          <cell r="DG182">
            <v>0</v>
          </cell>
          <cell r="DH182">
            <v>0</v>
          </cell>
          <cell r="DI182">
            <v>0</v>
          </cell>
          <cell r="DJ182">
            <v>0</v>
          </cell>
          <cell r="DK182">
            <v>0</v>
          </cell>
          <cell r="DL182">
            <v>0</v>
          </cell>
        </row>
        <row r="183">
          <cell r="A183">
            <v>399</v>
          </cell>
          <cell r="B183" t="str">
            <v>Heiloo</v>
          </cell>
          <cell r="C183">
            <v>7</v>
          </cell>
          <cell r="D183">
            <v>-67674</v>
          </cell>
          <cell r="E183">
            <v>-33837</v>
          </cell>
          <cell r="F183">
            <v>0</v>
          </cell>
          <cell r="G183">
            <v>0</v>
          </cell>
          <cell r="H183">
            <v>-10585</v>
          </cell>
          <cell r="I183">
            <v>-7461</v>
          </cell>
          <cell r="K183">
            <v>0</v>
          </cell>
          <cell r="L183">
            <v>53401</v>
          </cell>
          <cell r="M183">
            <v>43996</v>
          </cell>
          <cell r="N183">
            <v>0</v>
          </cell>
          <cell r="O183">
            <v>0</v>
          </cell>
          <cell r="P183">
            <v>0</v>
          </cell>
          <cell r="Q183">
            <v>0</v>
          </cell>
          <cell r="R183">
            <v>0</v>
          </cell>
          <cell r="S183">
            <v>0</v>
          </cell>
          <cell r="T183">
            <v>0</v>
          </cell>
          <cell r="U183">
            <v>0</v>
          </cell>
          <cell r="V183">
            <v>6000</v>
          </cell>
          <cell r="W183">
            <v>65056</v>
          </cell>
          <cell r="X183">
            <v>0</v>
          </cell>
          <cell r="Z183">
            <v>0</v>
          </cell>
          <cell r="AA183">
            <v>0</v>
          </cell>
          <cell r="AB183">
            <v>0</v>
          </cell>
          <cell r="AD183">
            <v>0</v>
          </cell>
          <cell r="AE183">
            <v>0</v>
          </cell>
          <cell r="AF183">
            <v>0</v>
          </cell>
          <cell r="AG183">
            <v>0</v>
          </cell>
          <cell r="AH183">
            <v>0</v>
          </cell>
          <cell r="AI183">
            <v>0</v>
          </cell>
          <cell r="AJ183">
            <v>0</v>
          </cell>
          <cell r="AK183">
            <v>0</v>
          </cell>
          <cell r="AM183">
            <v>0</v>
          </cell>
          <cell r="AN183">
            <v>0</v>
          </cell>
          <cell r="AO183">
            <v>0</v>
          </cell>
          <cell r="AP183">
            <v>0</v>
          </cell>
          <cell r="AQ183">
            <v>0</v>
          </cell>
          <cell r="AR183">
            <v>0</v>
          </cell>
          <cell r="AS183">
            <v>0</v>
          </cell>
          <cell r="AT183">
            <v>0</v>
          </cell>
          <cell r="AU183">
            <v>0</v>
          </cell>
          <cell r="AV183">
            <v>0</v>
          </cell>
          <cell r="AW183">
            <v>0</v>
          </cell>
          <cell r="AX183">
            <v>0</v>
          </cell>
          <cell r="BA183">
            <v>0</v>
          </cell>
          <cell r="BC183">
            <v>0</v>
          </cell>
          <cell r="BD183">
            <v>8024</v>
          </cell>
          <cell r="BF183">
            <v>0</v>
          </cell>
          <cell r="BG183">
            <v>0</v>
          </cell>
          <cell r="BH183">
            <v>0</v>
          </cell>
          <cell r="BI183">
            <v>23827</v>
          </cell>
          <cell r="BJ183">
            <v>19613</v>
          </cell>
          <cell r="BK183">
            <v>19613</v>
          </cell>
          <cell r="BL183">
            <v>0</v>
          </cell>
          <cell r="BM183">
            <v>0</v>
          </cell>
          <cell r="BN183">
            <v>0</v>
          </cell>
          <cell r="BO183">
            <v>10215</v>
          </cell>
          <cell r="BP183">
            <v>1581.4</v>
          </cell>
          <cell r="BQ183">
            <v>2848.8372093023299</v>
          </cell>
          <cell r="BR183">
            <v>0</v>
          </cell>
          <cell r="BS183">
            <v>0</v>
          </cell>
          <cell r="BT183">
            <v>31884</v>
          </cell>
          <cell r="BY183">
            <v>0</v>
          </cell>
          <cell r="BZ183">
            <v>0</v>
          </cell>
          <cell r="CA183">
            <v>0</v>
          </cell>
          <cell r="CB183">
            <v>0</v>
          </cell>
          <cell r="CC183">
            <v>1748563</v>
          </cell>
          <cell r="CD183">
            <v>7079573</v>
          </cell>
          <cell r="CE183">
            <v>337457</v>
          </cell>
          <cell r="CF183">
            <v>-9158</v>
          </cell>
          <cell r="CG183">
            <v>337457</v>
          </cell>
          <cell r="CH183">
            <v>337457</v>
          </cell>
          <cell r="CI183">
            <v>337457</v>
          </cell>
          <cell r="CJ183">
            <v>337457</v>
          </cell>
          <cell r="CK183">
            <v>0</v>
          </cell>
          <cell r="CL183">
            <v>0</v>
          </cell>
          <cell r="CM183">
            <v>0</v>
          </cell>
          <cell r="CN183">
            <v>0</v>
          </cell>
          <cell r="CO183">
            <v>0</v>
          </cell>
          <cell r="CP183">
            <v>-1337</v>
          </cell>
          <cell r="CQ183">
            <v>1131603</v>
          </cell>
          <cell r="CR183">
            <v>1103245</v>
          </cell>
          <cell r="CS183">
            <v>1089572</v>
          </cell>
          <cell r="CT183">
            <v>1062251</v>
          </cell>
          <cell r="CU183">
            <v>1075348</v>
          </cell>
          <cell r="CV183">
            <v>12380</v>
          </cell>
          <cell r="CW183">
            <v>0</v>
          </cell>
          <cell r="CX183">
            <v>0</v>
          </cell>
          <cell r="CY183">
            <v>0</v>
          </cell>
          <cell r="CZ183">
            <v>0</v>
          </cell>
          <cell r="DA183">
            <v>0</v>
          </cell>
          <cell r="DC183">
            <v>0</v>
          </cell>
          <cell r="DD183">
            <v>0</v>
          </cell>
          <cell r="DE183">
            <v>0</v>
          </cell>
          <cell r="DF183">
            <v>0</v>
          </cell>
          <cell r="DG183">
            <v>0</v>
          </cell>
          <cell r="DH183">
            <v>0</v>
          </cell>
          <cell r="DI183">
            <v>0</v>
          </cell>
          <cell r="DJ183">
            <v>0</v>
          </cell>
          <cell r="DK183">
            <v>0</v>
          </cell>
          <cell r="DL183">
            <v>0</v>
          </cell>
        </row>
        <row r="184">
          <cell r="A184">
            <v>402</v>
          </cell>
          <cell r="B184" t="str">
            <v>Hilversum</v>
          </cell>
          <cell r="C184">
            <v>7</v>
          </cell>
          <cell r="D184">
            <v>20700</v>
          </cell>
          <cell r="E184">
            <v>10350</v>
          </cell>
          <cell r="F184">
            <v>0</v>
          </cell>
          <cell r="G184">
            <v>0</v>
          </cell>
          <cell r="H184">
            <v>-38912</v>
          </cell>
          <cell r="I184">
            <v>-37504</v>
          </cell>
          <cell r="K184">
            <v>7500</v>
          </cell>
          <cell r="L184">
            <v>402499</v>
          </cell>
          <cell r="M184">
            <v>398963</v>
          </cell>
          <cell r="N184">
            <v>0</v>
          </cell>
          <cell r="O184">
            <v>0</v>
          </cell>
          <cell r="P184">
            <v>0</v>
          </cell>
          <cell r="Q184">
            <v>0</v>
          </cell>
          <cell r="R184">
            <v>0</v>
          </cell>
          <cell r="S184">
            <v>0</v>
          </cell>
          <cell r="T184">
            <v>0</v>
          </cell>
          <cell r="U184">
            <v>0</v>
          </cell>
          <cell r="V184">
            <v>15000</v>
          </cell>
          <cell r="W184">
            <v>136981</v>
          </cell>
          <cell r="X184">
            <v>0</v>
          </cell>
          <cell r="Z184">
            <v>0</v>
          </cell>
          <cell r="AA184">
            <v>0</v>
          </cell>
          <cell r="AB184">
            <v>0</v>
          </cell>
          <cell r="AD184">
            <v>19556</v>
          </cell>
          <cell r="AE184">
            <v>0</v>
          </cell>
          <cell r="AF184">
            <v>0</v>
          </cell>
          <cell r="AG184">
            <v>0</v>
          </cell>
          <cell r="AH184">
            <v>0</v>
          </cell>
          <cell r="AI184">
            <v>0</v>
          </cell>
          <cell r="AJ184">
            <v>0</v>
          </cell>
          <cell r="AK184">
            <v>0</v>
          </cell>
          <cell r="AM184">
            <v>0</v>
          </cell>
          <cell r="AN184">
            <v>0</v>
          </cell>
          <cell r="AO184">
            <v>0</v>
          </cell>
          <cell r="AP184">
            <v>0</v>
          </cell>
          <cell r="AQ184">
            <v>0</v>
          </cell>
          <cell r="AR184">
            <v>0</v>
          </cell>
          <cell r="AS184">
            <v>0</v>
          </cell>
          <cell r="AT184">
            <v>0</v>
          </cell>
          <cell r="AU184">
            <v>4740</v>
          </cell>
          <cell r="AV184">
            <v>2532362.4222930102</v>
          </cell>
          <cell r="AW184">
            <v>113745</v>
          </cell>
          <cell r="AX184">
            <v>0</v>
          </cell>
          <cell r="BA184">
            <v>0</v>
          </cell>
          <cell r="BC184">
            <v>0</v>
          </cell>
          <cell r="BD184">
            <v>31203</v>
          </cell>
          <cell r="BF184">
            <v>0</v>
          </cell>
          <cell r="BG184">
            <v>0</v>
          </cell>
          <cell r="BH184">
            <v>0</v>
          </cell>
          <cell r="BI184">
            <v>160563</v>
          </cell>
          <cell r="BJ184">
            <v>132167</v>
          </cell>
          <cell r="BK184">
            <v>132167</v>
          </cell>
          <cell r="BL184">
            <v>0</v>
          </cell>
          <cell r="BM184">
            <v>0</v>
          </cell>
          <cell r="BN184">
            <v>98560</v>
          </cell>
          <cell r="BO184">
            <v>71991</v>
          </cell>
          <cell r="BP184">
            <v>34790.800000000003</v>
          </cell>
          <cell r="BQ184">
            <v>62674.418604651197</v>
          </cell>
          <cell r="BR184">
            <v>0</v>
          </cell>
          <cell r="BS184">
            <v>0</v>
          </cell>
          <cell r="BT184">
            <v>139915</v>
          </cell>
          <cell r="BY184">
            <v>1730009.7167111801</v>
          </cell>
          <cell r="BZ184">
            <v>2005485.33035862</v>
          </cell>
          <cell r="CA184">
            <v>2029018.42298176</v>
          </cell>
          <cell r="CB184">
            <v>2095464.8021530099</v>
          </cell>
          <cell r="CC184">
            <v>6480401</v>
          </cell>
          <cell r="CD184">
            <v>50541501</v>
          </cell>
          <cell r="CE184">
            <v>2228541</v>
          </cell>
          <cell r="CF184">
            <v>-89917</v>
          </cell>
          <cell r="CG184">
            <v>2228541</v>
          </cell>
          <cell r="CH184">
            <v>2228541</v>
          </cell>
          <cell r="CI184">
            <v>2228541</v>
          </cell>
          <cell r="CJ184">
            <v>2228541</v>
          </cell>
          <cell r="CK184">
            <v>15956896</v>
          </cell>
          <cell r="CL184">
            <v>15948947</v>
          </cell>
          <cell r="CM184">
            <v>15948818</v>
          </cell>
          <cell r="CN184">
            <v>15948536</v>
          </cell>
          <cell r="CO184">
            <v>15948928</v>
          </cell>
          <cell r="CP184">
            <v>0</v>
          </cell>
          <cell r="CQ184">
            <v>7402611</v>
          </cell>
          <cell r="CR184">
            <v>7029092</v>
          </cell>
          <cell r="CS184">
            <v>6834420</v>
          </cell>
          <cell r="CT184">
            <v>6626339</v>
          </cell>
          <cell r="CU184">
            <v>6460565</v>
          </cell>
          <cell r="CV184">
            <v>-136302</v>
          </cell>
          <cell r="CW184">
            <v>0</v>
          </cell>
          <cell r="CX184">
            <v>0</v>
          </cell>
          <cell r="CY184">
            <v>0</v>
          </cell>
          <cell r="CZ184">
            <v>0</v>
          </cell>
          <cell r="DA184">
            <v>0</v>
          </cell>
          <cell r="DC184">
            <v>0</v>
          </cell>
          <cell r="DD184">
            <v>0</v>
          </cell>
          <cell r="DE184">
            <v>0</v>
          </cell>
          <cell r="DF184">
            <v>0</v>
          </cell>
          <cell r="DG184">
            <v>0</v>
          </cell>
          <cell r="DH184">
            <v>0</v>
          </cell>
          <cell r="DI184">
            <v>0</v>
          </cell>
          <cell r="DJ184">
            <v>0</v>
          </cell>
          <cell r="DK184">
            <v>0</v>
          </cell>
          <cell r="DL184">
            <v>0</v>
          </cell>
        </row>
        <row r="185">
          <cell r="A185">
            <v>1911</v>
          </cell>
          <cell r="B185" t="str">
            <v>Hollands Kroon</v>
          </cell>
          <cell r="C185">
            <v>7</v>
          </cell>
          <cell r="D185">
            <v>17470</v>
          </cell>
          <cell r="E185">
            <v>8735</v>
          </cell>
          <cell r="F185">
            <v>0</v>
          </cell>
          <cell r="G185">
            <v>99989</v>
          </cell>
          <cell r="H185">
            <v>-57727</v>
          </cell>
          <cell r="I185">
            <v>-40387</v>
          </cell>
          <cell r="K185">
            <v>0</v>
          </cell>
          <cell r="L185">
            <v>181333</v>
          </cell>
          <cell r="M185">
            <v>170318</v>
          </cell>
          <cell r="N185">
            <v>0</v>
          </cell>
          <cell r="O185">
            <v>0</v>
          </cell>
          <cell r="P185">
            <v>0</v>
          </cell>
          <cell r="Q185">
            <v>0</v>
          </cell>
          <cell r="R185">
            <v>0</v>
          </cell>
          <cell r="S185">
            <v>0</v>
          </cell>
          <cell r="T185">
            <v>0</v>
          </cell>
          <cell r="U185">
            <v>0</v>
          </cell>
          <cell r="V185">
            <v>17500</v>
          </cell>
          <cell r="W185">
            <v>201570</v>
          </cell>
          <cell r="X185">
            <v>0</v>
          </cell>
          <cell r="Z185">
            <v>0</v>
          </cell>
          <cell r="AA185">
            <v>0</v>
          </cell>
          <cell r="AB185">
            <v>0</v>
          </cell>
          <cell r="AD185">
            <v>0</v>
          </cell>
          <cell r="AE185">
            <v>0</v>
          </cell>
          <cell r="AF185">
            <v>0</v>
          </cell>
          <cell r="AG185">
            <v>0</v>
          </cell>
          <cell r="AH185">
            <v>0</v>
          </cell>
          <cell r="AI185">
            <v>0</v>
          </cell>
          <cell r="AJ185">
            <v>0</v>
          </cell>
          <cell r="AK185">
            <v>0</v>
          </cell>
          <cell r="AM185">
            <v>47462</v>
          </cell>
          <cell r="AN185">
            <v>48553</v>
          </cell>
          <cell r="AO185">
            <v>49670</v>
          </cell>
          <cell r="AP185">
            <v>50812</v>
          </cell>
          <cell r="AQ185">
            <v>51981</v>
          </cell>
          <cell r="AR185">
            <v>53177</v>
          </cell>
          <cell r="AS185">
            <v>0</v>
          </cell>
          <cell r="AT185">
            <v>0</v>
          </cell>
          <cell r="AU185">
            <v>4740</v>
          </cell>
          <cell r="AV185">
            <v>0</v>
          </cell>
          <cell r="AW185">
            <v>0</v>
          </cell>
          <cell r="AX185">
            <v>0</v>
          </cell>
          <cell r="BA185">
            <v>0</v>
          </cell>
          <cell r="BC185">
            <v>0</v>
          </cell>
          <cell r="BD185">
            <v>16709</v>
          </cell>
          <cell r="BF185">
            <v>0</v>
          </cell>
          <cell r="BG185">
            <v>0</v>
          </cell>
          <cell r="BH185">
            <v>0</v>
          </cell>
          <cell r="BI185">
            <v>62828</v>
          </cell>
          <cell r="BJ185">
            <v>51717</v>
          </cell>
          <cell r="BK185">
            <v>51717</v>
          </cell>
          <cell r="BL185">
            <v>0</v>
          </cell>
          <cell r="BM185">
            <v>0</v>
          </cell>
          <cell r="BN185">
            <v>0</v>
          </cell>
          <cell r="BO185">
            <v>489346</v>
          </cell>
          <cell r="BP185">
            <v>14232.6</v>
          </cell>
          <cell r="BQ185">
            <v>25639.534883720899</v>
          </cell>
          <cell r="BR185">
            <v>0</v>
          </cell>
          <cell r="BS185">
            <v>0</v>
          </cell>
          <cell r="BT185">
            <v>92437</v>
          </cell>
          <cell r="BY185">
            <v>0</v>
          </cell>
          <cell r="BZ185">
            <v>0</v>
          </cell>
          <cell r="CA185">
            <v>0</v>
          </cell>
          <cell r="CB185">
            <v>0</v>
          </cell>
          <cell r="CC185">
            <v>3197547</v>
          </cell>
          <cell r="CD185">
            <v>17747718</v>
          </cell>
          <cell r="CE185">
            <v>1308289</v>
          </cell>
          <cell r="CF185">
            <v>-57658</v>
          </cell>
          <cell r="CG185">
            <v>1308289</v>
          </cell>
          <cell r="CH185">
            <v>1308289</v>
          </cell>
          <cell r="CI185">
            <v>1308289</v>
          </cell>
          <cell r="CJ185">
            <v>1308289</v>
          </cell>
          <cell r="CK185">
            <v>0</v>
          </cell>
          <cell r="CL185">
            <v>0</v>
          </cell>
          <cell r="CM185">
            <v>0</v>
          </cell>
          <cell r="CN185">
            <v>0</v>
          </cell>
          <cell r="CO185">
            <v>0</v>
          </cell>
          <cell r="CP185">
            <v>-5962</v>
          </cell>
          <cell r="CQ185">
            <v>3105127</v>
          </cell>
          <cell r="CR185">
            <v>3005863</v>
          </cell>
          <cell r="CS185">
            <v>2930929</v>
          </cell>
          <cell r="CT185">
            <v>2878359</v>
          </cell>
          <cell r="CU185">
            <v>2836750</v>
          </cell>
          <cell r="CV185">
            <v>-17990</v>
          </cell>
          <cell r="CW185">
            <v>0</v>
          </cell>
          <cell r="CX185">
            <v>0</v>
          </cell>
          <cell r="CY185">
            <v>0</v>
          </cell>
          <cell r="CZ185">
            <v>0</v>
          </cell>
          <cell r="DA185">
            <v>0</v>
          </cell>
          <cell r="DC185">
            <v>0</v>
          </cell>
          <cell r="DD185">
            <v>0</v>
          </cell>
          <cell r="DE185">
            <v>0</v>
          </cell>
          <cell r="DF185">
            <v>0</v>
          </cell>
          <cell r="DG185">
            <v>0</v>
          </cell>
          <cell r="DH185">
            <v>0</v>
          </cell>
          <cell r="DI185">
            <v>0</v>
          </cell>
          <cell r="DJ185">
            <v>0</v>
          </cell>
          <cell r="DK185">
            <v>0</v>
          </cell>
          <cell r="DL185">
            <v>0</v>
          </cell>
        </row>
        <row r="186">
          <cell r="A186">
            <v>405</v>
          </cell>
          <cell r="B186" t="str">
            <v>Hoorn</v>
          </cell>
          <cell r="C186">
            <v>7</v>
          </cell>
          <cell r="D186">
            <v>14494</v>
          </cell>
          <cell r="E186">
            <v>7247</v>
          </cell>
          <cell r="F186">
            <v>0</v>
          </cell>
          <cell r="G186">
            <v>0</v>
          </cell>
          <cell r="H186">
            <v>-70246</v>
          </cell>
          <cell r="I186">
            <v>-44675</v>
          </cell>
          <cell r="K186">
            <v>0</v>
          </cell>
          <cell r="L186">
            <v>415033</v>
          </cell>
          <cell r="M186">
            <v>407938</v>
          </cell>
          <cell r="N186">
            <v>0</v>
          </cell>
          <cell r="O186">
            <v>0</v>
          </cell>
          <cell r="P186">
            <v>0</v>
          </cell>
          <cell r="Q186">
            <v>0</v>
          </cell>
          <cell r="R186">
            <v>0</v>
          </cell>
          <cell r="S186">
            <v>0</v>
          </cell>
          <cell r="T186">
            <v>0</v>
          </cell>
          <cell r="U186">
            <v>0</v>
          </cell>
          <cell r="V186">
            <v>36000</v>
          </cell>
          <cell r="W186">
            <v>280488</v>
          </cell>
          <cell r="X186">
            <v>0</v>
          </cell>
          <cell r="Z186">
            <v>0</v>
          </cell>
          <cell r="AA186">
            <v>0</v>
          </cell>
          <cell r="AB186">
            <v>0</v>
          </cell>
          <cell r="AD186">
            <v>39112</v>
          </cell>
          <cell r="AE186">
            <v>0</v>
          </cell>
          <cell r="AF186">
            <v>0</v>
          </cell>
          <cell r="AG186">
            <v>0</v>
          </cell>
          <cell r="AH186">
            <v>0</v>
          </cell>
          <cell r="AI186">
            <v>0</v>
          </cell>
          <cell r="AJ186">
            <v>0</v>
          </cell>
          <cell r="AK186">
            <v>0</v>
          </cell>
          <cell r="AM186">
            <v>12683</v>
          </cell>
          <cell r="AN186">
            <v>12975</v>
          </cell>
          <cell r="AO186">
            <v>13273</v>
          </cell>
          <cell r="AP186">
            <v>13578</v>
          </cell>
          <cell r="AQ186">
            <v>13891</v>
          </cell>
          <cell r="AR186">
            <v>14210</v>
          </cell>
          <cell r="AS186">
            <v>0</v>
          </cell>
          <cell r="AT186">
            <v>20000</v>
          </cell>
          <cell r="AU186">
            <v>9480</v>
          </cell>
          <cell r="AV186">
            <v>2321655.0755222701</v>
          </cell>
          <cell r="AW186">
            <v>0</v>
          </cell>
          <cell r="AX186">
            <v>0</v>
          </cell>
          <cell r="BA186">
            <v>0</v>
          </cell>
          <cell r="BC186">
            <v>0</v>
          </cell>
          <cell r="BD186">
            <v>25448</v>
          </cell>
          <cell r="BF186">
            <v>0</v>
          </cell>
          <cell r="BG186">
            <v>0</v>
          </cell>
          <cell r="BH186">
            <v>0</v>
          </cell>
          <cell r="BI186">
            <v>123292</v>
          </cell>
          <cell r="BJ186">
            <v>101488</v>
          </cell>
          <cell r="BK186">
            <v>101488</v>
          </cell>
          <cell r="BL186">
            <v>0</v>
          </cell>
          <cell r="BM186">
            <v>0</v>
          </cell>
          <cell r="BN186">
            <v>0</v>
          </cell>
          <cell r="BO186">
            <v>104582</v>
          </cell>
          <cell r="BP186">
            <v>39535</v>
          </cell>
          <cell r="BQ186">
            <v>71220.930232558094</v>
          </cell>
          <cell r="BR186">
            <v>0</v>
          </cell>
          <cell r="BS186">
            <v>0</v>
          </cell>
          <cell r="BT186">
            <v>115541</v>
          </cell>
          <cell r="BY186">
            <v>0</v>
          </cell>
          <cell r="BZ186">
            <v>0</v>
          </cell>
          <cell r="CA186">
            <v>0</v>
          </cell>
          <cell r="CB186">
            <v>0</v>
          </cell>
          <cell r="CC186">
            <v>5203660</v>
          </cell>
          <cell r="CD186">
            <v>48379262</v>
          </cell>
          <cell r="CE186">
            <v>1985456</v>
          </cell>
          <cell r="CF186">
            <v>-107755</v>
          </cell>
          <cell r="CG186">
            <v>1985456</v>
          </cell>
          <cell r="CH186">
            <v>1985456</v>
          </cell>
          <cell r="CI186">
            <v>1985456</v>
          </cell>
          <cell r="CJ186">
            <v>1985456</v>
          </cell>
          <cell r="CK186">
            <v>11513686</v>
          </cell>
          <cell r="CL186">
            <v>11507907</v>
          </cell>
          <cell r="CM186">
            <v>11507814</v>
          </cell>
          <cell r="CN186">
            <v>11507608</v>
          </cell>
          <cell r="CO186">
            <v>11507893</v>
          </cell>
          <cell r="CP186">
            <v>0</v>
          </cell>
          <cell r="CQ186">
            <v>6130239</v>
          </cell>
          <cell r="CR186">
            <v>5983182</v>
          </cell>
          <cell r="CS186">
            <v>5921913</v>
          </cell>
          <cell r="CT186">
            <v>5887717</v>
          </cell>
          <cell r="CU186">
            <v>5816961</v>
          </cell>
          <cell r="CV186">
            <v>-39108</v>
          </cell>
          <cell r="CW186">
            <v>0</v>
          </cell>
          <cell r="CX186">
            <v>0</v>
          </cell>
          <cell r="CY186">
            <v>0</v>
          </cell>
          <cell r="CZ186">
            <v>0</v>
          </cell>
          <cell r="DA186">
            <v>0</v>
          </cell>
          <cell r="DC186">
            <v>0</v>
          </cell>
          <cell r="DD186">
            <v>0</v>
          </cell>
          <cell r="DE186">
            <v>0</v>
          </cell>
          <cell r="DF186">
            <v>0</v>
          </cell>
          <cell r="DG186">
            <v>0</v>
          </cell>
          <cell r="DH186">
            <v>0</v>
          </cell>
          <cell r="DI186">
            <v>0</v>
          </cell>
          <cell r="DJ186">
            <v>0</v>
          </cell>
          <cell r="DK186">
            <v>0</v>
          </cell>
          <cell r="DL186">
            <v>0</v>
          </cell>
        </row>
        <row r="187">
          <cell r="A187">
            <v>406</v>
          </cell>
          <cell r="B187" t="str">
            <v>Huizen</v>
          </cell>
          <cell r="C187">
            <v>7</v>
          </cell>
          <cell r="D187">
            <v>-145659</v>
          </cell>
          <cell r="E187">
            <v>-72829</v>
          </cell>
          <cell r="F187">
            <v>0</v>
          </cell>
          <cell r="G187">
            <v>0</v>
          </cell>
          <cell r="H187">
            <v>0</v>
          </cell>
          <cell r="I187">
            <v>-5926</v>
          </cell>
          <cell r="K187">
            <v>0</v>
          </cell>
          <cell r="L187">
            <v>164382</v>
          </cell>
          <cell r="M187">
            <v>152343</v>
          </cell>
          <cell r="N187">
            <v>0</v>
          </cell>
          <cell r="O187">
            <v>0</v>
          </cell>
          <cell r="P187">
            <v>0</v>
          </cell>
          <cell r="Q187">
            <v>0</v>
          </cell>
          <cell r="R187">
            <v>0</v>
          </cell>
          <cell r="S187">
            <v>0</v>
          </cell>
          <cell r="T187">
            <v>0</v>
          </cell>
          <cell r="U187">
            <v>0</v>
          </cell>
          <cell r="V187">
            <v>3000</v>
          </cell>
          <cell r="W187">
            <v>173385</v>
          </cell>
          <cell r="X187">
            <v>0</v>
          </cell>
          <cell r="Z187">
            <v>0</v>
          </cell>
          <cell r="AA187">
            <v>0</v>
          </cell>
          <cell r="AB187">
            <v>0</v>
          </cell>
          <cell r="AD187">
            <v>0</v>
          </cell>
          <cell r="AE187">
            <v>0</v>
          </cell>
          <cell r="AF187">
            <v>0</v>
          </cell>
          <cell r="AG187">
            <v>0</v>
          </cell>
          <cell r="AH187">
            <v>0</v>
          </cell>
          <cell r="AI187">
            <v>0</v>
          </cell>
          <cell r="AJ187">
            <v>0</v>
          </cell>
          <cell r="AK187">
            <v>0</v>
          </cell>
          <cell r="AM187">
            <v>0</v>
          </cell>
          <cell r="AN187">
            <v>0</v>
          </cell>
          <cell r="AO187">
            <v>0</v>
          </cell>
          <cell r="AP187">
            <v>0</v>
          </cell>
          <cell r="AQ187">
            <v>0</v>
          </cell>
          <cell r="AR187">
            <v>0</v>
          </cell>
          <cell r="AS187">
            <v>0</v>
          </cell>
          <cell r="AT187">
            <v>0</v>
          </cell>
          <cell r="AU187">
            <v>2370</v>
          </cell>
          <cell r="AV187">
            <v>0</v>
          </cell>
          <cell r="AW187">
            <v>0</v>
          </cell>
          <cell r="AX187">
            <v>0</v>
          </cell>
          <cell r="BA187">
            <v>0</v>
          </cell>
          <cell r="BC187">
            <v>0</v>
          </cell>
          <cell r="BD187">
            <v>14527</v>
          </cell>
          <cell r="BF187">
            <v>0</v>
          </cell>
          <cell r="BG187">
            <v>0</v>
          </cell>
          <cell r="BH187">
            <v>0</v>
          </cell>
          <cell r="BI187">
            <v>56185</v>
          </cell>
          <cell r="BJ187">
            <v>46249</v>
          </cell>
          <cell r="BK187">
            <v>46249</v>
          </cell>
          <cell r="BL187">
            <v>0</v>
          </cell>
          <cell r="BM187">
            <v>0</v>
          </cell>
          <cell r="BN187">
            <v>0</v>
          </cell>
          <cell r="BO187">
            <v>25781</v>
          </cell>
          <cell r="BP187">
            <v>20558.2</v>
          </cell>
          <cell r="BQ187">
            <v>37034.8837209302</v>
          </cell>
          <cell r="BR187">
            <v>134000</v>
          </cell>
          <cell r="BS187">
            <v>0</v>
          </cell>
          <cell r="BT187">
            <v>64557</v>
          </cell>
          <cell r="BY187">
            <v>0</v>
          </cell>
          <cell r="BZ187">
            <v>0</v>
          </cell>
          <cell r="CA187">
            <v>0</v>
          </cell>
          <cell r="CB187">
            <v>0</v>
          </cell>
          <cell r="CC187">
            <v>2951861</v>
          </cell>
          <cell r="CD187">
            <v>14737365</v>
          </cell>
          <cell r="CE187">
            <v>1040597</v>
          </cell>
          <cell r="CF187">
            <v>-14304</v>
          </cell>
          <cell r="CG187">
            <v>1040597</v>
          </cell>
          <cell r="CH187">
            <v>1040597</v>
          </cell>
          <cell r="CI187">
            <v>1040597</v>
          </cell>
          <cell r="CJ187">
            <v>1040597</v>
          </cell>
          <cell r="CK187">
            <v>0</v>
          </cell>
          <cell r="CL187">
            <v>0</v>
          </cell>
          <cell r="CM187">
            <v>0</v>
          </cell>
          <cell r="CN187">
            <v>0</v>
          </cell>
          <cell r="CO187">
            <v>0</v>
          </cell>
          <cell r="CP187">
            <v>0</v>
          </cell>
          <cell r="CQ187">
            <v>2001179</v>
          </cell>
          <cell r="CR187">
            <v>1944169</v>
          </cell>
          <cell r="CS187">
            <v>1902947</v>
          </cell>
          <cell r="CT187">
            <v>1844598</v>
          </cell>
          <cell r="CU187">
            <v>1797470</v>
          </cell>
          <cell r="CV187">
            <v>-6862</v>
          </cell>
          <cell r="CW187">
            <v>0</v>
          </cell>
          <cell r="CX187">
            <v>0</v>
          </cell>
          <cell r="CY187">
            <v>0</v>
          </cell>
          <cell r="CZ187">
            <v>0</v>
          </cell>
          <cell r="DA187">
            <v>0</v>
          </cell>
          <cell r="DC187">
            <v>0</v>
          </cell>
          <cell r="DD187">
            <v>0</v>
          </cell>
          <cell r="DE187">
            <v>0</v>
          </cell>
          <cell r="DF187">
            <v>0</v>
          </cell>
          <cell r="DG187">
            <v>0</v>
          </cell>
          <cell r="DH187">
            <v>0</v>
          </cell>
          <cell r="DI187">
            <v>0</v>
          </cell>
          <cell r="DJ187">
            <v>0</v>
          </cell>
          <cell r="DK187">
            <v>0</v>
          </cell>
          <cell r="DL187">
            <v>0</v>
          </cell>
        </row>
        <row r="188">
          <cell r="A188">
            <v>1598</v>
          </cell>
          <cell r="B188" t="str">
            <v>Koggenland</v>
          </cell>
          <cell r="C188">
            <v>7</v>
          </cell>
          <cell r="D188">
            <v>-53978</v>
          </cell>
          <cell r="E188">
            <v>-26989</v>
          </cell>
          <cell r="F188">
            <v>0</v>
          </cell>
          <cell r="G188">
            <v>0</v>
          </cell>
          <cell r="H188">
            <v>-2614</v>
          </cell>
          <cell r="I188">
            <v>-458</v>
          </cell>
          <cell r="K188">
            <v>0</v>
          </cell>
          <cell r="L188">
            <v>71168</v>
          </cell>
          <cell r="M188">
            <v>54828</v>
          </cell>
          <cell r="N188">
            <v>0</v>
          </cell>
          <cell r="O188">
            <v>0</v>
          </cell>
          <cell r="P188">
            <v>0</v>
          </cell>
          <cell r="Q188">
            <v>0</v>
          </cell>
          <cell r="R188">
            <v>0</v>
          </cell>
          <cell r="S188">
            <v>0</v>
          </cell>
          <cell r="T188">
            <v>0</v>
          </cell>
          <cell r="U188">
            <v>0</v>
          </cell>
          <cell r="V188">
            <v>3000</v>
          </cell>
          <cell r="W188">
            <v>84855</v>
          </cell>
          <cell r="X188">
            <v>0</v>
          </cell>
          <cell r="Z188">
            <v>0</v>
          </cell>
          <cell r="AA188">
            <v>0</v>
          </cell>
          <cell r="AB188">
            <v>0</v>
          </cell>
          <cell r="AD188">
            <v>0</v>
          </cell>
          <cell r="AE188">
            <v>0</v>
          </cell>
          <cell r="AF188">
            <v>0</v>
          </cell>
          <cell r="AG188">
            <v>0</v>
          </cell>
          <cell r="AH188">
            <v>0</v>
          </cell>
          <cell r="AI188">
            <v>0</v>
          </cell>
          <cell r="AJ188">
            <v>0</v>
          </cell>
          <cell r="AK188">
            <v>0</v>
          </cell>
          <cell r="AM188">
            <v>59627</v>
          </cell>
          <cell r="AN188">
            <v>60999</v>
          </cell>
          <cell r="AO188">
            <v>62402</v>
          </cell>
          <cell r="AP188">
            <v>63837</v>
          </cell>
          <cell r="AQ188">
            <v>65305</v>
          </cell>
          <cell r="AR188">
            <v>66807</v>
          </cell>
          <cell r="AS188">
            <v>0</v>
          </cell>
          <cell r="AT188">
            <v>0</v>
          </cell>
          <cell r="AU188">
            <v>7110</v>
          </cell>
          <cell r="AV188">
            <v>0</v>
          </cell>
          <cell r="AW188">
            <v>0</v>
          </cell>
          <cell r="AX188">
            <v>0</v>
          </cell>
          <cell r="BA188">
            <v>0</v>
          </cell>
          <cell r="BC188">
            <v>0</v>
          </cell>
          <cell r="BD188">
            <v>7906</v>
          </cell>
          <cell r="BF188">
            <v>0</v>
          </cell>
          <cell r="BG188">
            <v>0</v>
          </cell>
          <cell r="BH188">
            <v>0</v>
          </cell>
          <cell r="BI188">
            <v>25679</v>
          </cell>
          <cell r="BJ188">
            <v>21138</v>
          </cell>
          <cell r="BK188">
            <v>21138</v>
          </cell>
          <cell r="BL188">
            <v>0</v>
          </cell>
          <cell r="BM188">
            <v>0</v>
          </cell>
          <cell r="BN188">
            <v>0</v>
          </cell>
          <cell r="BO188">
            <v>58371</v>
          </cell>
          <cell r="BP188">
            <v>14232.6</v>
          </cell>
          <cell r="BQ188">
            <v>25639.534883720899</v>
          </cell>
          <cell r="BR188">
            <v>0</v>
          </cell>
          <cell r="BS188">
            <v>0</v>
          </cell>
          <cell r="BT188">
            <v>47002</v>
          </cell>
          <cell r="BY188">
            <v>0</v>
          </cell>
          <cell r="BZ188">
            <v>0</v>
          </cell>
          <cell r="CA188">
            <v>0</v>
          </cell>
          <cell r="CB188">
            <v>0</v>
          </cell>
          <cell r="CC188">
            <v>1308794</v>
          </cell>
          <cell r="CD188">
            <v>6794198</v>
          </cell>
          <cell r="CE188">
            <v>664925</v>
          </cell>
          <cell r="CF188">
            <v>0</v>
          </cell>
          <cell r="CG188">
            <v>664925</v>
          </cell>
          <cell r="CH188">
            <v>664925</v>
          </cell>
          <cell r="CI188">
            <v>664925</v>
          </cell>
          <cell r="CJ188">
            <v>664925</v>
          </cell>
          <cell r="CK188">
            <v>0</v>
          </cell>
          <cell r="CL188">
            <v>0</v>
          </cell>
          <cell r="CM188">
            <v>0</v>
          </cell>
          <cell r="CN188">
            <v>0</v>
          </cell>
          <cell r="CO188">
            <v>0</v>
          </cell>
          <cell r="CP188">
            <v>-166</v>
          </cell>
          <cell r="CQ188">
            <v>822881</v>
          </cell>
          <cell r="CR188">
            <v>812308</v>
          </cell>
          <cell r="CS188">
            <v>790463</v>
          </cell>
          <cell r="CT188">
            <v>778716</v>
          </cell>
          <cell r="CU188">
            <v>788869</v>
          </cell>
          <cell r="CV188">
            <v>45288</v>
          </cell>
          <cell r="CW188">
            <v>0</v>
          </cell>
          <cell r="CX188">
            <v>0</v>
          </cell>
          <cell r="CY188">
            <v>0</v>
          </cell>
          <cell r="CZ188">
            <v>0</v>
          </cell>
          <cell r="DA188">
            <v>0</v>
          </cell>
          <cell r="DC188">
            <v>0</v>
          </cell>
          <cell r="DD188">
            <v>0</v>
          </cell>
          <cell r="DE188">
            <v>0</v>
          </cell>
          <cell r="DF188">
            <v>0</v>
          </cell>
          <cell r="DG188">
            <v>0</v>
          </cell>
          <cell r="DH188">
            <v>0</v>
          </cell>
          <cell r="DI188">
            <v>0</v>
          </cell>
          <cell r="DJ188">
            <v>0</v>
          </cell>
          <cell r="DK188">
            <v>0</v>
          </cell>
          <cell r="DL188">
            <v>0</v>
          </cell>
        </row>
        <row r="189">
          <cell r="A189">
            <v>415</v>
          </cell>
          <cell r="B189" t="str">
            <v>Landsmeer</v>
          </cell>
          <cell r="C189">
            <v>7</v>
          </cell>
          <cell r="D189">
            <v>20370</v>
          </cell>
          <cell r="E189">
            <v>10185</v>
          </cell>
          <cell r="F189">
            <v>0</v>
          </cell>
          <cell r="G189">
            <v>0</v>
          </cell>
          <cell r="H189">
            <v>0</v>
          </cell>
          <cell r="I189">
            <v>-5530</v>
          </cell>
          <cell r="K189">
            <v>0</v>
          </cell>
          <cell r="L189">
            <v>32172</v>
          </cell>
          <cell r="M189">
            <v>28497</v>
          </cell>
          <cell r="N189">
            <v>0</v>
          </cell>
          <cell r="O189">
            <v>0</v>
          </cell>
          <cell r="P189">
            <v>0</v>
          </cell>
          <cell r="Q189">
            <v>0</v>
          </cell>
          <cell r="R189">
            <v>0</v>
          </cell>
          <cell r="S189">
            <v>0</v>
          </cell>
          <cell r="T189">
            <v>0</v>
          </cell>
          <cell r="U189">
            <v>0</v>
          </cell>
          <cell r="V189">
            <v>0</v>
          </cell>
          <cell r="W189">
            <v>17981</v>
          </cell>
          <cell r="X189">
            <v>0</v>
          </cell>
          <cell r="Z189">
            <v>0</v>
          </cell>
          <cell r="AA189">
            <v>0</v>
          </cell>
          <cell r="AB189">
            <v>0</v>
          </cell>
          <cell r="AD189">
            <v>0</v>
          </cell>
          <cell r="AE189">
            <v>0</v>
          </cell>
          <cell r="AF189">
            <v>0</v>
          </cell>
          <cell r="AG189">
            <v>0</v>
          </cell>
          <cell r="AH189">
            <v>0</v>
          </cell>
          <cell r="AI189">
            <v>0</v>
          </cell>
          <cell r="AJ189">
            <v>0</v>
          </cell>
          <cell r="AK189">
            <v>0</v>
          </cell>
          <cell r="AM189">
            <v>22227</v>
          </cell>
          <cell r="AN189">
            <v>22738</v>
          </cell>
          <cell r="AO189">
            <v>23261</v>
          </cell>
          <cell r="AP189">
            <v>23796</v>
          </cell>
          <cell r="AQ189">
            <v>24344</v>
          </cell>
          <cell r="AR189">
            <v>24904</v>
          </cell>
          <cell r="AS189">
            <v>0</v>
          </cell>
          <cell r="AT189">
            <v>0</v>
          </cell>
          <cell r="AU189">
            <v>0</v>
          </cell>
          <cell r="AV189">
            <v>0</v>
          </cell>
          <cell r="AW189">
            <v>0</v>
          </cell>
          <cell r="AX189">
            <v>0</v>
          </cell>
          <cell r="BA189">
            <v>0</v>
          </cell>
          <cell r="BC189">
            <v>0</v>
          </cell>
          <cell r="BD189">
            <v>3958</v>
          </cell>
          <cell r="BF189">
            <v>0</v>
          </cell>
          <cell r="BG189">
            <v>0</v>
          </cell>
          <cell r="BH189">
            <v>0</v>
          </cell>
          <cell r="BI189">
            <v>11001</v>
          </cell>
          <cell r="BJ189">
            <v>9055</v>
          </cell>
          <cell r="BK189">
            <v>9055</v>
          </cell>
          <cell r="BL189">
            <v>0</v>
          </cell>
          <cell r="BM189">
            <v>0</v>
          </cell>
          <cell r="BN189">
            <v>0</v>
          </cell>
          <cell r="BO189">
            <v>26267</v>
          </cell>
          <cell r="BP189">
            <v>0</v>
          </cell>
          <cell r="BQ189">
            <v>0</v>
          </cell>
          <cell r="BR189">
            <v>0</v>
          </cell>
          <cell r="BS189">
            <v>0</v>
          </cell>
          <cell r="BT189">
            <v>19501</v>
          </cell>
          <cell r="BY189">
            <v>0</v>
          </cell>
          <cell r="BZ189">
            <v>0</v>
          </cell>
          <cell r="CA189">
            <v>0</v>
          </cell>
          <cell r="CB189">
            <v>0</v>
          </cell>
          <cell r="CC189">
            <v>695621</v>
          </cell>
          <cell r="CD189">
            <v>2886394</v>
          </cell>
          <cell r="CE189">
            <v>233554</v>
          </cell>
          <cell r="CF189">
            <v>0</v>
          </cell>
          <cell r="CG189">
            <v>233554</v>
          </cell>
          <cell r="CH189">
            <v>233554</v>
          </cell>
          <cell r="CI189">
            <v>233554</v>
          </cell>
          <cell r="CJ189">
            <v>233554</v>
          </cell>
          <cell r="CK189">
            <v>0</v>
          </cell>
          <cell r="CL189">
            <v>0</v>
          </cell>
          <cell r="CM189">
            <v>0</v>
          </cell>
          <cell r="CN189">
            <v>0</v>
          </cell>
          <cell r="CO189">
            <v>0</v>
          </cell>
          <cell r="CP189">
            <v>-1928</v>
          </cell>
          <cell r="CQ189">
            <v>241077</v>
          </cell>
          <cell r="CR189">
            <v>240807</v>
          </cell>
          <cell r="CS189">
            <v>241872</v>
          </cell>
          <cell r="CT189">
            <v>236173</v>
          </cell>
          <cell r="CU189">
            <v>236701</v>
          </cell>
          <cell r="CV189">
            <v>32259</v>
          </cell>
          <cell r="CW189">
            <v>0</v>
          </cell>
          <cell r="CX189">
            <v>0</v>
          </cell>
          <cell r="CY189">
            <v>0</v>
          </cell>
          <cell r="CZ189">
            <v>0</v>
          </cell>
          <cell r="DA189">
            <v>0</v>
          </cell>
          <cell r="DC189">
            <v>0</v>
          </cell>
          <cell r="DD189">
            <v>0</v>
          </cell>
          <cell r="DE189">
            <v>0</v>
          </cell>
          <cell r="DF189">
            <v>0</v>
          </cell>
          <cell r="DG189">
            <v>0</v>
          </cell>
          <cell r="DH189">
            <v>0</v>
          </cell>
          <cell r="DI189">
            <v>0</v>
          </cell>
          <cell r="DJ189">
            <v>0</v>
          </cell>
          <cell r="DK189">
            <v>0</v>
          </cell>
          <cell r="DL189">
            <v>0</v>
          </cell>
        </row>
        <row r="190">
          <cell r="A190">
            <v>416</v>
          </cell>
          <cell r="B190" t="str">
            <v>Langedijk</v>
          </cell>
          <cell r="C190">
            <v>7</v>
          </cell>
          <cell r="D190">
            <v>-23342</v>
          </cell>
          <cell r="E190">
            <v>-11671</v>
          </cell>
          <cell r="F190">
            <v>0</v>
          </cell>
          <cell r="G190">
            <v>0</v>
          </cell>
          <cell r="H190">
            <v>-3842</v>
          </cell>
          <cell r="I190">
            <v>0</v>
          </cell>
          <cell r="K190">
            <v>0</v>
          </cell>
          <cell r="L190">
            <v>111518</v>
          </cell>
          <cell r="M190">
            <v>102538</v>
          </cell>
          <cell r="N190">
            <v>0</v>
          </cell>
          <cell r="O190">
            <v>0</v>
          </cell>
          <cell r="P190">
            <v>0</v>
          </cell>
          <cell r="Q190">
            <v>0</v>
          </cell>
          <cell r="R190">
            <v>0</v>
          </cell>
          <cell r="S190">
            <v>0</v>
          </cell>
          <cell r="T190">
            <v>0</v>
          </cell>
          <cell r="U190">
            <v>0</v>
          </cell>
          <cell r="V190">
            <v>6000</v>
          </cell>
          <cell r="W190">
            <v>117793</v>
          </cell>
          <cell r="X190">
            <v>0</v>
          </cell>
          <cell r="Z190">
            <v>0</v>
          </cell>
          <cell r="AA190">
            <v>0</v>
          </cell>
          <cell r="AB190">
            <v>0</v>
          </cell>
          <cell r="AD190">
            <v>0</v>
          </cell>
          <cell r="AE190">
            <v>0</v>
          </cell>
          <cell r="AF190">
            <v>0</v>
          </cell>
          <cell r="AG190">
            <v>0</v>
          </cell>
          <cell r="AH190">
            <v>0</v>
          </cell>
          <cell r="AI190">
            <v>0</v>
          </cell>
          <cell r="AJ190">
            <v>0</v>
          </cell>
          <cell r="AK190">
            <v>0</v>
          </cell>
          <cell r="AM190">
            <v>0</v>
          </cell>
          <cell r="AN190">
            <v>0</v>
          </cell>
          <cell r="AO190">
            <v>0</v>
          </cell>
          <cell r="AP190">
            <v>0</v>
          </cell>
          <cell r="AQ190">
            <v>0</v>
          </cell>
          <cell r="AR190">
            <v>0</v>
          </cell>
          <cell r="AS190">
            <v>0</v>
          </cell>
          <cell r="AT190">
            <v>0</v>
          </cell>
          <cell r="AU190">
            <v>4740</v>
          </cell>
          <cell r="AV190">
            <v>0</v>
          </cell>
          <cell r="AW190">
            <v>0</v>
          </cell>
          <cell r="AX190">
            <v>0</v>
          </cell>
          <cell r="BA190">
            <v>0</v>
          </cell>
          <cell r="BC190">
            <v>0</v>
          </cell>
          <cell r="BD190">
            <v>9691</v>
          </cell>
          <cell r="BF190">
            <v>0</v>
          </cell>
          <cell r="BG190">
            <v>0</v>
          </cell>
          <cell r="BH190">
            <v>0</v>
          </cell>
          <cell r="BI190">
            <v>29193</v>
          </cell>
          <cell r="BJ190">
            <v>24030</v>
          </cell>
          <cell r="BK190">
            <v>24030</v>
          </cell>
          <cell r="BL190">
            <v>0</v>
          </cell>
          <cell r="BM190">
            <v>0</v>
          </cell>
          <cell r="BN190">
            <v>0</v>
          </cell>
          <cell r="BO190">
            <v>51561</v>
          </cell>
          <cell r="BP190">
            <v>18976.8</v>
          </cell>
          <cell r="BQ190">
            <v>34186.046511627901</v>
          </cell>
          <cell r="BR190">
            <v>0</v>
          </cell>
          <cell r="BS190">
            <v>0</v>
          </cell>
          <cell r="BT190">
            <v>44680</v>
          </cell>
          <cell r="BY190">
            <v>0</v>
          </cell>
          <cell r="BZ190">
            <v>0</v>
          </cell>
          <cell r="CA190">
            <v>0</v>
          </cell>
          <cell r="CB190">
            <v>0</v>
          </cell>
          <cell r="CC190">
            <v>1638790</v>
          </cell>
          <cell r="CD190">
            <v>10262945</v>
          </cell>
          <cell r="CE190">
            <v>931067</v>
          </cell>
          <cell r="CF190">
            <v>0</v>
          </cell>
          <cell r="CG190">
            <v>931067</v>
          </cell>
          <cell r="CH190">
            <v>931067</v>
          </cell>
          <cell r="CI190">
            <v>931067</v>
          </cell>
          <cell r="CJ190">
            <v>931067</v>
          </cell>
          <cell r="CK190">
            <v>0</v>
          </cell>
          <cell r="CL190">
            <v>0</v>
          </cell>
          <cell r="CM190">
            <v>0</v>
          </cell>
          <cell r="CN190">
            <v>0</v>
          </cell>
          <cell r="CO190">
            <v>0</v>
          </cell>
          <cell r="CP190">
            <v>0</v>
          </cell>
          <cell r="CQ190">
            <v>1508830</v>
          </cell>
          <cell r="CR190">
            <v>1471971</v>
          </cell>
          <cell r="CS190">
            <v>1457793</v>
          </cell>
          <cell r="CT190">
            <v>1451668</v>
          </cell>
          <cell r="CU190">
            <v>1446488</v>
          </cell>
          <cell r="CV190">
            <v>63421</v>
          </cell>
          <cell r="CW190">
            <v>0</v>
          </cell>
          <cell r="CX190">
            <v>0</v>
          </cell>
          <cell r="CY190">
            <v>0</v>
          </cell>
          <cell r="CZ190">
            <v>0</v>
          </cell>
          <cell r="DA190">
            <v>0</v>
          </cell>
          <cell r="DC190">
            <v>0</v>
          </cell>
          <cell r="DD190">
            <v>0</v>
          </cell>
          <cell r="DE190">
            <v>0</v>
          </cell>
          <cell r="DF190">
            <v>0</v>
          </cell>
          <cell r="DG190">
            <v>0</v>
          </cell>
          <cell r="DH190">
            <v>0</v>
          </cell>
          <cell r="DI190">
            <v>0</v>
          </cell>
          <cell r="DJ190">
            <v>0</v>
          </cell>
          <cell r="DK190">
            <v>0</v>
          </cell>
          <cell r="DL190">
            <v>0</v>
          </cell>
        </row>
        <row r="191">
          <cell r="A191">
            <v>417</v>
          </cell>
          <cell r="B191" t="str">
            <v>Laren</v>
          </cell>
          <cell r="C191">
            <v>7</v>
          </cell>
          <cell r="D191">
            <v>-25967</v>
          </cell>
          <cell r="E191">
            <v>-12984</v>
          </cell>
          <cell r="F191">
            <v>0</v>
          </cell>
          <cell r="G191">
            <v>0</v>
          </cell>
          <cell r="H191">
            <v>0</v>
          </cell>
          <cell r="I191">
            <v>-2369</v>
          </cell>
          <cell r="K191">
            <v>0</v>
          </cell>
          <cell r="L191">
            <v>41782</v>
          </cell>
          <cell r="M191">
            <v>39996</v>
          </cell>
          <cell r="N191">
            <v>0</v>
          </cell>
          <cell r="O191">
            <v>0</v>
          </cell>
          <cell r="P191">
            <v>0</v>
          </cell>
          <cell r="Q191">
            <v>0</v>
          </cell>
          <cell r="R191">
            <v>0</v>
          </cell>
          <cell r="S191">
            <v>0</v>
          </cell>
          <cell r="T191">
            <v>0</v>
          </cell>
          <cell r="U191">
            <v>0</v>
          </cell>
          <cell r="V191">
            <v>0</v>
          </cell>
          <cell r="W191">
            <v>23032</v>
          </cell>
          <cell r="X191">
            <v>0</v>
          </cell>
          <cell r="Z191">
            <v>0</v>
          </cell>
          <cell r="AA191">
            <v>0</v>
          </cell>
          <cell r="AB191">
            <v>0</v>
          </cell>
          <cell r="AD191">
            <v>0</v>
          </cell>
          <cell r="AE191">
            <v>0</v>
          </cell>
          <cell r="AF191">
            <v>0</v>
          </cell>
          <cell r="AG191">
            <v>0</v>
          </cell>
          <cell r="AH191">
            <v>0</v>
          </cell>
          <cell r="AI191">
            <v>0</v>
          </cell>
          <cell r="AJ191">
            <v>0</v>
          </cell>
          <cell r="AK191">
            <v>0</v>
          </cell>
          <cell r="AM191">
            <v>0</v>
          </cell>
          <cell r="AN191">
            <v>0</v>
          </cell>
          <cell r="AO191">
            <v>0</v>
          </cell>
          <cell r="AP191">
            <v>0</v>
          </cell>
          <cell r="AQ191">
            <v>0</v>
          </cell>
          <cell r="AR191">
            <v>0</v>
          </cell>
          <cell r="AS191">
            <v>0</v>
          </cell>
          <cell r="AT191">
            <v>0</v>
          </cell>
          <cell r="AU191">
            <v>2370</v>
          </cell>
          <cell r="AV191">
            <v>0</v>
          </cell>
          <cell r="AW191">
            <v>0</v>
          </cell>
          <cell r="AX191">
            <v>0</v>
          </cell>
          <cell r="BA191">
            <v>0</v>
          </cell>
          <cell r="BC191">
            <v>0</v>
          </cell>
          <cell r="BD191">
            <v>3892</v>
          </cell>
          <cell r="BF191">
            <v>0</v>
          </cell>
          <cell r="BG191">
            <v>0</v>
          </cell>
          <cell r="BH191">
            <v>0</v>
          </cell>
          <cell r="BI191">
            <v>12833</v>
          </cell>
          <cell r="BJ191">
            <v>10563</v>
          </cell>
          <cell r="BK191">
            <v>10563</v>
          </cell>
          <cell r="BL191">
            <v>0</v>
          </cell>
          <cell r="BM191">
            <v>0</v>
          </cell>
          <cell r="BN191">
            <v>0</v>
          </cell>
          <cell r="BO191">
            <v>0</v>
          </cell>
          <cell r="BP191">
            <v>11069.8</v>
          </cell>
          <cell r="BQ191">
            <v>19941.8604651163</v>
          </cell>
          <cell r="BR191">
            <v>0</v>
          </cell>
          <cell r="BS191">
            <v>0</v>
          </cell>
          <cell r="BT191">
            <v>14040</v>
          </cell>
          <cell r="BY191">
            <v>0</v>
          </cell>
          <cell r="BZ191">
            <v>0</v>
          </cell>
          <cell r="CA191">
            <v>0</v>
          </cell>
          <cell r="CB191">
            <v>0</v>
          </cell>
          <cell r="CC191">
            <v>731707</v>
          </cell>
          <cell r="CD191">
            <v>2781832</v>
          </cell>
          <cell r="CE191">
            <v>71405</v>
          </cell>
          <cell r="CF191">
            <v>-2511</v>
          </cell>
          <cell r="CG191">
            <v>71405</v>
          </cell>
          <cell r="CH191">
            <v>71405</v>
          </cell>
          <cell r="CI191">
            <v>71405</v>
          </cell>
          <cell r="CJ191">
            <v>71405</v>
          </cell>
          <cell r="CK191">
            <v>0</v>
          </cell>
          <cell r="CL191">
            <v>0</v>
          </cell>
          <cell r="CM191">
            <v>0</v>
          </cell>
          <cell r="CN191">
            <v>0</v>
          </cell>
          <cell r="CO191">
            <v>0</v>
          </cell>
          <cell r="CP191">
            <v>-481</v>
          </cell>
          <cell r="CQ191">
            <v>319038</v>
          </cell>
          <cell r="CR191">
            <v>311005</v>
          </cell>
          <cell r="CS191">
            <v>309452</v>
          </cell>
          <cell r="CT191">
            <v>299972</v>
          </cell>
          <cell r="CU191">
            <v>269189</v>
          </cell>
          <cell r="CV191">
            <v>3611</v>
          </cell>
          <cell r="CW191">
            <v>0</v>
          </cell>
          <cell r="CX191">
            <v>0</v>
          </cell>
          <cell r="CY191">
            <v>0</v>
          </cell>
          <cell r="CZ191">
            <v>0</v>
          </cell>
          <cell r="DA191">
            <v>0</v>
          </cell>
          <cell r="DC191">
            <v>0</v>
          </cell>
          <cell r="DD191">
            <v>0</v>
          </cell>
          <cell r="DE191">
            <v>0</v>
          </cell>
          <cell r="DF191">
            <v>0</v>
          </cell>
          <cell r="DG191">
            <v>0</v>
          </cell>
          <cell r="DH191">
            <v>0</v>
          </cell>
          <cell r="DI191">
            <v>0</v>
          </cell>
          <cell r="DJ191">
            <v>0</v>
          </cell>
          <cell r="DK191">
            <v>0</v>
          </cell>
          <cell r="DL191">
            <v>0</v>
          </cell>
        </row>
        <row r="192">
          <cell r="A192">
            <v>420</v>
          </cell>
          <cell r="B192" t="str">
            <v>Medemblik</v>
          </cell>
          <cell r="C192">
            <v>7</v>
          </cell>
          <cell r="D192">
            <v>-34601</v>
          </cell>
          <cell r="E192">
            <v>-17301</v>
          </cell>
          <cell r="F192">
            <v>0</v>
          </cell>
          <cell r="G192">
            <v>0</v>
          </cell>
          <cell r="H192">
            <v>-67561</v>
          </cell>
          <cell r="I192">
            <v>-46268</v>
          </cell>
          <cell r="K192">
            <v>0</v>
          </cell>
          <cell r="L192">
            <v>164760</v>
          </cell>
          <cell r="M192">
            <v>145153</v>
          </cell>
          <cell r="N192">
            <v>0</v>
          </cell>
          <cell r="O192">
            <v>0</v>
          </cell>
          <cell r="P192">
            <v>0</v>
          </cell>
          <cell r="Q192">
            <v>0</v>
          </cell>
          <cell r="R192">
            <v>0</v>
          </cell>
          <cell r="S192">
            <v>0</v>
          </cell>
          <cell r="T192">
            <v>0</v>
          </cell>
          <cell r="U192">
            <v>0</v>
          </cell>
          <cell r="V192">
            <v>24000</v>
          </cell>
          <cell r="W192">
            <v>180772</v>
          </cell>
          <cell r="X192">
            <v>0</v>
          </cell>
          <cell r="Z192">
            <v>0</v>
          </cell>
          <cell r="AA192">
            <v>0</v>
          </cell>
          <cell r="AB192">
            <v>0</v>
          </cell>
          <cell r="AD192">
            <v>0</v>
          </cell>
          <cell r="AE192">
            <v>0</v>
          </cell>
          <cell r="AF192">
            <v>0</v>
          </cell>
          <cell r="AG192">
            <v>0</v>
          </cell>
          <cell r="AH192">
            <v>0</v>
          </cell>
          <cell r="AI192">
            <v>0</v>
          </cell>
          <cell r="AJ192">
            <v>0</v>
          </cell>
          <cell r="AK192">
            <v>0</v>
          </cell>
          <cell r="AM192">
            <v>100151</v>
          </cell>
          <cell r="AN192">
            <v>102455</v>
          </cell>
          <cell r="AO192">
            <v>104812</v>
          </cell>
          <cell r="AP192">
            <v>107222</v>
          </cell>
          <cell r="AQ192">
            <v>109688</v>
          </cell>
          <cell r="AR192">
            <v>112211</v>
          </cell>
          <cell r="AS192">
            <v>0</v>
          </cell>
          <cell r="AT192">
            <v>0</v>
          </cell>
          <cell r="AU192">
            <v>9480</v>
          </cell>
          <cell r="AV192">
            <v>0</v>
          </cell>
          <cell r="AW192">
            <v>0</v>
          </cell>
          <cell r="AX192">
            <v>0</v>
          </cell>
          <cell r="BA192">
            <v>0</v>
          </cell>
          <cell r="BC192">
            <v>0</v>
          </cell>
          <cell r="BD192">
            <v>15466</v>
          </cell>
          <cell r="BF192">
            <v>0</v>
          </cell>
          <cell r="BG192">
            <v>0</v>
          </cell>
          <cell r="BH192">
            <v>0</v>
          </cell>
          <cell r="BI192">
            <v>58938</v>
          </cell>
          <cell r="BJ192">
            <v>48515</v>
          </cell>
          <cell r="BK192">
            <v>48515</v>
          </cell>
          <cell r="BL192">
            <v>0</v>
          </cell>
          <cell r="BM192">
            <v>0</v>
          </cell>
          <cell r="BN192">
            <v>0</v>
          </cell>
          <cell r="BO192">
            <v>116256</v>
          </cell>
          <cell r="BP192">
            <v>98046.8</v>
          </cell>
          <cell r="BQ192">
            <v>176627.90697674401</v>
          </cell>
          <cell r="BR192">
            <v>0</v>
          </cell>
          <cell r="BS192">
            <v>0</v>
          </cell>
          <cell r="BT192">
            <v>82127</v>
          </cell>
          <cell r="BY192">
            <v>0</v>
          </cell>
          <cell r="BZ192">
            <v>0</v>
          </cell>
          <cell r="CA192">
            <v>0</v>
          </cell>
          <cell r="CB192">
            <v>0</v>
          </cell>
          <cell r="CC192">
            <v>2989100</v>
          </cell>
          <cell r="CD192">
            <v>18212143</v>
          </cell>
          <cell r="CE192">
            <v>1957576</v>
          </cell>
          <cell r="CF192">
            <v>-72613</v>
          </cell>
          <cell r="CG192">
            <v>1957576</v>
          </cell>
          <cell r="CH192">
            <v>1957576</v>
          </cell>
          <cell r="CI192">
            <v>1957576</v>
          </cell>
          <cell r="CJ192">
            <v>1957576</v>
          </cell>
          <cell r="CK192">
            <v>0</v>
          </cell>
          <cell r="CL192">
            <v>0</v>
          </cell>
          <cell r="CM192">
            <v>0</v>
          </cell>
          <cell r="CN192">
            <v>0</v>
          </cell>
          <cell r="CO192">
            <v>0</v>
          </cell>
          <cell r="CP192">
            <v>-5757</v>
          </cell>
          <cell r="CQ192">
            <v>2557683</v>
          </cell>
          <cell r="CR192">
            <v>2457873</v>
          </cell>
          <cell r="CS192">
            <v>2453631</v>
          </cell>
          <cell r="CT192">
            <v>2405647</v>
          </cell>
          <cell r="CU192">
            <v>2354990</v>
          </cell>
          <cell r="CV192">
            <v>-408</v>
          </cell>
          <cell r="CW192">
            <v>0</v>
          </cell>
          <cell r="CX192">
            <v>0</v>
          </cell>
          <cell r="CY192">
            <v>0</v>
          </cell>
          <cell r="CZ192">
            <v>0</v>
          </cell>
          <cell r="DA192">
            <v>0</v>
          </cell>
          <cell r="DC192">
            <v>0</v>
          </cell>
          <cell r="DD192">
            <v>0</v>
          </cell>
          <cell r="DE192">
            <v>0</v>
          </cell>
          <cell r="DF192">
            <v>0</v>
          </cell>
          <cell r="DG192">
            <v>0</v>
          </cell>
          <cell r="DH192">
            <v>0</v>
          </cell>
          <cell r="DI192">
            <v>0</v>
          </cell>
          <cell r="DJ192">
            <v>0</v>
          </cell>
          <cell r="DK192">
            <v>0</v>
          </cell>
          <cell r="DL192">
            <v>0</v>
          </cell>
        </row>
        <row r="193">
          <cell r="A193">
            <v>431</v>
          </cell>
          <cell r="B193" t="str">
            <v>Oostzaan</v>
          </cell>
          <cell r="C193">
            <v>7</v>
          </cell>
          <cell r="D193">
            <v>4977</v>
          </cell>
          <cell r="E193">
            <v>2489</v>
          </cell>
          <cell r="F193">
            <v>0</v>
          </cell>
          <cell r="G193">
            <v>0</v>
          </cell>
          <cell r="H193">
            <v>-7150</v>
          </cell>
          <cell r="I193">
            <v>-10177</v>
          </cell>
          <cell r="K193">
            <v>0</v>
          </cell>
          <cell r="L193">
            <v>24353</v>
          </cell>
          <cell r="M193">
            <v>22712</v>
          </cell>
          <cell r="N193">
            <v>0</v>
          </cell>
          <cell r="O193">
            <v>0</v>
          </cell>
          <cell r="P193">
            <v>0</v>
          </cell>
          <cell r="Q193">
            <v>0</v>
          </cell>
          <cell r="R193">
            <v>0</v>
          </cell>
          <cell r="S193">
            <v>0</v>
          </cell>
          <cell r="T193">
            <v>0</v>
          </cell>
          <cell r="U193">
            <v>0</v>
          </cell>
          <cell r="V193">
            <v>0</v>
          </cell>
          <cell r="W193">
            <v>29093</v>
          </cell>
          <cell r="X193">
            <v>0</v>
          </cell>
          <cell r="Z193">
            <v>0</v>
          </cell>
          <cell r="AA193">
            <v>0</v>
          </cell>
          <cell r="AB193">
            <v>0</v>
          </cell>
          <cell r="AD193">
            <v>0</v>
          </cell>
          <cell r="AE193">
            <v>0</v>
          </cell>
          <cell r="AF193">
            <v>0</v>
          </cell>
          <cell r="AG193">
            <v>0</v>
          </cell>
          <cell r="AH193">
            <v>0</v>
          </cell>
          <cell r="AI193">
            <v>0</v>
          </cell>
          <cell r="AJ193">
            <v>0</v>
          </cell>
          <cell r="AK193">
            <v>0</v>
          </cell>
          <cell r="AM193">
            <v>12870</v>
          </cell>
          <cell r="AN193">
            <v>13166</v>
          </cell>
          <cell r="AO193">
            <v>13469</v>
          </cell>
          <cell r="AP193">
            <v>13779</v>
          </cell>
          <cell r="AQ193">
            <v>14096</v>
          </cell>
          <cell r="AR193">
            <v>14420</v>
          </cell>
          <cell r="AS193">
            <v>0</v>
          </cell>
          <cell r="AT193">
            <v>0</v>
          </cell>
          <cell r="AU193">
            <v>0</v>
          </cell>
          <cell r="AV193">
            <v>0</v>
          </cell>
          <cell r="AW193">
            <v>0</v>
          </cell>
          <cell r="AX193">
            <v>0</v>
          </cell>
          <cell r="BA193">
            <v>0</v>
          </cell>
          <cell r="BC193">
            <v>0</v>
          </cell>
          <cell r="BD193">
            <v>3388</v>
          </cell>
          <cell r="BF193">
            <v>0</v>
          </cell>
          <cell r="BG193">
            <v>0</v>
          </cell>
          <cell r="BH193">
            <v>0</v>
          </cell>
          <cell r="BI193">
            <v>11022</v>
          </cell>
          <cell r="BJ193">
            <v>9072</v>
          </cell>
          <cell r="BK193">
            <v>9072</v>
          </cell>
          <cell r="BL193">
            <v>0</v>
          </cell>
          <cell r="BM193">
            <v>0</v>
          </cell>
          <cell r="BN193">
            <v>0</v>
          </cell>
          <cell r="BO193">
            <v>29672</v>
          </cell>
          <cell r="BP193">
            <v>4744.2</v>
          </cell>
          <cell r="BQ193">
            <v>8546.5116279069807</v>
          </cell>
          <cell r="BR193">
            <v>0</v>
          </cell>
          <cell r="BS193">
            <v>0</v>
          </cell>
          <cell r="BT193">
            <v>14855</v>
          </cell>
          <cell r="BY193">
            <v>0</v>
          </cell>
          <cell r="BZ193">
            <v>0</v>
          </cell>
          <cell r="CA193">
            <v>0</v>
          </cell>
          <cell r="CB193">
            <v>0</v>
          </cell>
          <cell r="CC193">
            <v>598841</v>
          </cell>
          <cell r="CD193">
            <v>2381841</v>
          </cell>
          <cell r="CE193">
            <v>119697</v>
          </cell>
          <cell r="CF193">
            <v>-6867</v>
          </cell>
          <cell r="CG193">
            <v>119697</v>
          </cell>
          <cell r="CH193">
            <v>119697</v>
          </cell>
          <cell r="CI193">
            <v>119697</v>
          </cell>
          <cell r="CJ193">
            <v>119697</v>
          </cell>
          <cell r="CK193">
            <v>0</v>
          </cell>
          <cell r="CL193">
            <v>0</v>
          </cell>
          <cell r="CM193">
            <v>0</v>
          </cell>
          <cell r="CN193">
            <v>0</v>
          </cell>
          <cell r="CO193">
            <v>0</v>
          </cell>
          <cell r="CP193">
            <v>-2631</v>
          </cell>
          <cell r="CQ193">
            <v>218354</v>
          </cell>
          <cell r="CR193">
            <v>215285</v>
          </cell>
          <cell r="CS193">
            <v>204006</v>
          </cell>
          <cell r="CT193">
            <v>201089</v>
          </cell>
          <cell r="CU193">
            <v>203167</v>
          </cell>
          <cell r="CV193">
            <v>23171</v>
          </cell>
          <cell r="CW193">
            <v>0</v>
          </cell>
          <cell r="CX193">
            <v>0</v>
          </cell>
          <cell r="CY193">
            <v>0</v>
          </cell>
          <cell r="CZ193">
            <v>0</v>
          </cell>
          <cell r="DA193">
            <v>0</v>
          </cell>
          <cell r="DC193">
            <v>0</v>
          </cell>
          <cell r="DD193">
            <v>0</v>
          </cell>
          <cell r="DE193">
            <v>0</v>
          </cell>
          <cell r="DF193">
            <v>0</v>
          </cell>
          <cell r="DG193">
            <v>0</v>
          </cell>
          <cell r="DH193">
            <v>0</v>
          </cell>
          <cell r="DI193">
            <v>0</v>
          </cell>
          <cell r="DJ193">
            <v>0</v>
          </cell>
          <cell r="DK193">
            <v>0</v>
          </cell>
          <cell r="DL193">
            <v>0</v>
          </cell>
        </row>
        <row r="194">
          <cell r="A194">
            <v>432</v>
          </cell>
          <cell r="B194" t="str">
            <v>Opmeer</v>
          </cell>
          <cell r="C194">
            <v>7</v>
          </cell>
          <cell r="D194">
            <v>-8981</v>
          </cell>
          <cell r="E194">
            <v>-4490</v>
          </cell>
          <cell r="F194">
            <v>0</v>
          </cell>
          <cell r="G194">
            <v>0</v>
          </cell>
          <cell r="H194">
            <v>-2374</v>
          </cell>
          <cell r="I194">
            <v>0</v>
          </cell>
          <cell r="K194">
            <v>0</v>
          </cell>
          <cell r="L194">
            <v>31993</v>
          </cell>
          <cell r="M194">
            <v>34854</v>
          </cell>
          <cell r="N194">
            <v>0</v>
          </cell>
          <cell r="O194">
            <v>0</v>
          </cell>
          <cell r="P194">
            <v>0</v>
          </cell>
          <cell r="Q194">
            <v>0</v>
          </cell>
          <cell r="R194">
            <v>0</v>
          </cell>
          <cell r="S194">
            <v>0</v>
          </cell>
          <cell r="T194">
            <v>0</v>
          </cell>
          <cell r="U194">
            <v>0</v>
          </cell>
          <cell r="V194">
            <v>6000</v>
          </cell>
          <cell r="W194">
            <v>46468</v>
          </cell>
          <cell r="X194">
            <v>0</v>
          </cell>
          <cell r="Z194">
            <v>0</v>
          </cell>
          <cell r="AA194">
            <v>0</v>
          </cell>
          <cell r="AB194">
            <v>0</v>
          </cell>
          <cell r="AD194">
            <v>0</v>
          </cell>
          <cell r="AE194">
            <v>0</v>
          </cell>
          <cell r="AF194">
            <v>0</v>
          </cell>
          <cell r="AG194">
            <v>0</v>
          </cell>
          <cell r="AH194">
            <v>0</v>
          </cell>
          <cell r="AI194">
            <v>0</v>
          </cell>
          <cell r="AJ194">
            <v>0</v>
          </cell>
          <cell r="AK194">
            <v>0</v>
          </cell>
          <cell r="AM194">
            <v>30909</v>
          </cell>
          <cell r="AN194">
            <v>31620</v>
          </cell>
          <cell r="AO194">
            <v>32347</v>
          </cell>
          <cell r="AP194">
            <v>33091</v>
          </cell>
          <cell r="AQ194">
            <v>33852</v>
          </cell>
          <cell r="AR194">
            <v>34631</v>
          </cell>
          <cell r="AS194">
            <v>0</v>
          </cell>
          <cell r="AT194">
            <v>0</v>
          </cell>
          <cell r="AU194">
            <v>0</v>
          </cell>
          <cell r="AV194">
            <v>0</v>
          </cell>
          <cell r="AW194">
            <v>0</v>
          </cell>
          <cell r="AX194">
            <v>0</v>
          </cell>
          <cell r="BA194">
            <v>0</v>
          </cell>
          <cell r="BC194">
            <v>0</v>
          </cell>
          <cell r="BD194">
            <v>4009</v>
          </cell>
          <cell r="BF194">
            <v>0</v>
          </cell>
          <cell r="BG194">
            <v>0</v>
          </cell>
          <cell r="BH194">
            <v>0</v>
          </cell>
          <cell r="BI194">
            <v>14431</v>
          </cell>
          <cell r="BJ194">
            <v>11879</v>
          </cell>
          <cell r="BK194">
            <v>11879</v>
          </cell>
          <cell r="BL194">
            <v>0</v>
          </cell>
          <cell r="BM194">
            <v>0</v>
          </cell>
          <cell r="BN194">
            <v>0</v>
          </cell>
          <cell r="BO194">
            <v>0</v>
          </cell>
          <cell r="BP194">
            <v>0</v>
          </cell>
          <cell r="BQ194">
            <v>0</v>
          </cell>
          <cell r="BR194">
            <v>0</v>
          </cell>
          <cell r="BS194">
            <v>0</v>
          </cell>
          <cell r="BT194">
            <v>21168</v>
          </cell>
          <cell r="BY194">
            <v>0</v>
          </cell>
          <cell r="BZ194">
            <v>0</v>
          </cell>
          <cell r="CA194">
            <v>0</v>
          </cell>
          <cell r="CB194">
            <v>0</v>
          </cell>
          <cell r="CC194">
            <v>748820</v>
          </cell>
          <cell r="CD194">
            <v>3785523</v>
          </cell>
          <cell r="CE194">
            <v>467883</v>
          </cell>
          <cell r="CF194">
            <v>0</v>
          </cell>
          <cell r="CG194">
            <v>467883</v>
          </cell>
          <cell r="CH194">
            <v>467883</v>
          </cell>
          <cell r="CI194">
            <v>467883</v>
          </cell>
          <cell r="CJ194">
            <v>467883</v>
          </cell>
          <cell r="CK194">
            <v>0</v>
          </cell>
          <cell r="CL194">
            <v>0</v>
          </cell>
          <cell r="CM194">
            <v>0</v>
          </cell>
          <cell r="CN194">
            <v>0</v>
          </cell>
          <cell r="CO194">
            <v>0</v>
          </cell>
          <cell r="CP194">
            <v>0</v>
          </cell>
          <cell r="CQ194">
            <v>455280</v>
          </cell>
          <cell r="CR194">
            <v>439257</v>
          </cell>
          <cell r="CS194">
            <v>397890</v>
          </cell>
          <cell r="CT194">
            <v>377666</v>
          </cell>
          <cell r="CU194">
            <v>361053</v>
          </cell>
          <cell r="CV194">
            <v>1245</v>
          </cell>
          <cell r="CW194">
            <v>0</v>
          </cell>
          <cell r="CX194">
            <v>0</v>
          </cell>
          <cell r="CY194">
            <v>0</v>
          </cell>
          <cell r="CZ194">
            <v>0</v>
          </cell>
          <cell r="DA194">
            <v>0</v>
          </cell>
          <cell r="DC194">
            <v>0</v>
          </cell>
          <cell r="DD194">
            <v>0</v>
          </cell>
          <cell r="DE194">
            <v>0</v>
          </cell>
          <cell r="DF194">
            <v>0</v>
          </cell>
          <cell r="DG194">
            <v>0</v>
          </cell>
          <cell r="DH194">
            <v>0</v>
          </cell>
          <cell r="DI194">
            <v>0</v>
          </cell>
          <cell r="DJ194">
            <v>0</v>
          </cell>
          <cell r="DK194">
            <v>0</v>
          </cell>
          <cell r="DL194">
            <v>0</v>
          </cell>
        </row>
        <row r="195">
          <cell r="A195">
            <v>437</v>
          </cell>
          <cell r="B195" t="str">
            <v>Ouder-Amstel</v>
          </cell>
          <cell r="C195">
            <v>7</v>
          </cell>
          <cell r="D195">
            <v>-12105</v>
          </cell>
          <cell r="E195">
            <v>-6052</v>
          </cell>
          <cell r="F195">
            <v>0</v>
          </cell>
          <cell r="G195">
            <v>0</v>
          </cell>
          <cell r="H195">
            <v>-3649</v>
          </cell>
          <cell r="I195">
            <v>-7876</v>
          </cell>
          <cell r="K195">
            <v>0</v>
          </cell>
          <cell r="L195">
            <v>44567</v>
          </cell>
          <cell r="M195">
            <v>42663</v>
          </cell>
          <cell r="N195">
            <v>0</v>
          </cell>
          <cell r="O195">
            <v>0</v>
          </cell>
          <cell r="P195">
            <v>0</v>
          </cell>
          <cell r="Q195">
            <v>0</v>
          </cell>
          <cell r="R195">
            <v>0</v>
          </cell>
          <cell r="S195">
            <v>0</v>
          </cell>
          <cell r="T195">
            <v>0</v>
          </cell>
          <cell r="U195">
            <v>0</v>
          </cell>
          <cell r="V195">
            <v>0</v>
          </cell>
          <cell r="W195">
            <v>53260</v>
          </cell>
          <cell r="X195">
            <v>0</v>
          </cell>
          <cell r="Z195">
            <v>0</v>
          </cell>
          <cell r="AA195">
            <v>0</v>
          </cell>
          <cell r="AB195">
            <v>0</v>
          </cell>
          <cell r="AD195">
            <v>0</v>
          </cell>
          <cell r="AE195">
            <v>0</v>
          </cell>
          <cell r="AF195">
            <v>0</v>
          </cell>
          <cell r="AG195">
            <v>0</v>
          </cell>
          <cell r="AH195">
            <v>0</v>
          </cell>
          <cell r="AI195">
            <v>0</v>
          </cell>
          <cell r="AJ195">
            <v>0</v>
          </cell>
          <cell r="AK195">
            <v>0</v>
          </cell>
          <cell r="AM195">
            <v>0</v>
          </cell>
          <cell r="AN195">
            <v>0</v>
          </cell>
          <cell r="AO195">
            <v>0</v>
          </cell>
          <cell r="AP195">
            <v>0</v>
          </cell>
          <cell r="AQ195">
            <v>0</v>
          </cell>
          <cell r="AR195">
            <v>0</v>
          </cell>
          <cell r="AS195">
            <v>0</v>
          </cell>
          <cell r="AT195">
            <v>0</v>
          </cell>
          <cell r="AU195">
            <v>2370</v>
          </cell>
          <cell r="AV195">
            <v>0</v>
          </cell>
          <cell r="AW195">
            <v>0</v>
          </cell>
          <cell r="AX195">
            <v>0</v>
          </cell>
          <cell r="BA195">
            <v>0</v>
          </cell>
          <cell r="BC195">
            <v>0</v>
          </cell>
          <cell r="BD195">
            <v>4711</v>
          </cell>
          <cell r="BF195">
            <v>0</v>
          </cell>
          <cell r="BG195">
            <v>0</v>
          </cell>
          <cell r="BH195">
            <v>0</v>
          </cell>
          <cell r="BI195">
            <v>15704</v>
          </cell>
          <cell r="BJ195">
            <v>12927</v>
          </cell>
          <cell r="BK195">
            <v>12927</v>
          </cell>
          <cell r="BL195">
            <v>0</v>
          </cell>
          <cell r="BM195">
            <v>0</v>
          </cell>
          <cell r="BN195">
            <v>0</v>
          </cell>
          <cell r="BO195">
            <v>79774</v>
          </cell>
          <cell r="BP195">
            <v>4744.2</v>
          </cell>
          <cell r="BQ195">
            <v>8546.5116279069807</v>
          </cell>
          <cell r="BR195">
            <v>0</v>
          </cell>
          <cell r="BS195">
            <v>0</v>
          </cell>
          <cell r="BT195">
            <v>21543</v>
          </cell>
          <cell r="BY195">
            <v>0</v>
          </cell>
          <cell r="BZ195">
            <v>0</v>
          </cell>
          <cell r="CA195">
            <v>0</v>
          </cell>
          <cell r="CB195">
            <v>0</v>
          </cell>
          <cell r="CC195">
            <v>780856</v>
          </cell>
          <cell r="CD195">
            <v>3466125</v>
          </cell>
          <cell r="CE195">
            <v>498537</v>
          </cell>
          <cell r="CF195">
            <v>0</v>
          </cell>
          <cell r="CG195">
            <v>498537</v>
          </cell>
          <cell r="CH195">
            <v>498537</v>
          </cell>
          <cell r="CI195">
            <v>498537</v>
          </cell>
          <cell r="CJ195">
            <v>498537</v>
          </cell>
          <cell r="CK195">
            <v>0</v>
          </cell>
          <cell r="CL195">
            <v>0</v>
          </cell>
          <cell r="CM195">
            <v>0</v>
          </cell>
          <cell r="CN195">
            <v>0</v>
          </cell>
          <cell r="CO195">
            <v>0</v>
          </cell>
          <cell r="CP195">
            <v>-2841</v>
          </cell>
          <cell r="CQ195">
            <v>210422</v>
          </cell>
          <cell r="CR195">
            <v>208916</v>
          </cell>
          <cell r="CS195">
            <v>207367</v>
          </cell>
          <cell r="CT195">
            <v>203413</v>
          </cell>
          <cell r="CU195">
            <v>206685</v>
          </cell>
          <cell r="CV195">
            <v>-15155</v>
          </cell>
          <cell r="CW195">
            <v>0</v>
          </cell>
          <cell r="CX195">
            <v>0</v>
          </cell>
          <cell r="CY195">
            <v>0</v>
          </cell>
          <cell r="CZ195">
            <v>0</v>
          </cell>
          <cell r="DA195">
            <v>0</v>
          </cell>
          <cell r="DC195">
            <v>0</v>
          </cell>
          <cell r="DD195">
            <v>0</v>
          </cell>
          <cell r="DE195">
            <v>0</v>
          </cell>
          <cell r="DF195">
            <v>0</v>
          </cell>
          <cell r="DG195">
            <v>0</v>
          </cell>
          <cell r="DH195">
            <v>0</v>
          </cell>
          <cell r="DI195">
            <v>0</v>
          </cell>
          <cell r="DJ195">
            <v>0</v>
          </cell>
          <cell r="DK195">
            <v>0</v>
          </cell>
          <cell r="DL195">
            <v>0</v>
          </cell>
        </row>
        <row r="196">
          <cell r="A196">
            <v>439</v>
          </cell>
          <cell r="B196" t="str">
            <v>Purmerend</v>
          </cell>
          <cell r="C196">
            <v>7</v>
          </cell>
          <cell r="D196">
            <v>36673</v>
          </cell>
          <cell r="E196">
            <v>18337</v>
          </cell>
          <cell r="F196">
            <v>0</v>
          </cell>
          <cell r="G196">
            <v>0</v>
          </cell>
          <cell r="H196">
            <v>-30566</v>
          </cell>
          <cell r="I196">
            <v>-43160</v>
          </cell>
          <cell r="K196">
            <v>0</v>
          </cell>
          <cell r="L196">
            <v>379021</v>
          </cell>
          <cell r="M196">
            <v>371394</v>
          </cell>
          <cell r="N196">
            <v>0</v>
          </cell>
          <cell r="O196">
            <v>0</v>
          </cell>
          <cell r="P196">
            <v>0</v>
          </cell>
          <cell r="Q196">
            <v>0</v>
          </cell>
          <cell r="R196">
            <v>0</v>
          </cell>
          <cell r="S196">
            <v>0</v>
          </cell>
          <cell r="T196">
            <v>0</v>
          </cell>
          <cell r="U196">
            <v>0</v>
          </cell>
          <cell r="V196">
            <v>0</v>
          </cell>
          <cell r="W196">
            <v>314115</v>
          </cell>
          <cell r="X196">
            <v>0</v>
          </cell>
          <cell r="Z196">
            <v>0</v>
          </cell>
          <cell r="AA196">
            <v>0</v>
          </cell>
          <cell r="AB196">
            <v>0</v>
          </cell>
          <cell r="AD196">
            <v>33245</v>
          </cell>
          <cell r="AE196">
            <v>0</v>
          </cell>
          <cell r="AF196">
            <v>0</v>
          </cell>
          <cell r="AG196">
            <v>0</v>
          </cell>
          <cell r="AH196">
            <v>0</v>
          </cell>
          <cell r="AI196">
            <v>297554</v>
          </cell>
          <cell r="AJ196">
            <v>0</v>
          </cell>
          <cell r="AK196">
            <v>0</v>
          </cell>
          <cell r="AM196">
            <v>12044</v>
          </cell>
          <cell r="AN196">
            <v>12321</v>
          </cell>
          <cell r="AO196">
            <v>12605</v>
          </cell>
          <cell r="AP196">
            <v>12895</v>
          </cell>
          <cell r="AQ196">
            <v>13191</v>
          </cell>
          <cell r="AR196">
            <v>13495</v>
          </cell>
          <cell r="AS196">
            <v>0</v>
          </cell>
          <cell r="AT196">
            <v>20000</v>
          </cell>
          <cell r="AU196">
            <v>4740</v>
          </cell>
          <cell r="AV196">
            <v>1494083.09906424</v>
          </cell>
          <cell r="AW196">
            <v>0</v>
          </cell>
          <cell r="AX196">
            <v>0</v>
          </cell>
          <cell r="BA196">
            <v>0</v>
          </cell>
          <cell r="BC196">
            <v>0</v>
          </cell>
          <cell r="BD196">
            <v>28058</v>
          </cell>
          <cell r="BF196">
            <v>0</v>
          </cell>
          <cell r="BG196">
            <v>0</v>
          </cell>
          <cell r="BH196">
            <v>0</v>
          </cell>
          <cell r="BI196">
            <v>127543</v>
          </cell>
          <cell r="BJ196">
            <v>104987</v>
          </cell>
          <cell r="BK196">
            <v>104987</v>
          </cell>
          <cell r="BL196">
            <v>0</v>
          </cell>
          <cell r="BM196">
            <v>0</v>
          </cell>
          <cell r="BN196">
            <v>0</v>
          </cell>
          <cell r="BO196">
            <v>67613</v>
          </cell>
          <cell r="BP196">
            <v>17395.400000000001</v>
          </cell>
          <cell r="BQ196">
            <v>31337.209302325598</v>
          </cell>
          <cell r="BR196">
            <v>0</v>
          </cell>
          <cell r="BS196">
            <v>0</v>
          </cell>
          <cell r="BT196">
            <v>118062</v>
          </cell>
          <cell r="BY196">
            <v>0</v>
          </cell>
          <cell r="BZ196">
            <v>0</v>
          </cell>
          <cell r="CA196">
            <v>0</v>
          </cell>
          <cell r="CB196">
            <v>0</v>
          </cell>
          <cell r="CC196">
            <v>6915314</v>
          </cell>
          <cell r="CD196">
            <v>45106900</v>
          </cell>
          <cell r="CE196">
            <v>1185515</v>
          </cell>
          <cell r="CF196">
            <v>-41395</v>
          </cell>
          <cell r="CG196">
            <v>1185515</v>
          </cell>
          <cell r="CH196">
            <v>1185515</v>
          </cell>
          <cell r="CI196">
            <v>1185515</v>
          </cell>
          <cell r="CJ196">
            <v>1185515</v>
          </cell>
          <cell r="CK196">
            <v>6720073</v>
          </cell>
          <cell r="CL196">
            <v>6716881</v>
          </cell>
          <cell r="CM196">
            <v>6716829</v>
          </cell>
          <cell r="CN196">
            <v>6716716</v>
          </cell>
          <cell r="CO196">
            <v>6716873</v>
          </cell>
          <cell r="CP196">
            <v>-9400</v>
          </cell>
          <cell r="CQ196">
            <v>6478561</v>
          </cell>
          <cell r="CR196">
            <v>6287636</v>
          </cell>
          <cell r="CS196">
            <v>6163406</v>
          </cell>
          <cell r="CT196">
            <v>6009794</v>
          </cell>
          <cell r="CU196">
            <v>5946725</v>
          </cell>
          <cell r="CV196">
            <v>113357</v>
          </cell>
          <cell r="CW196">
            <v>0</v>
          </cell>
          <cell r="CX196">
            <v>0</v>
          </cell>
          <cell r="CY196">
            <v>0</v>
          </cell>
          <cell r="CZ196">
            <v>0</v>
          </cell>
          <cell r="DA196">
            <v>0</v>
          </cell>
          <cell r="DC196">
            <v>0</v>
          </cell>
          <cell r="DD196">
            <v>0</v>
          </cell>
          <cell r="DE196">
            <v>0</v>
          </cell>
          <cell r="DF196">
            <v>0</v>
          </cell>
          <cell r="DG196">
            <v>0</v>
          </cell>
          <cell r="DH196">
            <v>0</v>
          </cell>
          <cell r="DI196">
            <v>0</v>
          </cell>
          <cell r="DJ196">
            <v>0</v>
          </cell>
          <cell r="DK196">
            <v>0</v>
          </cell>
          <cell r="DL196">
            <v>0</v>
          </cell>
        </row>
        <row r="197">
          <cell r="A197">
            <v>441</v>
          </cell>
          <cell r="B197" t="str">
            <v>Schagen</v>
          </cell>
          <cell r="C197">
            <v>7</v>
          </cell>
          <cell r="D197">
            <v>11263</v>
          </cell>
          <cell r="E197">
            <v>5632</v>
          </cell>
          <cell r="F197">
            <v>0</v>
          </cell>
          <cell r="G197">
            <v>0</v>
          </cell>
          <cell r="H197">
            <v>-46863</v>
          </cell>
          <cell r="I197">
            <v>-33373</v>
          </cell>
          <cell r="K197">
            <v>0</v>
          </cell>
          <cell r="L197">
            <v>151927</v>
          </cell>
          <cell r="M197">
            <v>129226</v>
          </cell>
          <cell r="N197">
            <v>0</v>
          </cell>
          <cell r="O197">
            <v>0</v>
          </cell>
          <cell r="P197">
            <v>0</v>
          </cell>
          <cell r="Q197">
            <v>0</v>
          </cell>
          <cell r="R197">
            <v>0</v>
          </cell>
          <cell r="S197">
            <v>0</v>
          </cell>
          <cell r="T197">
            <v>0</v>
          </cell>
          <cell r="U197">
            <v>0</v>
          </cell>
          <cell r="V197">
            <v>21000</v>
          </cell>
          <cell r="W197">
            <v>190490</v>
          </cell>
          <cell r="X197">
            <v>0</v>
          </cell>
          <cell r="Z197">
            <v>0</v>
          </cell>
          <cell r="AA197">
            <v>0</v>
          </cell>
          <cell r="AB197">
            <v>0</v>
          </cell>
          <cell r="AD197">
            <v>20000</v>
          </cell>
          <cell r="AE197">
            <v>0</v>
          </cell>
          <cell r="AF197">
            <v>0</v>
          </cell>
          <cell r="AG197">
            <v>0</v>
          </cell>
          <cell r="AH197">
            <v>0</v>
          </cell>
          <cell r="AI197">
            <v>0</v>
          </cell>
          <cell r="AJ197">
            <v>0</v>
          </cell>
          <cell r="AK197">
            <v>0</v>
          </cell>
          <cell r="AM197">
            <v>88551</v>
          </cell>
          <cell r="AN197">
            <v>90588</v>
          </cell>
          <cell r="AO197">
            <v>92671</v>
          </cell>
          <cell r="AP197">
            <v>94803</v>
          </cell>
          <cell r="AQ197">
            <v>96983</v>
          </cell>
          <cell r="AR197">
            <v>99214</v>
          </cell>
          <cell r="AS197">
            <v>0</v>
          </cell>
          <cell r="AT197">
            <v>0</v>
          </cell>
          <cell r="AU197">
            <v>2370</v>
          </cell>
          <cell r="AV197">
            <v>0</v>
          </cell>
          <cell r="AW197">
            <v>0</v>
          </cell>
          <cell r="AX197">
            <v>0</v>
          </cell>
          <cell r="BA197">
            <v>0</v>
          </cell>
          <cell r="BC197">
            <v>0</v>
          </cell>
          <cell r="BD197">
            <v>16215</v>
          </cell>
          <cell r="BF197">
            <v>0</v>
          </cell>
          <cell r="BG197">
            <v>0</v>
          </cell>
          <cell r="BH197">
            <v>0</v>
          </cell>
          <cell r="BI197">
            <v>56276</v>
          </cell>
          <cell r="BJ197">
            <v>46324</v>
          </cell>
          <cell r="BK197">
            <v>46324</v>
          </cell>
          <cell r="BL197">
            <v>0</v>
          </cell>
          <cell r="BM197">
            <v>0</v>
          </cell>
          <cell r="BN197">
            <v>0</v>
          </cell>
          <cell r="BO197">
            <v>175114</v>
          </cell>
          <cell r="BP197">
            <v>6325.6</v>
          </cell>
          <cell r="BQ197">
            <v>11395.3488372093</v>
          </cell>
          <cell r="BR197">
            <v>0</v>
          </cell>
          <cell r="BS197">
            <v>0</v>
          </cell>
          <cell r="BT197">
            <v>84562</v>
          </cell>
          <cell r="BY197">
            <v>0</v>
          </cell>
          <cell r="BZ197">
            <v>0</v>
          </cell>
          <cell r="CA197">
            <v>0</v>
          </cell>
          <cell r="CB197">
            <v>0</v>
          </cell>
          <cell r="CC197">
            <v>3451316</v>
          </cell>
          <cell r="CD197">
            <v>19320007</v>
          </cell>
          <cell r="CE197">
            <v>1144357</v>
          </cell>
          <cell r="CF197">
            <v>-53150</v>
          </cell>
          <cell r="CG197">
            <v>1144357</v>
          </cell>
          <cell r="CH197">
            <v>1144357</v>
          </cell>
          <cell r="CI197">
            <v>1144357</v>
          </cell>
          <cell r="CJ197">
            <v>1144357</v>
          </cell>
          <cell r="CK197">
            <v>0</v>
          </cell>
          <cell r="CL197">
            <v>0</v>
          </cell>
          <cell r="CM197">
            <v>0</v>
          </cell>
          <cell r="CN197">
            <v>0</v>
          </cell>
          <cell r="CO197">
            <v>0</v>
          </cell>
          <cell r="CP197">
            <v>-4073</v>
          </cell>
          <cell r="CQ197">
            <v>4382814</v>
          </cell>
          <cell r="CR197">
            <v>4203532</v>
          </cell>
          <cell r="CS197">
            <v>4149726</v>
          </cell>
          <cell r="CT197">
            <v>4128685</v>
          </cell>
          <cell r="CU197">
            <v>4062262</v>
          </cell>
          <cell r="CV197">
            <v>-2626</v>
          </cell>
          <cell r="CW197">
            <v>0</v>
          </cell>
          <cell r="CX197">
            <v>0</v>
          </cell>
          <cell r="CY197">
            <v>0</v>
          </cell>
          <cell r="CZ197">
            <v>0</v>
          </cell>
          <cell r="DA197">
            <v>0</v>
          </cell>
          <cell r="DC197">
            <v>0</v>
          </cell>
          <cell r="DD197">
            <v>0</v>
          </cell>
          <cell r="DE197">
            <v>0</v>
          </cell>
          <cell r="DF197">
            <v>0</v>
          </cell>
          <cell r="DG197">
            <v>0</v>
          </cell>
          <cell r="DH197">
            <v>0</v>
          </cell>
          <cell r="DI197">
            <v>0</v>
          </cell>
          <cell r="DJ197">
            <v>0</v>
          </cell>
          <cell r="DK197">
            <v>0</v>
          </cell>
          <cell r="DL197">
            <v>0</v>
          </cell>
        </row>
        <row r="198">
          <cell r="A198">
            <v>532</v>
          </cell>
          <cell r="B198" t="str">
            <v>Stede Broec</v>
          </cell>
          <cell r="C198">
            <v>7</v>
          </cell>
          <cell r="D198">
            <v>3211</v>
          </cell>
          <cell r="E198">
            <v>1605</v>
          </cell>
          <cell r="F198">
            <v>0</v>
          </cell>
          <cell r="G198">
            <v>0</v>
          </cell>
          <cell r="H198">
            <v>-5274</v>
          </cell>
          <cell r="I198">
            <v>-1757</v>
          </cell>
          <cell r="K198">
            <v>0</v>
          </cell>
          <cell r="L198">
            <v>94009</v>
          </cell>
          <cell r="M198">
            <v>88920</v>
          </cell>
          <cell r="N198">
            <v>0</v>
          </cell>
          <cell r="O198">
            <v>0</v>
          </cell>
          <cell r="P198">
            <v>0</v>
          </cell>
          <cell r="Q198">
            <v>0</v>
          </cell>
          <cell r="R198">
            <v>0</v>
          </cell>
          <cell r="S198">
            <v>0</v>
          </cell>
          <cell r="T198">
            <v>0</v>
          </cell>
          <cell r="U198">
            <v>0</v>
          </cell>
          <cell r="V198">
            <v>9000</v>
          </cell>
          <cell r="W198">
            <v>82431</v>
          </cell>
          <cell r="X198">
            <v>0</v>
          </cell>
          <cell r="Z198">
            <v>0</v>
          </cell>
          <cell r="AA198">
            <v>0</v>
          </cell>
          <cell r="AB198">
            <v>0</v>
          </cell>
          <cell r="AD198">
            <v>0</v>
          </cell>
          <cell r="AE198">
            <v>0</v>
          </cell>
          <cell r="AF198">
            <v>0</v>
          </cell>
          <cell r="AG198">
            <v>0</v>
          </cell>
          <cell r="AH198">
            <v>0</v>
          </cell>
          <cell r="AI198">
            <v>0</v>
          </cell>
          <cell r="AJ198">
            <v>0</v>
          </cell>
          <cell r="AK198">
            <v>0</v>
          </cell>
          <cell r="AM198">
            <v>12471</v>
          </cell>
          <cell r="AN198">
            <v>12758</v>
          </cell>
          <cell r="AO198">
            <v>13051</v>
          </cell>
          <cell r="AP198">
            <v>13351</v>
          </cell>
          <cell r="AQ198">
            <v>13658</v>
          </cell>
          <cell r="AR198">
            <v>13972</v>
          </cell>
          <cell r="AS198">
            <v>0</v>
          </cell>
          <cell r="AT198">
            <v>0</v>
          </cell>
          <cell r="AU198">
            <v>0</v>
          </cell>
          <cell r="AV198">
            <v>0</v>
          </cell>
          <cell r="AW198">
            <v>0</v>
          </cell>
          <cell r="AX198">
            <v>0</v>
          </cell>
          <cell r="BA198">
            <v>0</v>
          </cell>
          <cell r="BC198">
            <v>0</v>
          </cell>
          <cell r="BD198">
            <v>7566</v>
          </cell>
          <cell r="BF198">
            <v>0</v>
          </cell>
          <cell r="BG198">
            <v>0</v>
          </cell>
          <cell r="BH198">
            <v>0</v>
          </cell>
          <cell r="BI198">
            <v>27937</v>
          </cell>
          <cell r="BJ198">
            <v>22996</v>
          </cell>
          <cell r="BK198">
            <v>22996</v>
          </cell>
          <cell r="BL198">
            <v>0</v>
          </cell>
          <cell r="BM198">
            <v>0</v>
          </cell>
          <cell r="BN198">
            <v>0</v>
          </cell>
          <cell r="BO198">
            <v>21403</v>
          </cell>
          <cell r="BP198">
            <v>1581.4</v>
          </cell>
          <cell r="BQ198">
            <v>2848.8372093023299</v>
          </cell>
          <cell r="BR198">
            <v>0</v>
          </cell>
          <cell r="BS198">
            <v>0</v>
          </cell>
          <cell r="BT198">
            <v>31311</v>
          </cell>
          <cell r="BY198">
            <v>0</v>
          </cell>
          <cell r="BZ198">
            <v>0</v>
          </cell>
          <cell r="CA198">
            <v>0</v>
          </cell>
          <cell r="CB198">
            <v>0</v>
          </cell>
          <cell r="CC198">
            <v>1499365</v>
          </cell>
          <cell r="CD198">
            <v>10155842</v>
          </cell>
          <cell r="CE198">
            <v>904100</v>
          </cell>
          <cell r="CF198">
            <v>0</v>
          </cell>
          <cell r="CG198">
            <v>904100</v>
          </cell>
          <cell r="CH198">
            <v>904100</v>
          </cell>
          <cell r="CI198">
            <v>904100</v>
          </cell>
          <cell r="CJ198">
            <v>904100</v>
          </cell>
          <cell r="CK198">
            <v>0</v>
          </cell>
          <cell r="CL198">
            <v>0</v>
          </cell>
          <cell r="CM198">
            <v>0</v>
          </cell>
          <cell r="CN198">
            <v>0</v>
          </cell>
          <cell r="CO198">
            <v>0</v>
          </cell>
          <cell r="CP198">
            <v>-634</v>
          </cell>
          <cell r="CQ198">
            <v>2029567</v>
          </cell>
          <cell r="CR198">
            <v>1969665</v>
          </cell>
          <cell r="CS198">
            <v>1936962</v>
          </cell>
          <cell r="CT198">
            <v>1899256</v>
          </cell>
          <cell r="CU198">
            <v>1891574</v>
          </cell>
          <cell r="CV198">
            <v>12928</v>
          </cell>
          <cell r="CW198">
            <v>0</v>
          </cell>
          <cell r="CX198">
            <v>0</v>
          </cell>
          <cell r="CY198">
            <v>0</v>
          </cell>
          <cell r="CZ198">
            <v>0</v>
          </cell>
          <cell r="DA198">
            <v>0</v>
          </cell>
          <cell r="DC198">
            <v>0</v>
          </cell>
          <cell r="DD198">
            <v>0</v>
          </cell>
          <cell r="DE198">
            <v>0</v>
          </cell>
          <cell r="DF198">
            <v>0</v>
          </cell>
          <cell r="DG198">
            <v>0</v>
          </cell>
          <cell r="DH198">
            <v>0</v>
          </cell>
          <cell r="DI198">
            <v>0</v>
          </cell>
          <cell r="DJ198">
            <v>0</v>
          </cell>
          <cell r="DK198">
            <v>0</v>
          </cell>
          <cell r="DL198">
            <v>0</v>
          </cell>
        </row>
        <row r="199">
          <cell r="A199">
            <v>448</v>
          </cell>
          <cell r="B199" t="str">
            <v>Texel</v>
          </cell>
          <cell r="C199">
            <v>7</v>
          </cell>
          <cell r="D199">
            <v>-62468</v>
          </cell>
          <cell r="E199">
            <v>-31234</v>
          </cell>
          <cell r="F199">
            <v>0</v>
          </cell>
          <cell r="G199">
            <v>0</v>
          </cell>
          <cell r="H199">
            <v>-27267</v>
          </cell>
          <cell r="I199">
            <v>-23873</v>
          </cell>
          <cell r="K199">
            <v>0</v>
          </cell>
          <cell r="L199">
            <v>54714</v>
          </cell>
          <cell r="M199">
            <v>44044</v>
          </cell>
          <cell r="N199">
            <v>0</v>
          </cell>
          <cell r="O199">
            <v>0</v>
          </cell>
          <cell r="P199">
            <v>0</v>
          </cell>
          <cell r="Q199">
            <v>0</v>
          </cell>
          <cell r="R199">
            <v>0</v>
          </cell>
          <cell r="S199">
            <v>0</v>
          </cell>
          <cell r="T199">
            <v>0</v>
          </cell>
          <cell r="U199">
            <v>0</v>
          </cell>
          <cell r="V199">
            <v>6000</v>
          </cell>
          <cell r="W199">
            <v>55203</v>
          </cell>
          <cell r="X199">
            <v>0</v>
          </cell>
          <cell r="Z199">
            <v>0</v>
          </cell>
          <cell r="AA199">
            <v>0</v>
          </cell>
          <cell r="AB199">
            <v>0</v>
          </cell>
          <cell r="AD199">
            <v>0</v>
          </cell>
          <cell r="AE199">
            <v>0</v>
          </cell>
          <cell r="AF199">
            <v>0</v>
          </cell>
          <cell r="AG199">
            <v>0</v>
          </cell>
          <cell r="AH199">
            <v>0</v>
          </cell>
          <cell r="AI199">
            <v>0</v>
          </cell>
          <cell r="AJ199">
            <v>0</v>
          </cell>
          <cell r="AK199">
            <v>0</v>
          </cell>
          <cell r="AM199">
            <v>0</v>
          </cell>
          <cell r="AN199">
            <v>0</v>
          </cell>
          <cell r="AO199">
            <v>0</v>
          </cell>
          <cell r="AP199">
            <v>0</v>
          </cell>
          <cell r="AQ199">
            <v>0</v>
          </cell>
          <cell r="AR199">
            <v>0</v>
          </cell>
          <cell r="AS199">
            <v>0</v>
          </cell>
          <cell r="AT199">
            <v>0</v>
          </cell>
          <cell r="AU199">
            <v>0</v>
          </cell>
          <cell r="AV199">
            <v>0</v>
          </cell>
          <cell r="AW199">
            <v>0</v>
          </cell>
          <cell r="AX199">
            <v>0</v>
          </cell>
          <cell r="BA199">
            <v>0</v>
          </cell>
          <cell r="BC199">
            <v>0</v>
          </cell>
          <cell r="BD199">
            <v>4755</v>
          </cell>
          <cell r="BF199">
            <v>0</v>
          </cell>
          <cell r="BG199">
            <v>0</v>
          </cell>
          <cell r="BH199">
            <v>0</v>
          </cell>
          <cell r="BI199">
            <v>16271</v>
          </cell>
          <cell r="BJ199">
            <v>13394</v>
          </cell>
          <cell r="BK199">
            <v>13394</v>
          </cell>
          <cell r="BL199">
            <v>0</v>
          </cell>
          <cell r="BM199">
            <v>0</v>
          </cell>
          <cell r="BN199">
            <v>0</v>
          </cell>
          <cell r="BO199">
            <v>105068</v>
          </cell>
          <cell r="BP199">
            <v>11069.8</v>
          </cell>
          <cell r="BQ199">
            <v>19941.8604651163</v>
          </cell>
          <cell r="BR199">
            <v>0</v>
          </cell>
          <cell r="BS199">
            <v>0</v>
          </cell>
          <cell r="BT199">
            <v>37480</v>
          </cell>
          <cell r="BY199">
            <v>0</v>
          </cell>
          <cell r="BZ199">
            <v>0</v>
          </cell>
          <cell r="CA199">
            <v>0</v>
          </cell>
          <cell r="CB199">
            <v>0</v>
          </cell>
          <cell r="CC199">
            <v>1039341</v>
          </cell>
          <cell r="CD199">
            <v>7204333</v>
          </cell>
          <cell r="CE199">
            <v>333938</v>
          </cell>
          <cell r="CF199">
            <v>-46215</v>
          </cell>
          <cell r="CG199">
            <v>333938</v>
          </cell>
          <cell r="CH199">
            <v>333938</v>
          </cell>
          <cell r="CI199">
            <v>333938</v>
          </cell>
          <cell r="CJ199">
            <v>333938</v>
          </cell>
          <cell r="CK199">
            <v>0</v>
          </cell>
          <cell r="CL199">
            <v>0</v>
          </cell>
          <cell r="CM199">
            <v>0</v>
          </cell>
          <cell r="CN199">
            <v>0</v>
          </cell>
          <cell r="CO199">
            <v>0</v>
          </cell>
          <cell r="CP199">
            <v>-1701</v>
          </cell>
          <cell r="CQ199">
            <v>2477645</v>
          </cell>
          <cell r="CR199">
            <v>2379159</v>
          </cell>
          <cell r="CS199">
            <v>2324354</v>
          </cell>
          <cell r="CT199">
            <v>2228121</v>
          </cell>
          <cell r="CU199">
            <v>2165704</v>
          </cell>
          <cell r="CV199">
            <v>17171</v>
          </cell>
          <cell r="CW199">
            <v>0</v>
          </cell>
          <cell r="CX199">
            <v>0</v>
          </cell>
          <cell r="CY199">
            <v>0</v>
          </cell>
          <cell r="CZ199">
            <v>0</v>
          </cell>
          <cell r="DA199">
            <v>0</v>
          </cell>
          <cell r="DC199">
            <v>0</v>
          </cell>
          <cell r="DD199">
            <v>0</v>
          </cell>
          <cell r="DE199">
            <v>0</v>
          </cell>
          <cell r="DF199">
            <v>0</v>
          </cell>
          <cell r="DG199">
            <v>0</v>
          </cell>
          <cell r="DH199">
            <v>0</v>
          </cell>
          <cell r="DI199">
            <v>0</v>
          </cell>
          <cell r="DJ199">
            <v>0</v>
          </cell>
          <cell r="DK199">
            <v>0</v>
          </cell>
          <cell r="DL199">
            <v>0</v>
          </cell>
        </row>
        <row r="200">
          <cell r="A200">
            <v>450</v>
          </cell>
          <cell r="B200" t="str">
            <v>Uitgeest</v>
          </cell>
          <cell r="C200">
            <v>7</v>
          </cell>
          <cell r="D200">
            <v>-9592</v>
          </cell>
          <cell r="E200">
            <v>-4796</v>
          </cell>
          <cell r="F200">
            <v>0</v>
          </cell>
          <cell r="G200">
            <v>0</v>
          </cell>
          <cell r="H200">
            <v>-10928</v>
          </cell>
          <cell r="I200">
            <v>-12971</v>
          </cell>
          <cell r="K200">
            <v>0</v>
          </cell>
          <cell r="L200">
            <v>38081</v>
          </cell>
          <cell r="M200">
            <v>39996</v>
          </cell>
          <cell r="N200">
            <v>0</v>
          </cell>
          <cell r="O200">
            <v>0</v>
          </cell>
          <cell r="P200">
            <v>0</v>
          </cell>
          <cell r="Q200">
            <v>0</v>
          </cell>
          <cell r="R200">
            <v>0</v>
          </cell>
          <cell r="S200">
            <v>0</v>
          </cell>
          <cell r="T200">
            <v>0</v>
          </cell>
          <cell r="U200">
            <v>0</v>
          </cell>
          <cell r="V200">
            <v>0</v>
          </cell>
          <cell r="W200">
            <v>24042</v>
          </cell>
          <cell r="X200">
            <v>0</v>
          </cell>
          <cell r="Z200">
            <v>0</v>
          </cell>
          <cell r="AA200">
            <v>0</v>
          </cell>
          <cell r="AB200">
            <v>0</v>
          </cell>
          <cell r="AD200">
            <v>0</v>
          </cell>
          <cell r="AE200">
            <v>0</v>
          </cell>
          <cell r="AF200">
            <v>0</v>
          </cell>
          <cell r="AG200">
            <v>0</v>
          </cell>
          <cell r="AH200">
            <v>0</v>
          </cell>
          <cell r="AI200">
            <v>0</v>
          </cell>
          <cell r="AJ200">
            <v>0</v>
          </cell>
          <cell r="AK200">
            <v>0</v>
          </cell>
          <cell r="AM200">
            <v>16670</v>
          </cell>
          <cell r="AN200">
            <v>17054</v>
          </cell>
          <cell r="AO200">
            <v>17446</v>
          </cell>
          <cell r="AP200">
            <v>17847</v>
          </cell>
          <cell r="AQ200">
            <v>18258</v>
          </cell>
          <cell r="AR200">
            <v>18678</v>
          </cell>
          <cell r="AS200">
            <v>0</v>
          </cell>
          <cell r="AT200">
            <v>0</v>
          </cell>
          <cell r="AU200">
            <v>0</v>
          </cell>
          <cell r="AV200">
            <v>0</v>
          </cell>
          <cell r="AW200">
            <v>0</v>
          </cell>
          <cell r="AX200">
            <v>0</v>
          </cell>
          <cell r="BA200">
            <v>0</v>
          </cell>
          <cell r="BC200">
            <v>0</v>
          </cell>
          <cell r="BD200">
            <v>4727</v>
          </cell>
          <cell r="BF200">
            <v>0</v>
          </cell>
          <cell r="BG200">
            <v>0</v>
          </cell>
          <cell r="BH200">
            <v>0</v>
          </cell>
          <cell r="BI200">
            <v>11044</v>
          </cell>
          <cell r="BJ200">
            <v>9091</v>
          </cell>
          <cell r="BK200">
            <v>9091</v>
          </cell>
          <cell r="BL200">
            <v>0</v>
          </cell>
          <cell r="BM200">
            <v>0</v>
          </cell>
          <cell r="BN200">
            <v>0</v>
          </cell>
          <cell r="BO200">
            <v>10215</v>
          </cell>
          <cell r="BP200">
            <v>3162.8</v>
          </cell>
          <cell r="BQ200">
            <v>5697.6744186046499</v>
          </cell>
          <cell r="BR200">
            <v>0</v>
          </cell>
          <cell r="BS200">
            <v>0</v>
          </cell>
          <cell r="BT200">
            <v>20348</v>
          </cell>
          <cell r="BY200">
            <v>0</v>
          </cell>
          <cell r="BZ200">
            <v>0</v>
          </cell>
          <cell r="CA200">
            <v>0</v>
          </cell>
          <cell r="CB200">
            <v>0</v>
          </cell>
          <cell r="CC200">
            <v>653105</v>
          </cell>
          <cell r="CD200">
            <v>3837883</v>
          </cell>
          <cell r="CE200">
            <v>116165</v>
          </cell>
          <cell r="CF200">
            <v>-21418</v>
          </cell>
          <cell r="CG200">
            <v>116165</v>
          </cell>
          <cell r="CH200">
            <v>116165</v>
          </cell>
          <cell r="CI200">
            <v>116165</v>
          </cell>
          <cell r="CJ200">
            <v>116165</v>
          </cell>
          <cell r="CK200">
            <v>0</v>
          </cell>
          <cell r="CL200">
            <v>0</v>
          </cell>
          <cell r="CM200">
            <v>0</v>
          </cell>
          <cell r="CN200">
            <v>0</v>
          </cell>
          <cell r="CO200">
            <v>0</v>
          </cell>
          <cell r="CP200">
            <v>-1466</v>
          </cell>
          <cell r="CQ200">
            <v>769953</v>
          </cell>
          <cell r="CR200">
            <v>749233</v>
          </cell>
          <cell r="CS200">
            <v>731733</v>
          </cell>
          <cell r="CT200">
            <v>736719</v>
          </cell>
          <cell r="CU200">
            <v>739754</v>
          </cell>
          <cell r="CV200">
            <v>-919</v>
          </cell>
          <cell r="CW200">
            <v>0</v>
          </cell>
          <cell r="CX200">
            <v>0</v>
          </cell>
          <cell r="CY200">
            <v>0</v>
          </cell>
          <cell r="CZ200">
            <v>0</v>
          </cell>
          <cell r="DA200">
            <v>0</v>
          </cell>
          <cell r="DC200">
            <v>0</v>
          </cell>
          <cell r="DD200">
            <v>0</v>
          </cell>
          <cell r="DE200">
            <v>0</v>
          </cell>
          <cell r="DF200">
            <v>0</v>
          </cell>
          <cell r="DG200">
            <v>0</v>
          </cell>
          <cell r="DH200">
            <v>0</v>
          </cell>
          <cell r="DI200">
            <v>0</v>
          </cell>
          <cell r="DJ200">
            <v>0</v>
          </cell>
          <cell r="DK200">
            <v>0</v>
          </cell>
          <cell r="DL200">
            <v>0</v>
          </cell>
        </row>
        <row r="201">
          <cell r="A201">
            <v>451</v>
          </cell>
          <cell r="B201" t="str">
            <v>Uithoorn</v>
          </cell>
          <cell r="C201">
            <v>7</v>
          </cell>
          <cell r="D201">
            <v>-8967</v>
          </cell>
          <cell r="E201">
            <v>-4484</v>
          </cell>
          <cell r="F201">
            <v>0</v>
          </cell>
          <cell r="G201">
            <v>0</v>
          </cell>
          <cell r="H201">
            <v>0</v>
          </cell>
          <cell r="I201">
            <v>-6459</v>
          </cell>
          <cell r="K201">
            <v>0</v>
          </cell>
          <cell r="L201">
            <v>134717</v>
          </cell>
          <cell r="M201">
            <v>143772</v>
          </cell>
          <cell r="N201">
            <v>0</v>
          </cell>
          <cell r="O201">
            <v>0</v>
          </cell>
          <cell r="P201">
            <v>0</v>
          </cell>
          <cell r="Q201">
            <v>0</v>
          </cell>
          <cell r="R201">
            <v>0</v>
          </cell>
          <cell r="S201">
            <v>0</v>
          </cell>
          <cell r="T201">
            <v>0</v>
          </cell>
          <cell r="U201">
            <v>0</v>
          </cell>
          <cell r="V201">
            <v>6000</v>
          </cell>
          <cell r="W201">
            <v>115461</v>
          </cell>
          <cell r="X201">
            <v>0</v>
          </cell>
          <cell r="Z201">
            <v>0</v>
          </cell>
          <cell r="AA201">
            <v>0</v>
          </cell>
          <cell r="AB201">
            <v>0</v>
          </cell>
          <cell r="AD201">
            <v>0</v>
          </cell>
          <cell r="AE201">
            <v>0</v>
          </cell>
          <cell r="AF201">
            <v>0</v>
          </cell>
          <cell r="AG201">
            <v>0</v>
          </cell>
          <cell r="AH201">
            <v>0</v>
          </cell>
          <cell r="AI201">
            <v>0</v>
          </cell>
          <cell r="AJ201">
            <v>0</v>
          </cell>
          <cell r="AK201">
            <v>0</v>
          </cell>
          <cell r="AM201">
            <v>0</v>
          </cell>
          <cell r="AN201">
            <v>0</v>
          </cell>
          <cell r="AO201">
            <v>0</v>
          </cell>
          <cell r="AP201">
            <v>0</v>
          </cell>
          <cell r="AQ201">
            <v>0</v>
          </cell>
          <cell r="AR201">
            <v>0</v>
          </cell>
          <cell r="AS201">
            <v>0</v>
          </cell>
          <cell r="AT201">
            <v>0</v>
          </cell>
          <cell r="AU201">
            <v>4740</v>
          </cell>
          <cell r="AV201">
            <v>0</v>
          </cell>
          <cell r="AW201">
            <v>0</v>
          </cell>
          <cell r="AX201">
            <v>0</v>
          </cell>
          <cell r="BA201">
            <v>0</v>
          </cell>
          <cell r="BC201">
            <v>0</v>
          </cell>
          <cell r="BD201">
            <v>10251</v>
          </cell>
          <cell r="BF201">
            <v>0</v>
          </cell>
          <cell r="BG201">
            <v>0</v>
          </cell>
          <cell r="BH201">
            <v>0</v>
          </cell>
          <cell r="BI201">
            <v>35355</v>
          </cell>
          <cell r="BJ201">
            <v>29103</v>
          </cell>
          <cell r="BK201">
            <v>29103</v>
          </cell>
          <cell r="BL201">
            <v>0</v>
          </cell>
          <cell r="BM201">
            <v>0</v>
          </cell>
          <cell r="BN201">
            <v>0</v>
          </cell>
          <cell r="BO201">
            <v>55939</v>
          </cell>
          <cell r="BP201">
            <v>20558.2</v>
          </cell>
          <cell r="BQ201">
            <v>37034.8837209302</v>
          </cell>
          <cell r="BR201">
            <v>0</v>
          </cell>
          <cell r="BS201">
            <v>0</v>
          </cell>
          <cell r="BT201">
            <v>42381</v>
          </cell>
          <cell r="BY201">
            <v>0</v>
          </cell>
          <cell r="BZ201">
            <v>0</v>
          </cell>
          <cell r="CA201">
            <v>0</v>
          </cell>
          <cell r="CB201">
            <v>0</v>
          </cell>
          <cell r="CC201">
            <v>1942248</v>
          </cell>
          <cell r="CD201">
            <v>10274921</v>
          </cell>
          <cell r="CE201">
            <v>659527</v>
          </cell>
          <cell r="CF201">
            <v>0</v>
          </cell>
          <cell r="CG201">
            <v>659527</v>
          </cell>
          <cell r="CH201">
            <v>659527</v>
          </cell>
          <cell r="CI201">
            <v>659527</v>
          </cell>
          <cell r="CJ201">
            <v>659527</v>
          </cell>
          <cell r="CK201">
            <v>0</v>
          </cell>
          <cell r="CL201">
            <v>0</v>
          </cell>
          <cell r="CM201">
            <v>0</v>
          </cell>
          <cell r="CN201">
            <v>0</v>
          </cell>
          <cell r="CO201">
            <v>0</v>
          </cell>
          <cell r="CP201">
            <v>-2308</v>
          </cell>
          <cell r="CQ201">
            <v>1371959</v>
          </cell>
          <cell r="CR201">
            <v>1314000</v>
          </cell>
          <cell r="CS201">
            <v>1302606</v>
          </cell>
          <cell r="CT201">
            <v>1267701</v>
          </cell>
          <cell r="CU201">
            <v>1239160</v>
          </cell>
          <cell r="CV201">
            <v>-10835</v>
          </cell>
          <cell r="CW201">
            <v>0</v>
          </cell>
          <cell r="CX201">
            <v>0</v>
          </cell>
          <cell r="CY201">
            <v>0</v>
          </cell>
          <cell r="CZ201">
            <v>0</v>
          </cell>
          <cell r="DA201">
            <v>0</v>
          </cell>
          <cell r="DC201">
            <v>0</v>
          </cell>
          <cell r="DD201">
            <v>0</v>
          </cell>
          <cell r="DE201">
            <v>0</v>
          </cell>
          <cell r="DF201">
            <v>0</v>
          </cell>
          <cell r="DG201">
            <v>0</v>
          </cell>
          <cell r="DH201">
            <v>0</v>
          </cell>
          <cell r="DI201">
            <v>0</v>
          </cell>
          <cell r="DJ201">
            <v>0</v>
          </cell>
          <cell r="DK201">
            <v>0</v>
          </cell>
          <cell r="DL201">
            <v>0</v>
          </cell>
        </row>
        <row r="202">
          <cell r="A202">
            <v>453</v>
          </cell>
          <cell r="B202" t="str">
            <v>Velsen</v>
          </cell>
          <cell r="C202">
            <v>7</v>
          </cell>
          <cell r="D202">
            <v>24016</v>
          </cell>
          <cell r="E202">
            <v>12008</v>
          </cell>
          <cell r="F202">
            <v>0</v>
          </cell>
          <cell r="G202">
            <v>170896</v>
          </cell>
          <cell r="H202">
            <v>0</v>
          </cell>
          <cell r="I202">
            <v>-10981</v>
          </cell>
          <cell r="K202">
            <v>0</v>
          </cell>
          <cell r="L202">
            <v>307992</v>
          </cell>
          <cell r="M202">
            <v>306400</v>
          </cell>
          <cell r="N202">
            <v>0</v>
          </cell>
          <cell r="O202">
            <v>0</v>
          </cell>
          <cell r="P202">
            <v>0</v>
          </cell>
          <cell r="Q202">
            <v>0</v>
          </cell>
          <cell r="R202">
            <v>0</v>
          </cell>
          <cell r="S202">
            <v>0</v>
          </cell>
          <cell r="T202">
            <v>0</v>
          </cell>
          <cell r="U202">
            <v>0</v>
          </cell>
          <cell r="V202">
            <v>0</v>
          </cell>
          <cell r="W202">
            <v>247090</v>
          </cell>
          <cell r="X202">
            <v>0</v>
          </cell>
          <cell r="Z202">
            <v>0</v>
          </cell>
          <cell r="AA202">
            <v>0</v>
          </cell>
          <cell r="AB202">
            <v>0</v>
          </cell>
          <cell r="AD202">
            <v>39112</v>
          </cell>
          <cell r="AE202">
            <v>0</v>
          </cell>
          <cell r="AF202">
            <v>0</v>
          </cell>
          <cell r="AG202">
            <v>0</v>
          </cell>
          <cell r="AH202">
            <v>0</v>
          </cell>
          <cell r="AI202">
            <v>0</v>
          </cell>
          <cell r="AJ202">
            <v>0</v>
          </cell>
          <cell r="AK202">
            <v>0</v>
          </cell>
          <cell r="AM202">
            <v>0</v>
          </cell>
          <cell r="AN202">
            <v>0</v>
          </cell>
          <cell r="AO202">
            <v>0</v>
          </cell>
          <cell r="AP202">
            <v>0</v>
          </cell>
          <cell r="AQ202">
            <v>0</v>
          </cell>
          <cell r="AR202">
            <v>0</v>
          </cell>
          <cell r="AS202">
            <v>0</v>
          </cell>
          <cell r="AT202">
            <v>0</v>
          </cell>
          <cell r="AU202">
            <v>4740</v>
          </cell>
          <cell r="AV202">
            <v>0</v>
          </cell>
          <cell r="AW202">
            <v>0</v>
          </cell>
          <cell r="AX202">
            <v>0</v>
          </cell>
          <cell r="BA202">
            <v>0</v>
          </cell>
          <cell r="BC202">
            <v>0</v>
          </cell>
          <cell r="BD202">
            <v>23737</v>
          </cell>
          <cell r="BF202">
            <v>0</v>
          </cell>
          <cell r="BG202">
            <v>0</v>
          </cell>
          <cell r="BH202">
            <v>0</v>
          </cell>
          <cell r="BI202">
            <v>105184</v>
          </cell>
          <cell r="BJ202">
            <v>86582</v>
          </cell>
          <cell r="BK202">
            <v>86582</v>
          </cell>
          <cell r="BL202">
            <v>0</v>
          </cell>
          <cell r="BM202">
            <v>0</v>
          </cell>
          <cell r="BN202">
            <v>0</v>
          </cell>
          <cell r="BO202">
            <v>160035</v>
          </cell>
          <cell r="BP202">
            <v>15814</v>
          </cell>
          <cell r="BQ202">
            <v>28488.372093023299</v>
          </cell>
          <cell r="BR202">
            <v>0</v>
          </cell>
          <cell r="BS202">
            <v>0</v>
          </cell>
          <cell r="BT202">
            <v>105156</v>
          </cell>
          <cell r="BY202">
            <v>0</v>
          </cell>
          <cell r="BZ202">
            <v>0</v>
          </cell>
          <cell r="CA202">
            <v>0</v>
          </cell>
          <cell r="CB202">
            <v>0</v>
          </cell>
          <cell r="CC202">
            <v>5336739</v>
          </cell>
          <cell r="CD202">
            <v>29896448</v>
          </cell>
          <cell r="CE202">
            <v>2520185</v>
          </cell>
          <cell r="CF202">
            <v>0</v>
          </cell>
          <cell r="CG202">
            <v>2520185</v>
          </cell>
          <cell r="CH202">
            <v>2520185</v>
          </cell>
          <cell r="CI202">
            <v>2520185</v>
          </cell>
          <cell r="CJ202">
            <v>2520185</v>
          </cell>
          <cell r="CK202">
            <v>0</v>
          </cell>
          <cell r="CL202">
            <v>0</v>
          </cell>
          <cell r="CM202">
            <v>0</v>
          </cell>
          <cell r="CN202">
            <v>0</v>
          </cell>
          <cell r="CO202">
            <v>0</v>
          </cell>
          <cell r="CP202">
            <v>-3970</v>
          </cell>
          <cell r="CQ202">
            <v>5458570</v>
          </cell>
          <cell r="CR202">
            <v>5346718</v>
          </cell>
          <cell r="CS202">
            <v>5294828</v>
          </cell>
          <cell r="CT202">
            <v>5247385</v>
          </cell>
          <cell r="CU202">
            <v>5179131</v>
          </cell>
          <cell r="CV202">
            <v>100490</v>
          </cell>
          <cell r="CW202">
            <v>0</v>
          </cell>
          <cell r="CX202">
            <v>0</v>
          </cell>
          <cell r="CY202">
            <v>0</v>
          </cell>
          <cell r="CZ202">
            <v>0</v>
          </cell>
          <cell r="DA202">
            <v>0</v>
          </cell>
          <cell r="DC202">
            <v>0</v>
          </cell>
          <cell r="DD202">
            <v>0</v>
          </cell>
          <cell r="DE202">
            <v>0</v>
          </cell>
          <cell r="DF202">
            <v>0</v>
          </cell>
          <cell r="DG202">
            <v>0</v>
          </cell>
          <cell r="DH202">
            <v>0</v>
          </cell>
          <cell r="DI202">
            <v>0</v>
          </cell>
          <cell r="DJ202">
            <v>0</v>
          </cell>
          <cell r="DK202">
            <v>0</v>
          </cell>
          <cell r="DL202">
            <v>0</v>
          </cell>
        </row>
        <row r="203">
          <cell r="A203">
            <v>852</v>
          </cell>
          <cell r="B203" t="str">
            <v>Waterland</v>
          </cell>
          <cell r="C203">
            <v>7</v>
          </cell>
          <cell r="D203">
            <v>-11668</v>
          </cell>
          <cell r="E203">
            <v>-5834</v>
          </cell>
          <cell r="F203">
            <v>0</v>
          </cell>
          <cell r="G203">
            <v>0</v>
          </cell>
          <cell r="H203">
            <v>-12023</v>
          </cell>
          <cell r="I203">
            <v>-16770</v>
          </cell>
          <cell r="K203">
            <v>0</v>
          </cell>
          <cell r="L203">
            <v>40707</v>
          </cell>
          <cell r="M203">
            <v>40068</v>
          </cell>
          <cell r="N203">
            <v>0</v>
          </cell>
          <cell r="O203">
            <v>0</v>
          </cell>
          <cell r="P203">
            <v>0</v>
          </cell>
          <cell r="Q203">
            <v>0</v>
          </cell>
          <cell r="R203">
            <v>0</v>
          </cell>
          <cell r="S203">
            <v>0</v>
          </cell>
          <cell r="T203">
            <v>0</v>
          </cell>
          <cell r="U203">
            <v>0</v>
          </cell>
          <cell r="V203">
            <v>0</v>
          </cell>
          <cell r="W203">
            <v>67838</v>
          </cell>
          <cell r="X203">
            <v>0</v>
          </cell>
          <cell r="Z203">
            <v>0</v>
          </cell>
          <cell r="AA203">
            <v>0</v>
          </cell>
          <cell r="AB203">
            <v>0</v>
          </cell>
          <cell r="AD203">
            <v>0</v>
          </cell>
          <cell r="AE203">
            <v>0</v>
          </cell>
          <cell r="AF203">
            <v>0</v>
          </cell>
          <cell r="AG203">
            <v>0</v>
          </cell>
          <cell r="AH203">
            <v>0</v>
          </cell>
          <cell r="AI203">
            <v>0</v>
          </cell>
          <cell r="AJ203">
            <v>0</v>
          </cell>
          <cell r="AK203">
            <v>0</v>
          </cell>
          <cell r="AM203">
            <v>43935</v>
          </cell>
          <cell r="AN203">
            <v>44946</v>
          </cell>
          <cell r="AO203">
            <v>45980</v>
          </cell>
          <cell r="AP203">
            <v>47037</v>
          </cell>
          <cell r="AQ203">
            <v>48119</v>
          </cell>
          <cell r="AR203">
            <v>49226</v>
          </cell>
          <cell r="AS203">
            <v>0</v>
          </cell>
          <cell r="AT203">
            <v>0</v>
          </cell>
          <cell r="AU203">
            <v>0</v>
          </cell>
          <cell r="AV203">
            <v>0</v>
          </cell>
          <cell r="AW203">
            <v>0</v>
          </cell>
          <cell r="AX203">
            <v>0</v>
          </cell>
          <cell r="BA203">
            <v>0</v>
          </cell>
          <cell r="BC203">
            <v>0</v>
          </cell>
          <cell r="BD203">
            <v>6069</v>
          </cell>
          <cell r="BF203">
            <v>0</v>
          </cell>
          <cell r="BG203">
            <v>0</v>
          </cell>
          <cell r="BH203">
            <v>0</v>
          </cell>
          <cell r="BI203">
            <v>16972</v>
          </cell>
          <cell r="BJ203">
            <v>13971</v>
          </cell>
          <cell r="BK203">
            <v>13971</v>
          </cell>
          <cell r="BL203">
            <v>0</v>
          </cell>
          <cell r="BM203">
            <v>0</v>
          </cell>
          <cell r="BN203">
            <v>0</v>
          </cell>
          <cell r="BO203">
            <v>29186</v>
          </cell>
          <cell r="BP203">
            <v>6325.6</v>
          </cell>
          <cell r="BQ203">
            <v>11395.3488372093</v>
          </cell>
          <cell r="BR203">
            <v>0</v>
          </cell>
          <cell r="BS203">
            <v>0</v>
          </cell>
          <cell r="BT203">
            <v>30725</v>
          </cell>
          <cell r="BY203">
            <v>0</v>
          </cell>
          <cell r="BZ203">
            <v>0</v>
          </cell>
          <cell r="CA203">
            <v>0</v>
          </cell>
          <cell r="CB203">
            <v>0</v>
          </cell>
          <cell r="CC203">
            <v>1135166</v>
          </cell>
          <cell r="CD203">
            <v>4817206</v>
          </cell>
          <cell r="CE203">
            <v>203619</v>
          </cell>
          <cell r="CF203">
            <v>-10894</v>
          </cell>
          <cell r="CG203">
            <v>203619</v>
          </cell>
          <cell r="CH203">
            <v>203619</v>
          </cell>
          <cell r="CI203">
            <v>203619</v>
          </cell>
          <cell r="CJ203">
            <v>203619</v>
          </cell>
          <cell r="CK203">
            <v>0</v>
          </cell>
          <cell r="CL203">
            <v>0</v>
          </cell>
          <cell r="CM203">
            <v>0</v>
          </cell>
          <cell r="CN203">
            <v>0</v>
          </cell>
          <cell r="CO203">
            <v>0</v>
          </cell>
          <cell r="CP203">
            <v>-4427</v>
          </cell>
          <cell r="CQ203">
            <v>578309</v>
          </cell>
          <cell r="CR203">
            <v>550201</v>
          </cell>
          <cell r="CS203">
            <v>550644</v>
          </cell>
          <cell r="CT203">
            <v>546513</v>
          </cell>
          <cell r="CU203">
            <v>529512</v>
          </cell>
          <cell r="CV203">
            <v>-6146</v>
          </cell>
          <cell r="CW203">
            <v>0</v>
          </cell>
          <cell r="CX203">
            <v>0</v>
          </cell>
          <cell r="CY203">
            <v>0</v>
          </cell>
          <cell r="CZ203">
            <v>0</v>
          </cell>
          <cell r="DA203">
            <v>0</v>
          </cell>
          <cell r="DC203">
            <v>0</v>
          </cell>
          <cell r="DD203">
            <v>0</v>
          </cell>
          <cell r="DE203">
            <v>0</v>
          </cell>
          <cell r="DF203">
            <v>0</v>
          </cell>
          <cell r="DG203">
            <v>0</v>
          </cell>
          <cell r="DH203">
            <v>0</v>
          </cell>
          <cell r="DI203">
            <v>0</v>
          </cell>
          <cell r="DJ203">
            <v>0</v>
          </cell>
          <cell r="DK203">
            <v>0</v>
          </cell>
          <cell r="DL203">
            <v>0</v>
          </cell>
        </row>
        <row r="204">
          <cell r="A204">
            <v>457</v>
          </cell>
          <cell r="B204" t="str">
            <v>Weesp</v>
          </cell>
          <cell r="C204">
            <v>7</v>
          </cell>
          <cell r="D204">
            <v>-13162</v>
          </cell>
          <cell r="E204">
            <v>-6581</v>
          </cell>
          <cell r="F204">
            <v>0</v>
          </cell>
          <cell r="G204">
            <v>0</v>
          </cell>
          <cell r="H204">
            <v>-9519</v>
          </cell>
          <cell r="I204">
            <v>-6140</v>
          </cell>
          <cell r="K204">
            <v>0</v>
          </cell>
          <cell r="L204">
            <v>87281</v>
          </cell>
          <cell r="M204">
            <v>79360</v>
          </cell>
          <cell r="N204">
            <v>0</v>
          </cell>
          <cell r="O204">
            <v>0</v>
          </cell>
          <cell r="P204">
            <v>0</v>
          </cell>
          <cell r="Q204">
            <v>0</v>
          </cell>
          <cell r="R204">
            <v>0</v>
          </cell>
          <cell r="S204">
            <v>0</v>
          </cell>
          <cell r="T204">
            <v>0</v>
          </cell>
          <cell r="U204">
            <v>0</v>
          </cell>
          <cell r="V204">
            <v>3000</v>
          </cell>
          <cell r="W204">
            <v>28285</v>
          </cell>
          <cell r="X204">
            <v>0</v>
          </cell>
          <cell r="Z204">
            <v>0</v>
          </cell>
          <cell r="AA204">
            <v>0</v>
          </cell>
          <cell r="AB204">
            <v>0</v>
          </cell>
          <cell r="AD204">
            <v>0</v>
          </cell>
          <cell r="AE204">
            <v>0</v>
          </cell>
          <cell r="AF204">
            <v>0</v>
          </cell>
          <cell r="AG204">
            <v>0</v>
          </cell>
          <cell r="AH204">
            <v>0</v>
          </cell>
          <cell r="AI204">
            <v>0</v>
          </cell>
          <cell r="AJ204">
            <v>0</v>
          </cell>
          <cell r="AK204">
            <v>0</v>
          </cell>
          <cell r="AM204">
            <v>0</v>
          </cell>
          <cell r="AN204">
            <v>0</v>
          </cell>
          <cell r="AO204">
            <v>0</v>
          </cell>
          <cell r="AP204">
            <v>0</v>
          </cell>
          <cell r="AQ204">
            <v>0</v>
          </cell>
          <cell r="AR204">
            <v>0</v>
          </cell>
          <cell r="AS204">
            <v>0</v>
          </cell>
          <cell r="AT204">
            <v>0</v>
          </cell>
          <cell r="AU204">
            <v>0</v>
          </cell>
          <cell r="AV204">
            <v>0</v>
          </cell>
          <cell r="AW204">
            <v>0</v>
          </cell>
          <cell r="AX204">
            <v>0</v>
          </cell>
          <cell r="BA204">
            <v>0</v>
          </cell>
          <cell r="BC204">
            <v>0</v>
          </cell>
          <cell r="BD204">
            <v>6582</v>
          </cell>
          <cell r="BF204">
            <v>0</v>
          </cell>
          <cell r="BG204">
            <v>0</v>
          </cell>
          <cell r="BH204">
            <v>0</v>
          </cell>
          <cell r="BI204">
            <v>33175</v>
          </cell>
          <cell r="BJ204">
            <v>27308</v>
          </cell>
          <cell r="BK204">
            <v>27308</v>
          </cell>
          <cell r="BL204">
            <v>0</v>
          </cell>
          <cell r="BM204">
            <v>0</v>
          </cell>
          <cell r="BN204">
            <v>0</v>
          </cell>
          <cell r="BO204">
            <v>10215</v>
          </cell>
          <cell r="BP204">
            <v>0</v>
          </cell>
          <cell r="BQ204">
            <v>0</v>
          </cell>
          <cell r="BR204">
            <v>0</v>
          </cell>
          <cell r="BS204">
            <v>0</v>
          </cell>
          <cell r="BT204">
            <v>29849</v>
          </cell>
          <cell r="BY204">
            <v>0</v>
          </cell>
          <cell r="BZ204">
            <v>0</v>
          </cell>
          <cell r="CA204">
            <v>0</v>
          </cell>
          <cell r="CB204">
            <v>0</v>
          </cell>
          <cell r="CC204">
            <v>1419797</v>
          </cell>
          <cell r="CD204">
            <v>6590907</v>
          </cell>
          <cell r="CE204">
            <v>468849</v>
          </cell>
          <cell r="CF204">
            <v>-14705</v>
          </cell>
          <cell r="CG204">
            <v>468849</v>
          </cell>
          <cell r="CH204">
            <v>468849</v>
          </cell>
          <cell r="CI204">
            <v>468849</v>
          </cell>
          <cell r="CJ204">
            <v>468849</v>
          </cell>
          <cell r="CK204">
            <v>0</v>
          </cell>
          <cell r="CL204">
            <v>0</v>
          </cell>
          <cell r="CM204">
            <v>0</v>
          </cell>
          <cell r="CN204">
            <v>0</v>
          </cell>
          <cell r="CO204">
            <v>0</v>
          </cell>
          <cell r="CP204">
            <v>0</v>
          </cell>
          <cell r="CQ204">
            <v>754415</v>
          </cell>
          <cell r="CR204">
            <v>729403</v>
          </cell>
          <cell r="CS204">
            <v>700950</v>
          </cell>
          <cell r="CT204">
            <v>694552</v>
          </cell>
          <cell r="CU204">
            <v>681653</v>
          </cell>
          <cell r="CV204">
            <v>-65591</v>
          </cell>
          <cell r="CW204">
            <v>0</v>
          </cell>
          <cell r="CX204">
            <v>0</v>
          </cell>
          <cell r="CY204">
            <v>0</v>
          </cell>
          <cell r="CZ204">
            <v>0</v>
          </cell>
          <cell r="DA204">
            <v>0</v>
          </cell>
          <cell r="DC204">
            <v>0</v>
          </cell>
          <cell r="DD204">
            <v>0</v>
          </cell>
          <cell r="DE204">
            <v>0</v>
          </cell>
          <cell r="DF204">
            <v>0</v>
          </cell>
          <cell r="DG204">
            <v>0</v>
          </cell>
          <cell r="DH204">
            <v>0</v>
          </cell>
          <cell r="DI204">
            <v>0</v>
          </cell>
          <cell r="DJ204">
            <v>0</v>
          </cell>
          <cell r="DK204">
            <v>0</v>
          </cell>
          <cell r="DL204">
            <v>0</v>
          </cell>
        </row>
        <row r="205">
          <cell r="A205">
            <v>1696</v>
          </cell>
          <cell r="B205" t="str">
            <v>Wijdemeren</v>
          </cell>
          <cell r="C205">
            <v>7</v>
          </cell>
          <cell r="D205">
            <v>-9525</v>
          </cell>
          <cell r="E205">
            <v>-4762</v>
          </cell>
          <cell r="F205">
            <v>0</v>
          </cell>
          <cell r="G205">
            <v>0</v>
          </cell>
          <cell r="H205">
            <v>-2103</v>
          </cell>
          <cell r="I205">
            <v>-3244</v>
          </cell>
          <cell r="K205">
            <v>0</v>
          </cell>
          <cell r="L205">
            <v>71626</v>
          </cell>
          <cell r="M205">
            <v>65351</v>
          </cell>
          <cell r="N205">
            <v>0</v>
          </cell>
          <cell r="O205">
            <v>0</v>
          </cell>
          <cell r="P205">
            <v>0</v>
          </cell>
          <cell r="Q205">
            <v>0</v>
          </cell>
          <cell r="R205">
            <v>0</v>
          </cell>
          <cell r="S205">
            <v>0</v>
          </cell>
          <cell r="T205">
            <v>0</v>
          </cell>
          <cell r="U205">
            <v>0</v>
          </cell>
          <cell r="V205">
            <v>3000</v>
          </cell>
          <cell r="W205">
            <v>69905</v>
          </cell>
          <cell r="X205">
            <v>0</v>
          </cell>
          <cell r="Z205">
            <v>0</v>
          </cell>
          <cell r="AA205">
            <v>0</v>
          </cell>
          <cell r="AB205">
            <v>0</v>
          </cell>
          <cell r="AD205">
            <v>0</v>
          </cell>
          <cell r="AE205">
            <v>0</v>
          </cell>
          <cell r="AF205">
            <v>0</v>
          </cell>
          <cell r="AG205">
            <v>0</v>
          </cell>
          <cell r="AH205">
            <v>0</v>
          </cell>
          <cell r="AI205">
            <v>0</v>
          </cell>
          <cell r="AJ205">
            <v>0</v>
          </cell>
          <cell r="AK205">
            <v>0</v>
          </cell>
          <cell r="AM205">
            <v>0</v>
          </cell>
          <cell r="AN205">
            <v>0</v>
          </cell>
          <cell r="AO205">
            <v>0</v>
          </cell>
          <cell r="AP205">
            <v>0</v>
          </cell>
          <cell r="AQ205">
            <v>0</v>
          </cell>
          <cell r="AR205">
            <v>0</v>
          </cell>
          <cell r="AS205">
            <v>0</v>
          </cell>
          <cell r="AT205">
            <v>0</v>
          </cell>
          <cell r="AU205">
            <v>0</v>
          </cell>
          <cell r="AV205">
            <v>0</v>
          </cell>
          <cell r="AW205">
            <v>0</v>
          </cell>
          <cell r="AX205">
            <v>0</v>
          </cell>
          <cell r="BA205">
            <v>0</v>
          </cell>
          <cell r="BC205">
            <v>0</v>
          </cell>
          <cell r="BD205">
            <v>8231</v>
          </cell>
          <cell r="BF205">
            <v>0</v>
          </cell>
          <cell r="BG205">
            <v>0</v>
          </cell>
          <cell r="BH205">
            <v>0</v>
          </cell>
          <cell r="BI205">
            <v>23462</v>
          </cell>
          <cell r="BJ205">
            <v>19313</v>
          </cell>
          <cell r="BK205">
            <v>19313</v>
          </cell>
          <cell r="BL205">
            <v>0</v>
          </cell>
          <cell r="BM205">
            <v>0</v>
          </cell>
          <cell r="BN205">
            <v>0</v>
          </cell>
          <cell r="BO205">
            <v>58858</v>
          </cell>
          <cell r="BP205">
            <v>0</v>
          </cell>
          <cell r="BQ205">
            <v>0</v>
          </cell>
          <cell r="BR205">
            <v>0</v>
          </cell>
          <cell r="BS205">
            <v>0</v>
          </cell>
          <cell r="BT205">
            <v>43716</v>
          </cell>
          <cell r="BY205">
            <v>0</v>
          </cell>
          <cell r="BZ205">
            <v>0</v>
          </cell>
          <cell r="CA205">
            <v>0</v>
          </cell>
          <cell r="CB205">
            <v>0</v>
          </cell>
          <cell r="CC205">
            <v>1560665</v>
          </cell>
          <cell r="CD205">
            <v>5961545</v>
          </cell>
          <cell r="CE205">
            <v>213957</v>
          </cell>
          <cell r="CF205">
            <v>-6701</v>
          </cell>
          <cell r="CG205">
            <v>213957</v>
          </cell>
          <cell r="CH205">
            <v>213957</v>
          </cell>
          <cell r="CI205">
            <v>213957</v>
          </cell>
          <cell r="CJ205">
            <v>213957</v>
          </cell>
          <cell r="CK205">
            <v>0</v>
          </cell>
          <cell r="CL205">
            <v>0</v>
          </cell>
          <cell r="CM205">
            <v>0</v>
          </cell>
          <cell r="CN205">
            <v>0</v>
          </cell>
          <cell r="CO205">
            <v>0</v>
          </cell>
          <cell r="CP205">
            <v>-171</v>
          </cell>
          <cell r="CQ205">
            <v>671454</v>
          </cell>
          <cell r="CR205">
            <v>632101</v>
          </cell>
          <cell r="CS205">
            <v>632045</v>
          </cell>
          <cell r="CT205">
            <v>633338</v>
          </cell>
          <cell r="CU205">
            <v>621246</v>
          </cell>
          <cell r="CV205">
            <v>-29487</v>
          </cell>
          <cell r="CW205">
            <v>0</v>
          </cell>
          <cell r="CX205">
            <v>0</v>
          </cell>
          <cell r="CY205">
            <v>0</v>
          </cell>
          <cell r="CZ205">
            <v>0</v>
          </cell>
          <cell r="DA205">
            <v>0</v>
          </cell>
          <cell r="DC205">
            <v>0</v>
          </cell>
          <cell r="DD205">
            <v>0</v>
          </cell>
          <cell r="DE205">
            <v>0</v>
          </cell>
          <cell r="DF205">
            <v>0</v>
          </cell>
          <cell r="DG205">
            <v>0</v>
          </cell>
          <cell r="DH205">
            <v>0</v>
          </cell>
          <cell r="DI205">
            <v>0</v>
          </cell>
          <cell r="DJ205">
            <v>0</v>
          </cell>
          <cell r="DK205">
            <v>0</v>
          </cell>
          <cell r="DL205">
            <v>0</v>
          </cell>
        </row>
        <row r="206">
          <cell r="A206">
            <v>880</v>
          </cell>
          <cell r="B206" t="str">
            <v>Wormerland</v>
          </cell>
          <cell r="C206">
            <v>7</v>
          </cell>
          <cell r="D206">
            <v>14422</v>
          </cell>
          <cell r="E206">
            <v>7211</v>
          </cell>
          <cell r="F206">
            <v>0</v>
          </cell>
          <cell r="G206">
            <v>0</v>
          </cell>
          <cell r="H206">
            <v>-2385</v>
          </cell>
          <cell r="I206">
            <v>-8685</v>
          </cell>
          <cell r="K206">
            <v>0</v>
          </cell>
          <cell r="L206">
            <v>58495</v>
          </cell>
          <cell r="M206">
            <v>59994</v>
          </cell>
          <cell r="N206">
            <v>0</v>
          </cell>
          <cell r="O206">
            <v>0</v>
          </cell>
          <cell r="P206">
            <v>0</v>
          </cell>
          <cell r="Q206">
            <v>0</v>
          </cell>
          <cell r="R206">
            <v>0</v>
          </cell>
          <cell r="S206">
            <v>0</v>
          </cell>
          <cell r="T206">
            <v>0</v>
          </cell>
          <cell r="U206">
            <v>0</v>
          </cell>
          <cell r="V206">
            <v>0</v>
          </cell>
          <cell r="W206">
            <v>48893</v>
          </cell>
          <cell r="X206">
            <v>0</v>
          </cell>
          <cell r="Z206">
            <v>0</v>
          </cell>
          <cell r="AA206">
            <v>0</v>
          </cell>
          <cell r="AB206">
            <v>0</v>
          </cell>
          <cell r="AD206">
            <v>0</v>
          </cell>
          <cell r="AE206">
            <v>0</v>
          </cell>
          <cell r="AF206">
            <v>0</v>
          </cell>
          <cell r="AG206">
            <v>0</v>
          </cell>
          <cell r="AH206">
            <v>0</v>
          </cell>
          <cell r="AI206">
            <v>0</v>
          </cell>
          <cell r="AJ206">
            <v>0</v>
          </cell>
          <cell r="AK206">
            <v>0</v>
          </cell>
          <cell r="AM206">
            <v>36039</v>
          </cell>
          <cell r="AN206">
            <v>36868</v>
          </cell>
          <cell r="AO206">
            <v>37716</v>
          </cell>
          <cell r="AP206">
            <v>38584</v>
          </cell>
          <cell r="AQ206">
            <v>39471</v>
          </cell>
          <cell r="AR206">
            <v>40379</v>
          </cell>
          <cell r="AS206">
            <v>0</v>
          </cell>
          <cell r="AT206">
            <v>0</v>
          </cell>
          <cell r="AU206">
            <v>0</v>
          </cell>
          <cell r="AV206">
            <v>0</v>
          </cell>
          <cell r="AW206">
            <v>0</v>
          </cell>
          <cell r="AX206">
            <v>0</v>
          </cell>
          <cell r="BA206">
            <v>0</v>
          </cell>
          <cell r="BC206">
            <v>0</v>
          </cell>
          <cell r="BD206">
            <v>5553</v>
          </cell>
          <cell r="BF206">
            <v>0</v>
          </cell>
          <cell r="BG206">
            <v>0</v>
          </cell>
          <cell r="BH206">
            <v>0</v>
          </cell>
          <cell r="BI206">
            <v>21174</v>
          </cell>
          <cell r="BJ206">
            <v>17429</v>
          </cell>
          <cell r="BK206">
            <v>17429</v>
          </cell>
          <cell r="BL206">
            <v>0</v>
          </cell>
          <cell r="BM206">
            <v>0</v>
          </cell>
          <cell r="BN206">
            <v>0</v>
          </cell>
          <cell r="BO206">
            <v>65668</v>
          </cell>
          <cell r="BP206">
            <v>0</v>
          </cell>
          <cell r="BQ206">
            <v>0</v>
          </cell>
          <cell r="BR206">
            <v>0</v>
          </cell>
          <cell r="BS206">
            <v>0</v>
          </cell>
          <cell r="BT206">
            <v>28159</v>
          </cell>
          <cell r="BY206">
            <v>0</v>
          </cell>
          <cell r="BZ206">
            <v>0</v>
          </cell>
          <cell r="CA206">
            <v>0</v>
          </cell>
          <cell r="CB206">
            <v>0</v>
          </cell>
          <cell r="CC206">
            <v>1225439</v>
          </cell>
          <cell r="CD206">
            <v>5166964</v>
          </cell>
          <cell r="CE206">
            <v>240024</v>
          </cell>
          <cell r="CF206">
            <v>0</v>
          </cell>
          <cell r="CG206">
            <v>240024</v>
          </cell>
          <cell r="CH206">
            <v>240024</v>
          </cell>
          <cell r="CI206">
            <v>240024</v>
          </cell>
          <cell r="CJ206">
            <v>240024</v>
          </cell>
          <cell r="CK206">
            <v>0</v>
          </cell>
          <cell r="CL206">
            <v>0</v>
          </cell>
          <cell r="CM206">
            <v>0</v>
          </cell>
          <cell r="CN206">
            <v>0</v>
          </cell>
          <cell r="CO206">
            <v>0</v>
          </cell>
          <cell r="CP206">
            <v>-3145</v>
          </cell>
          <cell r="CQ206">
            <v>580504</v>
          </cell>
          <cell r="CR206">
            <v>575976</v>
          </cell>
          <cell r="CS206">
            <v>560432</v>
          </cell>
          <cell r="CT206">
            <v>568180</v>
          </cell>
          <cell r="CU206">
            <v>558710</v>
          </cell>
          <cell r="CV206">
            <v>23800</v>
          </cell>
          <cell r="CW206">
            <v>0</v>
          </cell>
          <cell r="CX206">
            <v>0</v>
          </cell>
          <cell r="CY206">
            <v>0</v>
          </cell>
          <cell r="CZ206">
            <v>0</v>
          </cell>
          <cell r="DA206">
            <v>0</v>
          </cell>
          <cell r="DC206">
            <v>0</v>
          </cell>
          <cell r="DD206">
            <v>0</v>
          </cell>
          <cell r="DE206">
            <v>0</v>
          </cell>
          <cell r="DF206">
            <v>0</v>
          </cell>
          <cell r="DG206">
            <v>0</v>
          </cell>
          <cell r="DH206">
            <v>0</v>
          </cell>
          <cell r="DI206">
            <v>0</v>
          </cell>
          <cell r="DJ206">
            <v>0</v>
          </cell>
          <cell r="DK206">
            <v>0</v>
          </cell>
          <cell r="DL206">
            <v>0</v>
          </cell>
        </row>
        <row r="207">
          <cell r="A207">
            <v>479</v>
          </cell>
          <cell r="B207" t="str">
            <v>Zaanstad</v>
          </cell>
          <cell r="C207">
            <v>7</v>
          </cell>
          <cell r="D207">
            <v>197008</v>
          </cell>
          <cell r="E207">
            <v>98504</v>
          </cell>
          <cell r="F207">
            <v>0</v>
          </cell>
          <cell r="G207">
            <v>0</v>
          </cell>
          <cell r="H207">
            <v>-179908</v>
          </cell>
          <cell r="I207">
            <v>-150280</v>
          </cell>
          <cell r="K207">
            <v>0</v>
          </cell>
          <cell r="L207">
            <v>895286</v>
          </cell>
          <cell r="M207">
            <v>901702</v>
          </cell>
          <cell r="N207">
            <v>0</v>
          </cell>
          <cell r="O207">
            <v>0</v>
          </cell>
          <cell r="P207">
            <v>150000</v>
          </cell>
          <cell r="Q207">
            <v>0</v>
          </cell>
          <cell r="R207">
            <v>0</v>
          </cell>
          <cell r="S207">
            <v>4558321</v>
          </cell>
          <cell r="T207">
            <v>3689196</v>
          </cell>
          <cell r="U207">
            <v>4251278</v>
          </cell>
          <cell r="V207">
            <v>6000</v>
          </cell>
          <cell r="W207">
            <v>555727</v>
          </cell>
          <cell r="X207">
            <v>0</v>
          </cell>
          <cell r="Z207">
            <v>0</v>
          </cell>
          <cell r="AA207">
            <v>32000</v>
          </cell>
          <cell r="AB207">
            <v>0</v>
          </cell>
          <cell r="AD207">
            <v>151559</v>
          </cell>
          <cell r="AE207">
            <v>0</v>
          </cell>
          <cell r="AF207">
            <v>0</v>
          </cell>
          <cell r="AG207">
            <v>0</v>
          </cell>
          <cell r="AH207">
            <v>0</v>
          </cell>
          <cell r="AI207">
            <v>0</v>
          </cell>
          <cell r="AJ207">
            <v>0</v>
          </cell>
          <cell r="AK207">
            <v>256374</v>
          </cell>
          <cell r="AM207">
            <v>0</v>
          </cell>
          <cell r="AN207">
            <v>0</v>
          </cell>
          <cell r="AO207">
            <v>0</v>
          </cell>
          <cell r="AP207">
            <v>0</v>
          </cell>
          <cell r="AQ207">
            <v>0</v>
          </cell>
          <cell r="AR207">
            <v>0</v>
          </cell>
          <cell r="AS207">
            <v>0</v>
          </cell>
          <cell r="AT207">
            <v>19000</v>
          </cell>
          <cell r="AU207">
            <v>16590</v>
          </cell>
          <cell r="AV207">
            <v>2620141.4463412901</v>
          </cell>
          <cell r="AW207">
            <v>0</v>
          </cell>
          <cell r="AX207">
            <v>0</v>
          </cell>
          <cell r="BA207">
            <v>0</v>
          </cell>
          <cell r="BC207">
            <v>0</v>
          </cell>
          <cell r="BD207">
            <v>53947</v>
          </cell>
          <cell r="BF207">
            <v>0</v>
          </cell>
          <cell r="BG207">
            <v>0</v>
          </cell>
          <cell r="BH207">
            <v>0</v>
          </cell>
          <cell r="BI207">
            <v>261385</v>
          </cell>
          <cell r="BJ207">
            <v>215158</v>
          </cell>
          <cell r="BK207">
            <v>215158</v>
          </cell>
          <cell r="BL207">
            <v>0</v>
          </cell>
          <cell r="BM207">
            <v>0</v>
          </cell>
          <cell r="BN207">
            <v>140910</v>
          </cell>
          <cell r="BO207">
            <v>301099</v>
          </cell>
          <cell r="BP207">
            <v>23721</v>
          </cell>
          <cell r="BQ207">
            <v>42732.5581395349</v>
          </cell>
          <cell r="BR207">
            <v>0</v>
          </cell>
          <cell r="BS207">
            <v>0</v>
          </cell>
          <cell r="BT207">
            <v>254416</v>
          </cell>
          <cell r="BY207">
            <v>2431006.8324027401</v>
          </cell>
          <cell r="BZ207">
            <v>2816676.4018651</v>
          </cell>
          <cell r="CA207">
            <v>2849623.04850259</v>
          </cell>
          <cell r="CB207">
            <v>2942648.87430256</v>
          </cell>
          <cell r="CC207">
            <v>11804901</v>
          </cell>
          <cell r="CD207">
            <v>82619208</v>
          </cell>
          <cell r="CE207">
            <v>3747322</v>
          </cell>
          <cell r="CF207">
            <v>-182795</v>
          </cell>
          <cell r="CG207">
            <v>3747322</v>
          </cell>
          <cell r="CH207">
            <v>3747322</v>
          </cell>
          <cell r="CI207">
            <v>3747322</v>
          </cell>
          <cell r="CJ207">
            <v>3747322</v>
          </cell>
          <cell r="CK207">
            <v>12045734</v>
          </cell>
          <cell r="CL207">
            <v>12039808</v>
          </cell>
          <cell r="CM207">
            <v>12039713</v>
          </cell>
          <cell r="CN207">
            <v>12039502</v>
          </cell>
          <cell r="CO207">
            <v>12039794</v>
          </cell>
          <cell r="CP207">
            <v>-26684</v>
          </cell>
          <cell r="CQ207">
            <v>9455521</v>
          </cell>
          <cell r="CR207">
            <v>9173680</v>
          </cell>
          <cell r="CS207">
            <v>9016167</v>
          </cell>
          <cell r="CT207">
            <v>8961994</v>
          </cell>
          <cell r="CU207">
            <v>8780260</v>
          </cell>
          <cell r="CV207">
            <v>-240307</v>
          </cell>
          <cell r="CW207">
            <v>0</v>
          </cell>
          <cell r="CX207">
            <v>0</v>
          </cell>
          <cell r="CY207">
            <v>0</v>
          </cell>
          <cell r="CZ207">
            <v>0</v>
          </cell>
          <cell r="DA207">
            <v>0</v>
          </cell>
          <cell r="DC207">
            <v>150000</v>
          </cell>
          <cell r="DD207">
            <v>0</v>
          </cell>
          <cell r="DE207">
            <v>0</v>
          </cell>
          <cell r="DF207">
            <v>0</v>
          </cell>
          <cell r="DG207">
            <v>0</v>
          </cell>
          <cell r="DH207">
            <v>0</v>
          </cell>
          <cell r="DI207">
            <v>0</v>
          </cell>
          <cell r="DJ207">
            <v>0</v>
          </cell>
          <cell r="DK207">
            <v>0</v>
          </cell>
          <cell r="DL207">
            <v>0</v>
          </cell>
        </row>
        <row r="208">
          <cell r="A208">
            <v>473</v>
          </cell>
          <cell r="B208" t="str">
            <v>Zandvoort</v>
          </cell>
          <cell r="C208">
            <v>7</v>
          </cell>
          <cell r="D208">
            <v>1916</v>
          </cell>
          <cell r="E208">
            <v>958</v>
          </cell>
          <cell r="F208">
            <v>0</v>
          </cell>
          <cell r="G208">
            <v>0</v>
          </cell>
          <cell r="H208">
            <v>-29010</v>
          </cell>
          <cell r="I208">
            <v>-19354</v>
          </cell>
          <cell r="K208">
            <v>0</v>
          </cell>
          <cell r="L208">
            <v>85872</v>
          </cell>
          <cell r="M208">
            <v>85421</v>
          </cell>
          <cell r="N208">
            <v>0</v>
          </cell>
          <cell r="O208">
            <v>0</v>
          </cell>
          <cell r="P208">
            <v>0</v>
          </cell>
          <cell r="Q208">
            <v>0</v>
          </cell>
          <cell r="R208">
            <v>0</v>
          </cell>
          <cell r="S208">
            <v>0</v>
          </cell>
          <cell r="T208">
            <v>0</v>
          </cell>
          <cell r="U208">
            <v>0</v>
          </cell>
          <cell r="V208">
            <v>3000</v>
          </cell>
          <cell r="W208">
            <v>52288</v>
          </cell>
          <cell r="X208">
            <v>0</v>
          </cell>
          <cell r="Z208">
            <v>0</v>
          </cell>
          <cell r="AA208">
            <v>0</v>
          </cell>
          <cell r="AB208">
            <v>0</v>
          </cell>
          <cell r="AD208">
            <v>0</v>
          </cell>
          <cell r="AE208">
            <v>0</v>
          </cell>
          <cell r="AF208">
            <v>0</v>
          </cell>
          <cell r="AG208">
            <v>0</v>
          </cell>
          <cell r="AH208">
            <v>0</v>
          </cell>
          <cell r="AI208">
            <v>0</v>
          </cell>
          <cell r="AJ208">
            <v>0</v>
          </cell>
          <cell r="AK208">
            <v>0</v>
          </cell>
          <cell r="AM208">
            <v>0</v>
          </cell>
          <cell r="AN208">
            <v>0</v>
          </cell>
          <cell r="AO208">
            <v>0</v>
          </cell>
          <cell r="AP208">
            <v>0</v>
          </cell>
          <cell r="AQ208">
            <v>0</v>
          </cell>
          <cell r="AR208">
            <v>0</v>
          </cell>
          <cell r="AS208">
            <v>0</v>
          </cell>
          <cell r="AT208">
            <v>0</v>
          </cell>
          <cell r="AU208">
            <v>0</v>
          </cell>
          <cell r="AV208">
            <v>0</v>
          </cell>
          <cell r="AW208">
            <v>0</v>
          </cell>
          <cell r="AX208">
            <v>0</v>
          </cell>
          <cell r="BA208">
            <v>0</v>
          </cell>
          <cell r="BC208">
            <v>0</v>
          </cell>
          <cell r="BD208">
            <v>5932</v>
          </cell>
          <cell r="BF208">
            <v>0</v>
          </cell>
          <cell r="BG208">
            <v>0</v>
          </cell>
          <cell r="BH208">
            <v>0</v>
          </cell>
          <cell r="BI208">
            <v>33285</v>
          </cell>
          <cell r="BJ208">
            <v>27398</v>
          </cell>
          <cell r="BK208">
            <v>27398</v>
          </cell>
          <cell r="BL208">
            <v>0</v>
          </cell>
          <cell r="BM208">
            <v>0</v>
          </cell>
          <cell r="BN208">
            <v>0</v>
          </cell>
          <cell r="BO208">
            <v>51075</v>
          </cell>
          <cell r="BP208">
            <v>0</v>
          </cell>
          <cell r="BQ208">
            <v>0</v>
          </cell>
          <cell r="BR208">
            <v>0</v>
          </cell>
          <cell r="BS208">
            <v>0</v>
          </cell>
          <cell r="BT208">
            <v>24177</v>
          </cell>
          <cell r="BY208">
            <v>0</v>
          </cell>
          <cell r="BZ208">
            <v>0</v>
          </cell>
          <cell r="CA208">
            <v>0</v>
          </cell>
          <cell r="CB208">
            <v>0</v>
          </cell>
          <cell r="CC208">
            <v>1650434</v>
          </cell>
          <cell r="CD208">
            <v>6265530</v>
          </cell>
          <cell r="CE208">
            <v>200193</v>
          </cell>
          <cell r="CF208">
            <v>-21077</v>
          </cell>
          <cell r="CG208">
            <v>200193</v>
          </cell>
          <cell r="CH208">
            <v>200193</v>
          </cell>
          <cell r="CI208">
            <v>200193</v>
          </cell>
          <cell r="CJ208">
            <v>200193</v>
          </cell>
          <cell r="CK208">
            <v>0</v>
          </cell>
          <cell r="CL208">
            <v>0</v>
          </cell>
          <cell r="CM208">
            <v>0</v>
          </cell>
          <cell r="CN208">
            <v>0</v>
          </cell>
          <cell r="CO208">
            <v>0</v>
          </cell>
          <cell r="CP208">
            <v>-3793</v>
          </cell>
          <cell r="CQ208">
            <v>655397</v>
          </cell>
          <cell r="CR208">
            <v>639509</v>
          </cell>
          <cell r="CS208">
            <v>612024</v>
          </cell>
          <cell r="CT208">
            <v>614235</v>
          </cell>
          <cell r="CU208">
            <v>619828</v>
          </cell>
          <cell r="CV208">
            <v>3475</v>
          </cell>
          <cell r="CW208">
            <v>0</v>
          </cell>
          <cell r="CX208">
            <v>0</v>
          </cell>
          <cell r="CY208">
            <v>0</v>
          </cell>
          <cell r="CZ208">
            <v>0</v>
          </cell>
          <cell r="DA208">
            <v>0</v>
          </cell>
          <cell r="DC208">
            <v>0</v>
          </cell>
          <cell r="DD208">
            <v>0</v>
          </cell>
          <cell r="DE208">
            <v>0</v>
          </cell>
          <cell r="DF208">
            <v>0</v>
          </cell>
          <cell r="DG208">
            <v>0</v>
          </cell>
          <cell r="DH208">
            <v>0</v>
          </cell>
          <cell r="DI208">
            <v>0</v>
          </cell>
          <cell r="DJ208">
            <v>0</v>
          </cell>
          <cell r="DK208">
            <v>0</v>
          </cell>
          <cell r="DL208">
            <v>0</v>
          </cell>
        </row>
        <row r="209">
          <cell r="A209">
            <v>482</v>
          </cell>
          <cell r="B209" t="str">
            <v>Alblasserdam</v>
          </cell>
          <cell r="C209">
            <v>8</v>
          </cell>
          <cell r="D209">
            <v>14585</v>
          </cell>
          <cell r="E209">
            <v>7293</v>
          </cell>
          <cell r="F209">
            <v>0</v>
          </cell>
          <cell r="G209">
            <v>141971</v>
          </cell>
          <cell r="H209">
            <v>-22133</v>
          </cell>
          <cell r="I209">
            <v>-18027</v>
          </cell>
          <cell r="K209">
            <v>0</v>
          </cell>
          <cell r="L209">
            <v>67726</v>
          </cell>
          <cell r="M209">
            <v>71184</v>
          </cell>
          <cell r="N209">
            <v>0</v>
          </cell>
          <cell r="O209">
            <v>0</v>
          </cell>
          <cell r="P209">
            <v>0</v>
          </cell>
          <cell r="Q209">
            <v>0</v>
          </cell>
          <cell r="R209">
            <v>0</v>
          </cell>
          <cell r="S209">
            <v>0</v>
          </cell>
          <cell r="T209">
            <v>0</v>
          </cell>
          <cell r="U209">
            <v>0</v>
          </cell>
          <cell r="V209">
            <v>0</v>
          </cell>
          <cell r="W209">
            <v>73945</v>
          </cell>
          <cell r="X209">
            <v>0</v>
          </cell>
          <cell r="Z209">
            <v>0</v>
          </cell>
          <cell r="AA209">
            <v>0</v>
          </cell>
          <cell r="AB209">
            <v>0</v>
          </cell>
          <cell r="AD209">
            <v>45956</v>
          </cell>
          <cell r="AE209">
            <v>0</v>
          </cell>
          <cell r="AF209">
            <v>0</v>
          </cell>
          <cell r="AG209">
            <v>0</v>
          </cell>
          <cell r="AH209">
            <v>0</v>
          </cell>
          <cell r="AI209">
            <v>0</v>
          </cell>
          <cell r="AJ209">
            <v>0</v>
          </cell>
          <cell r="AK209">
            <v>0</v>
          </cell>
          <cell r="AM209">
            <v>4491</v>
          </cell>
          <cell r="AN209">
            <v>4594</v>
          </cell>
          <cell r="AO209">
            <v>4699</v>
          </cell>
          <cell r="AP209">
            <v>4808</v>
          </cell>
          <cell r="AQ209">
            <v>4918</v>
          </cell>
          <cell r="AR209">
            <v>5031</v>
          </cell>
          <cell r="AS209">
            <v>0</v>
          </cell>
          <cell r="AT209">
            <v>0</v>
          </cell>
          <cell r="AU209">
            <v>2370</v>
          </cell>
          <cell r="AV209">
            <v>0</v>
          </cell>
          <cell r="AW209">
            <v>0</v>
          </cell>
          <cell r="AX209">
            <v>0</v>
          </cell>
          <cell r="BA209">
            <v>0</v>
          </cell>
          <cell r="BC209">
            <v>0</v>
          </cell>
          <cell r="BD209">
            <v>7024</v>
          </cell>
          <cell r="BF209">
            <v>0</v>
          </cell>
          <cell r="BG209">
            <v>0</v>
          </cell>
          <cell r="BH209">
            <v>0</v>
          </cell>
          <cell r="BI209">
            <v>27494</v>
          </cell>
          <cell r="BJ209">
            <v>22631</v>
          </cell>
          <cell r="BK209">
            <v>22631</v>
          </cell>
          <cell r="BL209">
            <v>0</v>
          </cell>
          <cell r="BM209">
            <v>0</v>
          </cell>
          <cell r="BN209">
            <v>0</v>
          </cell>
          <cell r="BO209">
            <v>85125</v>
          </cell>
          <cell r="BP209">
            <v>12651.2</v>
          </cell>
          <cell r="BQ209">
            <v>22790.697674418599</v>
          </cell>
          <cell r="BR209">
            <v>0</v>
          </cell>
          <cell r="BS209">
            <v>0</v>
          </cell>
          <cell r="BT209">
            <v>34176</v>
          </cell>
          <cell r="BY209">
            <v>0</v>
          </cell>
          <cell r="BZ209">
            <v>0</v>
          </cell>
          <cell r="CA209">
            <v>0</v>
          </cell>
          <cell r="CB209">
            <v>0</v>
          </cell>
          <cell r="CC209">
            <v>1570650</v>
          </cell>
          <cell r="CD209">
            <v>8650761</v>
          </cell>
          <cell r="CE209">
            <v>490204</v>
          </cell>
          <cell r="CF209">
            <v>-43491</v>
          </cell>
          <cell r="CG209">
            <v>490204</v>
          </cell>
          <cell r="CH209">
            <v>490204</v>
          </cell>
          <cell r="CI209">
            <v>490204</v>
          </cell>
          <cell r="CJ209">
            <v>490204</v>
          </cell>
          <cell r="CK209">
            <v>0</v>
          </cell>
          <cell r="CL209">
            <v>0</v>
          </cell>
          <cell r="CM209">
            <v>0</v>
          </cell>
          <cell r="CN209">
            <v>0</v>
          </cell>
          <cell r="CO209">
            <v>0</v>
          </cell>
          <cell r="CP209">
            <v>0</v>
          </cell>
          <cell r="CQ209">
            <v>1405723</v>
          </cell>
          <cell r="CR209">
            <v>1346505</v>
          </cell>
          <cell r="CS209">
            <v>1303384</v>
          </cell>
          <cell r="CT209">
            <v>1291521</v>
          </cell>
          <cell r="CU209">
            <v>1297764</v>
          </cell>
          <cell r="CV209">
            <v>-15429</v>
          </cell>
          <cell r="CW209">
            <v>0</v>
          </cell>
          <cell r="CX209">
            <v>0</v>
          </cell>
          <cell r="CY209">
            <v>0</v>
          </cell>
          <cell r="CZ209">
            <v>0</v>
          </cell>
          <cell r="DA209">
            <v>0</v>
          </cell>
          <cell r="DC209">
            <v>0</v>
          </cell>
          <cell r="DD209">
            <v>0</v>
          </cell>
          <cell r="DE209">
            <v>0</v>
          </cell>
          <cell r="DF209">
            <v>0</v>
          </cell>
          <cell r="DG209">
            <v>0</v>
          </cell>
          <cell r="DH209">
            <v>0</v>
          </cell>
          <cell r="DI209">
            <v>0</v>
          </cell>
          <cell r="DJ209">
            <v>0</v>
          </cell>
          <cell r="DK209">
            <v>0</v>
          </cell>
          <cell r="DL209">
            <v>0</v>
          </cell>
        </row>
        <row r="210">
          <cell r="A210">
            <v>613</v>
          </cell>
          <cell r="B210" t="str">
            <v>Albrandswaard</v>
          </cell>
          <cell r="C210">
            <v>8</v>
          </cell>
          <cell r="D210">
            <v>16832</v>
          </cell>
          <cell r="E210">
            <v>8416</v>
          </cell>
          <cell r="F210">
            <v>0</v>
          </cell>
          <cell r="G210">
            <v>0</v>
          </cell>
          <cell r="H210">
            <v>-10660</v>
          </cell>
          <cell r="I210">
            <v>-12849</v>
          </cell>
          <cell r="K210">
            <v>0</v>
          </cell>
          <cell r="L210">
            <v>86906</v>
          </cell>
          <cell r="M210">
            <v>77326</v>
          </cell>
          <cell r="N210">
            <v>0</v>
          </cell>
          <cell r="O210">
            <v>0</v>
          </cell>
          <cell r="P210">
            <v>0</v>
          </cell>
          <cell r="Q210">
            <v>0</v>
          </cell>
          <cell r="R210">
            <v>0</v>
          </cell>
          <cell r="S210">
            <v>0</v>
          </cell>
          <cell r="T210">
            <v>0</v>
          </cell>
          <cell r="U210">
            <v>0</v>
          </cell>
          <cell r="V210">
            <v>0</v>
          </cell>
          <cell r="W210">
            <v>90386</v>
          </cell>
          <cell r="X210">
            <v>0</v>
          </cell>
          <cell r="Z210">
            <v>0</v>
          </cell>
          <cell r="AA210">
            <v>0</v>
          </cell>
          <cell r="AB210">
            <v>0</v>
          </cell>
          <cell r="AD210">
            <v>0</v>
          </cell>
          <cell r="AE210">
            <v>0</v>
          </cell>
          <cell r="AF210">
            <v>0</v>
          </cell>
          <cell r="AG210">
            <v>0</v>
          </cell>
          <cell r="AH210">
            <v>0</v>
          </cell>
          <cell r="AI210">
            <v>0</v>
          </cell>
          <cell r="AJ210">
            <v>0</v>
          </cell>
          <cell r="AK210">
            <v>0</v>
          </cell>
          <cell r="AM210">
            <v>15181</v>
          </cell>
          <cell r="AN210">
            <v>15530</v>
          </cell>
          <cell r="AO210">
            <v>15887</v>
          </cell>
          <cell r="AP210">
            <v>16253</v>
          </cell>
          <cell r="AQ210">
            <v>16626</v>
          </cell>
          <cell r="AR210">
            <v>17009</v>
          </cell>
          <cell r="AS210">
            <v>0</v>
          </cell>
          <cell r="AT210">
            <v>0</v>
          </cell>
          <cell r="AU210">
            <v>4740</v>
          </cell>
          <cell r="AV210">
            <v>0</v>
          </cell>
          <cell r="AW210">
            <v>0</v>
          </cell>
          <cell r="AX210">
            <v>0</v>
          </cell>
          <cell r="BA210">
            <v>0</v>
          </cell>
          <cell r="BC210">
            <v>0</v>
          </cell>
          <cell r="BD210">
            <v>8813</v>
          </cell>
          <cell r="BF210">
            <v>0</v>
          </cell>
          <cell r="BG210">
            <v>0</v>
          </cell>
          <cell r="BH210">
            <v>0</v>
          </cell>
          <cell r="BI210">
            <v>19503</v>
          </cell>
          <cell r="BJ210">
            <v>16054</v>
          </cell>
          <cell r="BK210">
            <v>16054</v>
          </cell>
          <cell r="BL210">
            <v>0</v>
          </cell>
          <cell r="BM210">
            <v>0</v>
          </cell>
          <cell r="BN210">
            <v>0</v>
          </cell>
          <cell r="BO210">
            <v>10215</v>
          </cell>
          <cell r="BP210">
            <v>26883.8</v>
          </cell>
          <cell r="BQ210">
            <v>48430.232558139498</v>
          </cell>
          <cell r="BR210">
            <v>0</v>
          </cell>
          <cell r="BS210">
            <v>0</v>
          </cell>
          <cell r="BT210">
            <v>38104</v>
          </cell>
          <cell r="BY210">
            <v>0</v>
          </cell>
          <cell r="BZ210">
            <v>0</v>
          </cell>
          <cell r="CA210">
            <v>0</v>
          </cell>
          <cell r="CB210">
            <v>0</v>
          </cell>
          <cell r="CC210">
            <v>1250356</v>
          </cell>
          <cell r="CD210">
            <v>6847034</v>
          </cell>
          <cell r="CE210">
            <v>329884</v>
          </cell>
          <cell r="CF210">
            <v>0</v>
          </cell>
          <cell r="CG210">
            <v>329884</v>
          </cell>
          <cell r="CH210">
            <v>329884</v>
          </cell>
          <cell r="CI210">
            <v>329884</v>
          </cell>
          <cell r="CJ210">
            <v>329884</v>
          </cell>
          <cell r="CK210">
            <v>0</v>
          </cell>
          <cell r="CL210">
            <v>0</v>
          </cell>
          <cell r="CM210">
            <v>0</v>
          </cell>
          <cell r="CN210">
            <v>0</v>
          </cell>
          <cell r="CO210">
            <v>0</v>
          </cell>
          <cell r="CP210">
            <v>-4627</v>
          </cell>
          <cell r="CQ210">
            <v>247909</v>
          </cell>
          <cell r="CR210">
            <v>275223</v>
          </cell>
          <cell r="CS210">
            <v>284498</v>
          </cell>
          <cell r="CT210">
            <v>309395</v>
          </cell>
          <cell r="CU210">
            <v>334179</v>
          </cell>
          <cell r="CV210">
            <v>27098</v>
          </cell>
          <cell r="CW210">
            <v>0</v>
          </cell>
          <cell r="CX210">
            <v>0</v>
          </cell>
          <cell r="CY210">
            <v>0</v>
          </cell>
          <cell r="CZ210">
            <v>0</v>
          </cell>
          <cell r="DA210">
            <v>0</v>
          </cell>
          <cell r="DC210">
            <v>0</v>
          </cell>
          <cell r="DD210">
            <v>0</v>
          </cell>
          <cell r="DE210">
            <v>0</v>
          </cell>
          <cell r="DF210">
            <v>0</v>
          </cell>
          <cell r="DG210">
            <v>0</v>
          </cell>
          <cell r="DH210">
            <v>0</v>
          </cell>
          <cell r="DI210">
            <v>0</v>
          </cell>
          <cell r="DJ210">
            <v>0</v>
          </cell>
          <cell r="DK210">
            <v>0</v>
          </cell>
          <cell r="DL210">
            <v>0</v>
          </cell>
        </row>
        <row r="211">
          <cell r="A211">
            <v>484</v>
          </cell>
          <cell r="B211" t="str">
            <v>Alphen aan den Rijn</v>
          </cell>
          <cell r="C211">
            <v>8</v>
          </cell>
          <cell r="D211">
            <v>112471</v>
          </cell>
          <cell r="E211">
            <v>56235</v>
          </cell>
          <cell r="F211">
            <v>0</v>
          </cell>
          <cell r="G211">
            <v>47464</v>
          </cell>
          <cell r="H211">
            <v>0</v>
          </cell>
          <cell r="I211">
            <v>-37312</v>
          </cell>
          <cell r="K211">
            <v>0</v>
          </cell>
          <cell r="L211">
            <v>410020</v>
          </cell>
          <cell r="M211">
            <v>385679</v>
          </cell>
          <cell r="N211">
            <v>0</v>
          </cell>
          <cell r="O211">
            <v>0</v>
          </cell>
          <cell r="P211">
            <v>0</v>
          </cell>
          <cell r="Q211">
            <v>0</v>
          </cell>
          <cell r="R211">
            <v>0</v>
          </cell>
          <cell r="S211">
            <v>0</v>
          </cell>
          <cell r="T211">
            <v>0</v>
          </cell>
          <cell r="U211">
            <v>0</v>
          </cell>
          <cell r="V211">
            <v>68000</v>
          </cell>
          <cell r="W211">
            <v>440849</v>
          </cell>
          <cell r="X211">
            <v>0</v>
          </cell>
          <cell r="Z211">
            <v>0</v>
          </cell>
          <cell r="AA211">
            <v>0</v>
          </cell>
          <cell r="AB211">
            <v>0</v>
          </cell>
          <cell r="AD211">
            <v>30312</v>
          </cell>
          <cell r="AE211">
            <v>0</v>
          </cell>
          <cell r="AF211">
            <v>0</v>
          </cell>
          <cell r="AG211">
            <v>0</v>
          </cell>
          <cell r="AH211">
            <v>0</v>
          </cell>
          <cell r="AI211">
            <v>0</v>
          </cell>
          <cell r="AJ211">
            <v>0</v>
          </cell>
          <cell r="AK211">
            <v>0</v>
          </cell>
          <cell r="AM211">
            <v>0</v>
          </cell>
          <cell r="AN211">
            <v>0</v>
          </cell>
          <cell r="AO211">
            <v>0</v>
          </cell>
          <cell r="AP211">
            <v>0</v>
          </cell>
          <cell r="AQ211">
            <v>0</v>
          </cell>
          <cell r="AR211">
            <v>0</v>
          </cell>
          <cell r="AS211">
            <v>0</v>
          </cell>
          <cell r="AT211">
            <v>0</v>
          </cell>
          <cell r="AU211">
            <v>7110</v>
          </cell>
          <cell r="AV211">
            <v>0</v>
          </cell>
          <cell r="AW211">
            <v>0</v>
          </cell>
          <cell r="AX211">
            <v>0</v>
          </cell>
          <cell r="BA211">
            <v>0</v>
          </cell>
          <cell r="BC211">
            <v>0</v>
          </cell>
          <cell r="BD211">
            <v>38233</v>
          </cell>
          <cell r="BF211">
            <v>0</v>
          </cell>
          <cell r="BG211">
            <v>0</v>
          </cell>
          <cell r="BH211">
            <v>0</v>
          </cell>
          <cell r="BI211">
            <v>132594</v>
          </cell>
          <cell r="BJ211">
            <v>109144</v>
          </cell>
          <cell r="BK211">
            <v>109144</v>
          </cell>
          <cell r="BL211">
            <v>0</v>
          </cell>
          <cell r="BM211">
            <v>0</v>
          </cell>
          <cell r="BN211">
            <v>0</v>
          </cell>
          <cell r="BO211">
            <v>194085</v>
          </cell>
          <cell r="BP211">
            <v>34790.800000000003</v>
          </cell>
          <cell r="BQ211">
            <v>62674.418604651197</v>
          </cell>
          <cell r="BR211">
            <v>0</v>
          </cell>
          <cell r="BS211">
            <v>0</v>
          </cell>
          <cell r="BT211">
            <v>167667</v>
          </cell>
          <cell r="BY211">
            <v>0</v>
          </cell>
          <cell r="BZ211">
            <v>0</v>
          </cell>
          <cell r="CA211">
            <v>0</v>
          </cell>
          <cell r="CB211">
            <v>0</v>
          </cell>
          <cell r="CC211">
            <v>7432602</v>
          </cell>
          <cell r="CD211">
            <v>49986342</v>
          </cell>
          <cell r="CE211">
            <v>5627334</v>
          </cell>
          <cell r="CF211">
            <v>0</v>
          </cell>
          <cell r="CG211">
            <v>5627334</v>
          </cell>
          <cell r="CH211">
            <v>5627334</v>
          </cell>
          <cell r="CI211">
            <v>5627334</v>
          </cell>
          <cell r="CJ211">
            <v>5627334</v>
          </cell>
          <cell r="CK211">
            <v>0</v>
          </cell>
          <cell r="CL211">
            <v>0</v>
          </cell>
          <cell r="CM211">
            <v>0</v>
          </cell>
          <cell r="CN211">
            <v>0</v>
          </cell>
          <cell r="CO211">
            <v>0</v>
          </cell>
          <cell r="CP211">
            <v>-13402</v>
          </cell>
          <cell r="CQ211">
            <v>13470328</v>
          </cell>
          <cell r="CR211">
            <v>12823666</v>
          </cell>
          <cell r="CS211">
            <v>12465264</v>
          </cell>
          <cell r="CT211">
            <v>12110957</v>
          </cell>
          <cell r="CU211">
            <v>11786012</v>
          </cell>
          <cell r="CV211">
            <v>-4409</v>
          </cell>
          <cell r="CW211">
            <v>0</v>
          </cell>
          <cell r="CX211">
            <v>0</v>
          </cell>
          <cell r="CY211">
            <v>0</v>
          </cell>
          <cell r="CZ211">
            <v>0</v>
          </cell>
          <cell r="DA211">
            <v>0</v>
          </cell>
          <cell r="DC211">
            <v>0</v>
          </cell>
          <cell r="DD211">
            <v>0</v>
          </cell>
          <cell r="DE211">
            <v>0</v>
          </cell>
          <cell r="DF211">
            <v>0</v>
          </cell>
          <cell r="DG211">
            <v>0</v>
          </cell>
          <cell r="DH211">
            <v>0</v>
          </cell>
          <cell r="DI211">
            <v>0</v>
          </cell>
          <cell r="DJ211">
            <v>0</v>
          </cell>
          <cell r="DK211">
            <v>0</v>
          </cell>
          <cell r="DL211">
            <v>0</v>
          </cell>
        </row>
        <row r="212">
          <cell r="A212">
            <v>489</v>
          </cell>
          <cell r="B212" t="str">
            <v>Barendrecht</v>
          </cell>
          <cell r="C212">
            <v>8</v>
          </cell>
          <cell r="D212">
            <v>42744</v>
          </cell>
          <cell r="E212">
            <v>21372</v>
          </cell>
          <cell r="F212">
            <v>0</v>
          </cell>
          <cell r="G212">
            <v>0</v>
          </cell>
          <cell r="H212">
            <v>0</v>
          </cell>
          <cell r="I212">
            <v>-5827</v>
          </cell>
          <cell r="K212">
            <v>0</v>
          </cell>
          <cell r="L212">
            <v>164899</v>
          </cell>
          <cell r="M212">
            <v>143987</v>
          </cell>
          <cell r="N212">
            <v>9900</v>
          </cell>
          <cell r="O212">
            <v>4900</v>
          </cell>
          <cell r="P212">
            <v>0</v>
          </cell>
          <cell r="Q212">
            <v>0</v>
          </cell>
          <cell r="R212">
            <v>0</v>
          </cell>
          <cell r="S212">
            <v>0</v>
          </cell>
          <cell r="T212">
            <v>0</v>
          </cell>
          <cell r="U212">
            <v>0</v>
          </cell>
          <cell r="V212">
            <v>0</v>
          </cell>
          <cell r="W212">
            <v>197294</v>
          </cell>
          <cell r="X212">
            <v>0</v>
          </cell>
          <cell r="Z212">
            <v>0</v>
          </cell>
          <cell r="AA212">
            <v>0</v>
          </cell>
          <cell r="AB212">
            <v>0</v>
          </cell>
          <cell r="AD212">
            <v>0</v>
          </cell>
          <cell r="AE212">
            <v>0</v>
          </cell>
          <cell r="AF212">
            <v>0</v>
          </cell>
          <cell r="AG212">
            <v>0</v>
          </cell>
          <cell r="AH212">
            <v>0</v>
          </cell>
          <cell r="AI212">
            <v>0</v>
          </cell>
          <cell r="AJ212">
            <v>0</v>
          </cell>
          <cell r="AK212">
            <v>0</v>
          </cell>
          <cell r="AM212">
            <v>10197</v>
          </cell>
          <cell r="AN212">
            <v>10432</v>
          </cell>
          <cell r="AO212">
            <v>10672</v>
          </cell>
          <cell r="AP212">
            <v>10917</v>
          </cell>
          <cell r="AQ212">
            <v>11168</v>
          </cell>
          <cell r="AR212">
            <v>11425</v>
          </cell>
          <cell r="AS212">
            <v>0</v>
          </cell>
          <cell r="AT212">
            <v>0</v>
          </cell>
          <cell r="AU212">
            <v>0</v>
          </cell>
          <cell r="AV212">
            <v>0</v>
          </cell>
          <cell r="AW212">
            <v>0</v>
          </cell>
          <cell r="AX212">
            <v>0</v>
          </cell>
          <cell r="BA212">
            <v>0</v>
          </cell>
          <cell r="BC212">
            <v>0</v>
          </cell>
          <cell r="BD212">
            <v>16970</v>
          </cell>
          <cell r="BF212">
            <v>0</v>
          </cell>
          <cell r="BG212">
            <v>0</v>
          </cell>
          <cell r="BH212">
            <v>0</v>
          </cell>
          <cell r="BI212">
            <v>31558</v>
          </cell>
          <cell r="BJ212">
            <v>25977</v>
          </cell>
          <cell r="BK212">
            <v>25977</v>
          </cell>
          <cell r="BL212">
            <v>0</v>
          </cell>
          <cell r="BM212">
            <v>0</v>
          </cell>
          <cell r="BN212">
            <v>0</v>
          </cell>
          <cell r="BO212">
            <v>45238</v>
          </cell>
          <cell r="BP212">
            <v>22139.599999999999</v>
          </cell>
          <cell r="BQ212">
            <v>39883.720930232601</v>
          </cell>
          <cell r="BR212">
            <v>0</v>
          </cell>
          <cell r="BS212">
            <v>0</v>
          </cell>
          <cell r="BT212">
            <v>76881</v>
          </cell>
          <cell r="BY212">
            <v>0</v>
          </cell>
          <cell r="BZ212">
            <v>0</v>
          </cell>
          <cell r="CA212">
            <v>0</v>
          </cell>
          <cell r="CB212">
            <v>0</v>
          </cell>
          <cell r="CC212">
            <v>2405475</v>
          </cell>
          <cell r="CD212">
            <v>12667009</v>
          </cell>
          <cell r="CE212">
            <v>1008092</v>
          </cell>
          <cell r="CF212">
            <v>0</v>
          </cell>
          <cell r="CG212">
            <v>1008092</v>
          </cell>
          <cell r="CH212">
            <v>1008092</v>
          </cell>
          <cell r="CI212">
            <v>1008092</v>
          </cell>
          <cell r="CJ212">
            <v>1008092</v>
          </cell>
          <cell r="CK212">
            <v>0</v>
          </cell>
          <cell r="CL212">
            <v>0</v>
          </cell>
          <cell r="CM212">
            <v>0</v>
          </cell>
          <cell r="CN212">
            <v>0</v>
          </cell>
          <cell r="CO212">
            <v>0</v>
          </cell>
          <cell r="CP212">
            <v>-2099</v>
          </cell>
          <cell r="CQ212">
            <v>166318</v>
          </cell>
          <cell r="CR212">
            <v>184802</v>
          </cell>
          <cell r="CS212">
            <v>190989</v>
          </cell>
          <cell r="CT212">
            <v>207825</v>
          </cell>
          <cell r="CU212">
            <v>224587</v>
          </cell>
          <cell r="CV212">
            <v>-48612</v>
          </cell>
          <cell r="CW212">
            <v>0</v>
          </cell>
          <cell r="CX212">
            <v>0</v>
          </cell>
          <cell r="CY212">
            <v>0</v>
          </cell>
          <cell r="CZ212">
            <v>0</v>
          </cell>
          <cell r="DA212">
            <v>0</v>
          </cell>
          <cell r="DC212">
            <v>0</v>
          </cell>
          <cell r="DD212">
            <v>0</v>
          </cell>
          <cell r="DE212">
            <v>0</v>
          </cell>
          <cell r="DF212">
            <v>0</v>
          </cell>
          <cell r="DG212">
            <v>0</v>
          </cell>
          <cell r="DH212">
            <v>0</v>
          </cell>
          <cell r="DI212">
            <v>0</v>
          </cell>
          <cell r="DJ212">
            <v>0</v>
          </cell>
          <cell r="DK212">
            <v>0</v>
          </cell>
          <cell r="DL212">
            <v>0</v>
          </cell>
        </row>
        <row r="213">
          <cell r="A213">
            <v>585</v>
          </cell>
          <cell r="B213" t="str">
            <v>Binnenmaas</v>
          </cell>
          <cell r="C213">
            <v>8</v>
          </cell>
          <cell r="D213">
            <v>-2261</v>
          </cell>
          <cell r="E213">
            <v>-1130</v>
          </cell>
          <cell r="F213">
            <v>0</v>
          </cell>
          <cell r="G213">
            <v>0</v>
          </cell>
          <cell r="H213">
            <v>0</v>
          </cell>
          <cell r="I213">
            <v>-4099</v>
          </cell>
          <cell r="K213">
            <v>0</v>
          </cell>
          <cell r="L213">
            <v>73317</v>
          </cell>
          <cell r="M213">
            <v>68089</v>
          </cell>
          <cell r="N213">
            <v>0</v>
          </cell>
          <cell r="O213">
            <v>0</v>
          </cell>
          <cell r="P213">
            <v>0</v>
          </cell>
          <cell r="Q213">
            <v>0</v>
          </cell>
          <cell r="R213">
            <v>0</v>
          </cell>
          <cell r="S213">
            <v>0</v>
          </cell>
          <cell r="T213">
            <v>0</v>
          </cell>
          <cell r="U213">
            <v>0</v>
          </cell>
          <cell r="V213">
            <v>7750</v>
          </cell>
          <cell r="W213">
            <v>96977</v>
          </cell>
          <cell r="X213">
            <v>0</v>
          </cell>
          <cell r="Z213">
            <v>0</v>
          </cell>
          <cell r="AA213">
            <v>0</v>
          </cell>
          <cell r="AB213">
            <v>0</v>
          </cell>
          <cell r="AD213">
            <v>0</v>
          </cell>
          <cell r="AE213">
            <v>0</v>
          </cell>
          <cell r="AF213">
            <v>0</v>
          </cell>
          <cell r="AG213">
            <v>0</v>
          </cell>
          <cell r="AH213">
            <v>0</v>
          </cell>
          <cell r="AI213">
            <v>0</v>
          </cell>
          <cell r="AJ213">
            <v>0</v>
          </cell>
          <cell r="AK213">
            <v>0</v>
          </cell>
          <cell r="AM213">
            <v>60288</v>
          </cell>
          <cell r="AN213">
            <v>61675</v>
          </cell>
          <cell r="AO213">
            <v>63093</v>
          </cell>
          <cell r="AP213">
            <v>64544</v>
          </cell>
          <cell r="AQ213">
            <v>66029</v>
          </cell>
          <cell r="AR213">
            <v>67548</v>
          </cell>
          <cell r="AS213">
            <v>0</v>
          </cell>
          <cell r="AT213">
            <v>0</v>
          </cell>
          <cell r="AU213">
            <v>0</v>
          </cell>
          <cell r="AV213">
            <v>0</v>
          </cell>
          <cell r="AW213">
            <v>0</v>
          </cell>
          <cell r="AX213">
            <v>0</v>
          </cell>
          <cell r="BA213">
            <v>0</v>
          </cell>
          <cell r="BC213">
            <v>0</v>
          </cell>
          <cell r="BD213">
            <v>51093</v>
          </cell>
          <cell r="BF213">
            <v>0</v>
          </cell>
          <cell r="BG213">
            <v>0</v>
          </cell>
          <cell r="BH213">
            <v>0</v>
          </cell>
          <cell r="BI213">
            <v>29341</v>
          </cell>
          <cell r="BJ213">
            <v>24152</v>
          </cell>
          <cell r="BK213">
            <v>24152</v>
          </cell>
          <cell r="BL213">
            <v>0</v>
          </cell>
          <cell r="BM213">
            <v>0</v>
          </cell>
          <cell r="BN213">
            <v>0</v>
          </cell>
          <cell r="BO213">
            <v>60317</v>
          </cell>
          <cell r="BP213">
            <v>28465.200000000001</v>
          </cell>
          <cell r="BQ213">
            <v>51279.069767441899</v>
          </cell>
          <cell r="BR213">
            <v>0</v>
          </cell>
          <cell r="BS213">
            <v>0</v>
          </cell>
          <cell r="BT213">
            <v>43072</v>
          </cell>
          <cell r="BY213">
            <v>0</v>
          </cell>
          <cell r="BZ213">
            <v>0</v>
          </cell>
          <cell r="CA213">
            <v>0</v>
          </cell>
          <cell r="CB213">
            <v>0</v>
          </cell>
          <cell r="CC213">
            <v>2041709</v>
          </cell>
          <cell r="CD213">
            <v>8523983</v>
          </cell>
          <cell r="CE213">
            <v>338975</v>
          </cell>
          <cell r="CF213">
            <v>0</v>
          </cell>
          <cell r="CG213">
            <v>338975</v>
          </cell>
          <cell r="CH213">
            <v>338975</v>
          </cell>
          <cell r="CI213">
            <v>338975</v>
          </cell>
          <cell r="CJ213">
            <v>338975</v>
          </cell>
          <cell r="CK213">
            <v>0</v>
          </cell>
          <cell r="CL213">
            <v>0</v>
          </cell>
          <cell r="CM213">
            <v>0</v>
          </cell>
          <cell r="CN213">
            <v>0</v>
          </cell>
          <cell r="CO213">
            <v>0</v>
          </cell>
          <cell r="CP213">
            <v>-1484</v>
          </cell>
          <cell r="CQ213">
            <v>1061617</v>
          </cell>
          <cell r="CR213">
            <v>1032100</v>
          </cell>
          <cell r="CS213">
            <v>1033432</v>
          </cell>
          <cell r="CT213">
            <v>1013777</v>
          </cell>
          <cell r="CU213">
            <v>1011339</v>
          </cell>
          <cell r="CV213">
            <v>-94372</v>
          </cell>
          <cell r="CW213">
            <v>0</v>
          </cell>
          <cell r="CX213">
            <v>0</v>
          </cell>
          <cell r="CY213">
            <v>0</v>
          </cell>
          <cell r="CZ213">
            <v>0</v>
          </cell>
          <cell r="DA213">
            <v>0</v>
          </cell>
          <cell r="DC213">
            <v>0</v>
          </cell>
          <cell r="DD213">
            <v>0</v>
          </cell>
          <cell r="DE213">
            <v>0</v>
          </cell>
          <cell r="DF213">
            <v>0</v>
          </cell>
          <cell r="DG213">
            <v>0</v>
          </cell>
          <cell r="DH213">
            <v>0</v>
          </cell>
          <cell r="DI213">
            <v>0</v>
          </cell>
          <cell r="DJ213">
            <v>0</v>
          </cell>
          <cell r="DK213">
            <v>0</v>
          </cell>
          <cell r="DL213">
            <v>0</v>
          </cell>
        </row>
        <row r="214">
          <cell r="A214">
            <v>1901</v>
          </cell>
          <cell r="B214" t="str">
            <v>Bodegraven-Reeuwijk</v>
          </cell>
          <cell r="C214">
            <v>8</v>
          </cell>
          <cell r="D214">
            <v>21144</v>
          </cell>
          <cell r="E214">
            <v>10572</v>
          </cell>
          <cell r="F214">
            <v>0</v>
          </cell>
          <cell r="G214">
            <v>38986</v>
          </cell>
          <cell r="H214">
            <v>0</v>
          </cell>
          <cell r="I214">
            <v>-14931</v>
          </cell>
          <cell r="K214">
            <v>0</v>
          </cell>
          <cell r="L214">
            <v>114741</v>
          </cell>
          <cell r="M214">
            <v>112966</v>
          </cell>
          <cell r="N214">
            <v>0</v>
          </cell>
          <cell r="O214">
            <v>0</v>
          </cell>
          <cell r="P214">
            <v>0</v>
          </cell>
          <cell r="Q214">
            <v>0</v>
          </cell>
          <cell r="R214">
            <v>0</v>
          </cell>
          <cell r="S214">
            <v>0</v>
          </cell>
          <cell r="T214">
            <v>0</v>
          </cell>
          <cell r="U214">
            <v>0</v>
          </cell>
          <cell r="V214">
            <v>3000</v>
          </cell>
          <cell r="W214">
            <v>144229</v>
          </cell>
          <cell r="X214">
            <v>0</v>
          </cell>
          <cell r="Z214">
            <v>0</v>
          </cell>
          <cell r="AA214">
            <v>0</v>
          </cell>
          <cell r="AB214">
            <v>0</v>
          </cell>
          <cell r="AD214">
            <v>0</v>
          </cell>
          <cell r="AE214">
            <v>0</v>
          </cell>
          <cell r="AF214">
            <v>0</v>
          </cell>
          <cell r="AG214">
            <v>0</v>
          </cell>
          <cell r="AH214">
            <v>0</v>
          </cell>
          <cell r="AI214">
            <v>0</v>
          </cell>
          <cell r="AJ214">
            <v>0</v>
          </cell>
          <cell r="AK214">
            <v>0</v>
          </cell>
          <cell r="AM214">
            <v>0</v>
          </cell>
          <cell r="AN214">
            <v>0</v>
          </cell>
          <cell r="AO214">
            <v>0</v>
          </cell>
          <cell r="AP214">
            <v>0</v>
          </cell>
          <cell r="AQ214">
            <v>0</v>
          </cell>
          <cell r="AR214">
            <v>0</v>
          </cell>
          <cell r="AS214">
            <v>0</v>
          </cell>
          <cell r="AT214">
            <v>0</v>
          </cell>
          <cell r="AU214">
            <v>2370</v>
          </cell>
          <cell r="AV214">
            <v>0</v>
          </cell>
          <cell r="AW214">
            <v>0</v>
          </cell>
          <cell r="AX214">
            <v>0</v>
          </cell>
          <cell r="BA214">
            <v>0</v>
          </cell>
          <cell r="BC214">
            <v>0</v>
          </cell>
          <cell r="BD214">
            <v>11841</v>
          </cell>
          <cell r="BF214">
            <v>0</v>
          </cell>
          <cell r="BG214">
            <v>0</v>
          </cell>
          <cell r="BH214">
            <v>0</v>
          </cell>
          <cell r="BI214">
            <v>29647</v>
          </cell>
          <cell r="BJ214">
            <v>24404</v>
          </cell>
          <cell r="BK214">
            <v>24404</v>
          </cell>
          <cell r="BL214">
            <v>0</v>
          </cell>
          <cell r="BM214">
            <v>0</v>
          </cell>
          <cell r="BN214">
            <v>0</v>
          </cell>
          <cell r="BO214">
            <v>63236</v>
          </cell>
          <cell r="BP214">
            <v>26883.8</v>
          </cell>
          <cell r="BQ214">
            <v>48430.232558139498</v>
          </cell>
          <cell r="BR214">
            <v>0</v>
          </cell>
          <cell r="BS214">
            <v>0</v>
          </cell>
          <cell r="BT214">
            <v>62145</v>
          </cell>
          <cell r="BY214">
            <v>0</v>
          </cell>
          <cell r="BZ214">
            <v>0</v>
          </cell>
          <cell r="CA214">
            <v>0</v>
          </cell>
          <cell r="CB214">
            <v>0</v>
          </cell>
          <cell r="CC214">
            <v>2013374</v>
          </cell>
          <cell r="CD214">
            <v>9701754</v>
          </cell>
          <cell r="CE214">
            <v>692760</v>
          </cell>
          <cell r="CF214">
            <v>0</v>
          </cell>
          <cell r="CG214">
            <v>692760</v>
          </cell>
          <cell r="CH214">
            <v>692760</v>
          </cell>
          <cell r="CI214">
            <v>692760</v>
          </cell>
          <cell r="CJ214">
            <v>692760</v>
          </cell>
          <cell r="CK214">
            <v>0</v>
          </cell>
          <cell r="CL214">
            <v>0</v>
          </cell>
          <cell r="CM214">
            <v>0</v>
          </cell>
          <cell r="CN214">
            <v>0</v>
          </cell>
          <cell r="CO214">
            <v>0</v>
          </cell>
          <cell r="CP214">
            <v>-5345</v>
          </cell>
          <cell r="CQ214">
            <v>1177448</v>
          </cell>
          <cell r="CR214">
            <v>1110278</v>
          </cell>
          <cell r="CS214">
            <v>1109468</v>
          </cell>
          <cell r="CT214">
            <v>1089085</v>
          </cell>
          <cell r="CU214">
            <v>1083043</v>
          </cell>
          <cell r="CV214">
            <v>-60823</v>
          </cell>
          <cell r="CW214">
            <v>0</v>
          </cell>
          <cell r="CX214">
            <v>0</v>
          </cell>
          <cell r="CY214">
            <v>0</v>
          </cell>
          <cell r="CZ214">
            <v>0</v>
          </cell>
          <cell r="DA214">
            <v>0</v>
          </cell>
          <cell r="DC214">
            <v>0</v>
          </cell>
          <cell r="DD214">
            <v>0</v>
          </cell>
          <cell r="DE214">
            <v>0</v>
          </cell>
          <cell r="DF214">
            <v>0</v>
          </cell>
          <cell r="DG214">
            <v>0</v>
          </cell>
          <cell r="DH214">
            <v>0</v>
          </cell>
          <cell r="DI214">
            <v>0</v>
          </cell>
          <cell r="DJ214">
            <v>0</v>
          </cell>
          <cell r="DK214">
            <v>0</v>
          </cell>
          <cell r="DL214">
            <v>0</v>
          </cell>
        </row>
        <row r="215">
          <cell r="A215">
            <v>501</v>
          </cell>
          <cell r="B215" t="str">
            <v>Brielle</v>
          </cell>
          <cell r="C215">
            <v>8</v>
          </cell>
          <cell r="D215">
            <v>688</v>
          </cell>
          <cell r="E215">
            <v>344</v>
          </cell>
          <cell r="F215">
            <v>0</v>
          </cell>
          <cell r="G215">
            <v>0</v>
          </cell>
          <cell r="H215">
            <v>-14780</v>
          </cell>
          <cell r="I215">
            <v>-18173</v>
          </cell>
          <cell r="K215">
            <v>0</v>
          </cell>
          <cell r="L215">
            <v>57122</v>
          </cell>
          <cell r="M215">
            <v>54995</v>
          </cell>
          <cell r="N215">
            <v>2500</v>
          </cell>
          <cell r="O215">
            <v>1300</v>
          </cell>
          <cell r="P215">
            <v>0</v>
          </cell>
          <cell r="Q215">
            <v>0</v>
          </cell>
          <cell r="R215">
            <v>0</v>
          </cell>
          <cell r="S215">
            <v>0</v>
          </cell>
          <cell r="T215">
            <v>0</v>
          </cell>
          <cell r="U215">
            <v>0</v>
          </cell>
          <cell r="V215">
            <v>0</v>
          </cell>
          <cell r="W215">
            <v>27275</v>
          </cell>
          <cell r="X215">
            <v>0</v>
          </cell>
          <cell r="Z215">
            <v>0</v>
          </cell>
          <cell r="AA215">
            <v>0</v>
          </cell>
          <cell r="AB215">
            <v>0</v>
          </cell>
          <cell r="AD215">
            <v>0</v>
          </cell>
          <cell r="AE215">
            <v>0</v>
          </cell>
          <cell r="AF215">
            <v>0</v>
          </cell>
          <cell r="AG215">
            <v>0</v>
          </cell>
          <cell r="AH215">
            <v>0</v>
          </cell>
          <cell r="AI215">
            <v>0</v>
          </cell>
          <cell r="AJ215">
            <v>0</v>
          </cell>
          <cell r="AK215">
            <v>0</v>
          </cell>
          <cell r="AM215">
            <v>24838</v>
          </cell>
          <cell r="AN215">
            <v>25409</v>
          </cell>
          <cell r="AO215">
            <v>25994</v>
          </cell>
          <cell r="AP215">
            <v>26591</v>
          </cell>
          <cell r="AQ215">
            <v>27203</v>
          </cell>
          <cell r="AR215">
            <v>27829</v>
          </cell>
          <cell r="AS215">
            <v>0</v>
          </cell>
          <cell r="AT215">
            <v>0</v>
          </cell>
          <cell r="AU215">
            <v>4740</v>
          </cell>
          <cell r="AV215">
            <v>0</v>
          </cell>
          <cell r="AW215">
            <v>0</v>
          </cell>
          <cell r="AX215">
            <v>0</v>
          </cell>
          <cell r="BA215">
            <v>0</v>
          </cell>
          <cell r="BC215">
            <v>0</v>
          </cell>
          <cell r="BD215">
            <v>5909</v>
          </cell>
          <cell r="BF215">
            <v>0</v>
          </cell>
          <cell r="BG215">
            <v>0</v>
          </cell>
          <cell r="BH215">
            <v>0</v>
          </cell>
          <cell r="BI215">
            <v>16336</v>
          </cell>
          <cell r="BJ215">
            <v>13447</v>
          </cell>
          <cell r="BK215">
            <v>13447</v>
          </cell>
          <cell r="BL215">
            <v>0</v>
          </cell>
          <cell r="BM215">
            <v>0</v>
          </cell>
          <cell r="BN215">
            <v>0</v>
          </cell>
          <cell r="BO215">
            <v>15566</v>
          </cell>
          <cell r="BP215">
            <v>12651.2</v>
          </cell>
          <cell r="BQ215">
            <v>22790.697674418599</v>
          </cell>
          <cell r="BR215">
            <v>0</v>
          </cell>
          <cell r="BS215">
            <v>0</v>
          </cell>
          <cell r="BT215">
            <v>24728</v>
          </cell>
          <cell r="BY215">
            <v>0</v>
          </cell>
          <cell r="BZ215">
            <v>0</v>
          </cell>
          <cell r="CA215">
            <v>0</v>
          </cell>
          <cell r="CB215">
            <v>0</v>
          </cell>
          <cell r="CC215">
            <v>1177854</v>
          </cell>
          <cell r="CD215">
            <v>4372422</v>
          </cell>
          <cell r="CE215">
            <v>72499</v>
          </cell>
          <cell r="CF215">
            <v>0</v>
          </cell>
          <cell r="CG215">
            <v>72499</v>
          </cell>
          <cell r="CH215">
            <v>72499</v>
          </cell>
          <cell r="CI215">
            <v>72499</v>
          </cell>
          <cell r="CJ215">
            <v>72499</v>
          </cell>
          <cell r="CK215">
            <v>0</v>
          </cell>
          <cell r="CL215">
            <v>0</v>
          </cell>
          <cell r="CM215">
            <v>0</v>
          </cell>
          <cell r="CN215">
            <v>0</v>
          </cell>
          <cell r="CO215">
            <v>0</v>
          </cell>
          <cell r="CP215">
            <v>-6503</v>
          </cell>
          <cell r="CQ215">
            <v>59439</v>
          </cell>
          <cell r="CR215">
            <v>65972</v>
          </cell>
          <cell r="CS215">
            <v>68199</v>
          </cell>
          <cell r="CT215">
            <v>74155</v>
          </cell>
          <cell r="CU215">
            <v>80083</v>
          </cell>
          <cell r="CV215">
            <v>-22995</v>
          </cell>
          <cell r="CW215">
            <v>0</v>
          </cell>
          <cell r="CX215">
            <v>0</v>
          </cell>
          <cell r="CY215">
            <v>0</v>
          </cell>
          <cell r="CZ215">
            <v>0</v>
          </cell>
          <cell r="DA215">
            <v>0</v>
          </cell>
          <cell r="DC215">
            <v>0</v>
          </cell>
          <cell r="DD215">
            <v>0</v>
          </cell>
          <cell r="DE215">
            <v>0</v>
          </cell>
          <cell r="DF215">
            <v>0</v>
          </cell>
          <cell r="DG215">
            <v>0</v>
          </cell>
          <cell r="DH215">
            <v>0</v>
          </cell>
          <cell r="DI215">
            <v>0</v>
          </cell>
          <cell r="DJ215">
            <v>0</v>
          </cell>
          <cell r="DK215">
            <v>0</v>
          </cell>
          <cell r="DL215">
            <v>0</v>
          </cell>
        </row>
        <row r="216">
          <cell r="A216">
            <v>502</v>
          </cell>
          <cell r="B216" t="str">
            <v>Capelle aan den IJssel</v>
          </cell>
          <cell r="C216">
            <v>8</v>
          </cell>
          <cell r="D216">
            <v>48043</v>
          </cell>
          <cell r="E216">
            <v>24022</v>
          </cell>
          <cell r="F216">
            <v>0</v>
          </cell>
          <cell r="G216">
            <v>0</v>
          </cell>
          <cell r="H216">
            <v>-13753</v>
          </cell>
          <cell r="I216">
            <v>-35324</v>
          </cell>
          <cell r="K216">
            <v>0</v>
          </cell>
          <cell r="L216">
            <v>449016</v>
          </cell>
          <cell r="M216">
            <v>479122</v>
          </cell>
          <cell r="N216">
            <v>8400</v>
          </cell>
          <cell r="O216">
            <v>4200</v>
          </cell>
          <cell r="P216">
            <v>0</v>
          </cell>
          <cell r="Q216">
            <v>0</v>
          </cell>
          <cell r="R216">
            <v>0</v>
          </cell>
          <cell r="S216">
            <v>0</v>
          </cell>
          <cell r="T216">
            <v>0</v>
          </cell>
          <cell r="U216">
            <v>0</v>
          </cell>
          <cell r="V216">
            <v>12000</v>
          </cell>
          <cell r="W216">
            <v>188500</v>
          </cell>
          <cell r="X216">
            <v>0</v>
          </cell>
          <cell r="Z216">
            <v>0</v>
          </cell>
          <cell r="AA216">
            <v>0</v>
          </cell>
          <cell r="AB216">
            <v>0</v>
          </cell>
          <cell r="AD216">
            <v>68446</v>
          </cell>
          <cell r="AE216">
            <v>0</v>
          </cell>
          <cell r="AF216">
            <v>0</v>
          </cell>
          <cell r="AG216">
            <v>0</v>
          </cell>
          <cell r="AH216">
            <v>0</v>
          </cell>
          <cell r="AI216">
            <v>0</v>
          </cell>
          <cell r="AJ216">
            <v>0</v>
          </cell>
          <cell r="AK216">
            <v>0</v>
          </cell>
          <cell r="AM216">
            <v>0</v>
          </cell>
          <cell r="AN216">
            <v>0</v>
          </cell>
          <cell r="AO216">
            <v>0</v>
          </cell>
          <cell r="AP216">
            <v>0</v>
          </cell>
          <cell r="AQ216">
            <v>0</v>
          </cell>
          <cell r="AR216">
            <v>0</v>
          </cell>
          <cell r="AS216">
            <v>0</v>
          </cell>
          <cell r="AT216">
            <v>18000</v>
          </cell>
          <cell r="AU216">
            <v>11850</v>
          </cell>
          <cell r="AV216">
            <v>0</v>
          </cell>
          <cell r="AW216">
            <v>0</v>
          </cell>
          <cell r="AX216">
            <v>0</v>
          </cell>
          <cell r="BA216">
            <v>0</v>
          </cell>
          <cell r="BC216">
            <v>0</v>
          </cell>
          <cell r="BD216">
            <v>23316</v>
          </cell>
          <cell r="BF216">
            <v>0</v>
          </cell>
          <cell r="BG216">
            <v>0</v>
          </cell>
          <cell r="BH216">
            <v>0</v>
          </cell>
          <cell r="BI216">
            <v>117541</v>
          </cell>
          <cell r="BJ216">
            <v>96753</v>
          </cell>
          <cell r="BK216">
            <v>96753</v>
          </cell>
          <cell r="BL216">
            <v>0</v>
          </cell>
          <cell r="BM216">
            <v>0</v>
          </cell>
          <cell r="BN216">
            <v>0</v>
          </cell>
          <cell r="BO216">
            <v>9242</v>
          </cell>
          <cell r="BP216">
            <v>47442</v>
          </cell>
          <cell r="BQ216">
            <v>85465.1162790698</v>
          </cell>
          <cell r="BR216">
            <v>0</v>
          </cell>
          <cell r="BS216">
            <v>0</v>
          </cell>
          <cell r="BT216">
            <v>116331</v>
          </cell>
          <cell r="BY216">
            <v>0</v>
          </cell>
          <cell r="BZ216">
            <v>0</v>
          </cell>
          <cell r="CA216">
            <v>0</v>
          </cell>
          <cell r="CB216">
            <v>0</v>
          </cell>
          <cell r="CC216">
            <v>5300772</v>
          </cell>
          <cell r="CD216">
            <v>35594794</v>
          </cell>
          <cell r="CE216">
            <v>2407511</v>
          </cell>
          <cell r="CF216">
            <v>0</v>
          </cell>
          <cell r="CG216">
            <v>2407511</v>
          </cell>
          <cell r="CH216">
            <v>2407511</v>
          </cell>
          <cell r="CI216">
            <v>2407511</v>
          </cell>
          <cell r="CJ216">
            <v>2407511</v>
          </cell>
          <cell r="CK216">
            <v>0</v>
          </cell>
          <cell r="CL216">
            <v>0</v>
          </cell>
          <cell r="CM216">
            <v>0</v>
          </cell>
          <cell r="CN216">
            <v>0</v>
          </cell>
          <cell r="CO216">
            <v>0</v>
          </cell>
          <cell r="CP216">
            <v>-12703</v>
          </cell>
          <cell r="CQ216">
            <v>6689794</v>
          </cell>
          <cell r="CR216">
            <v>6450333</v>
          </cell>
          <cell r="CS216">
            <v>6285992</v>
          </cell>
          <cell r="CT216">
            <v>6064112</v>
          </cell>
          <cell r="CU216">
            <v>5985169</v>
          </cell>
          <cell r="CV216">
            <v>48916</v>
          </cell>
          <cell r="CW216">
            <v>0</v>
          </cell>
          <cell r="CX216">
            <v>0</v>
          </cell>
          <cell r="CY216">
            <v>0</v>
          </cell>
          <cell r="CZ216">
            <v>0</v>
          </cell>
          <cell r="DA216">
            <v>0</v>
          </cell>
          <cell r="DC216">
            <v>0</v>
          </cell>
          <cell r="DD216">
            <v>0</v>
          </cell>
          <cell r="DE216">
            <v>0</v>
          </cell>
          <cell r="DF216">
            <v>0</v>
          </cell>
          <cell r="DG216">
            <v>0</v>
          </cell>
          <cell r="DH216">
            <v>0</v>
          </cell>
          <cell r="DI216">
            <v>0</v>
          </cell>
          <cell r="DJ216">
            <v>0</v>
          </cell>
          <cell r="DK216">
            <v>0</v>
          </cell>
          <cell r="DL216">
            <v>0</v>
          </cell>
        </row>
        <row r="217">
          <cell r="A217">
            <v>611</v>
          </cell>
          <cell r="B217" t="str">
            <v>Cromstrijen</v>
          </cell>
          <cell r="C217">
            <v>8</v>
          </cell>
          <cell r="D217">
            <v>10398</v>
          </cell>
          <cell r="E217">
            <v>5199</v>
          </cell>
          <cell r="F217">
            <v>0</v>
          </cell>
          <cell r="G217">
            <v>78680</v>
          </cell>
          <cell r="H217">
            <v>0</v>
          </cell>
          <cell r="I217">
            <v>-11757</v>
          </cell>
          <cell r="K217">
            <v>0</v>
          </cell>
          <cell r="L217">
            <v>27695</v>
          </cell>
          <cell r="M217">
            <v>23998</v>
          </cell>
          <cell r="N217">
            <v>0</v>
          </cell>
          <cell r="O217">
            <v>0</v>
          </cell>
          <cell r="P217">
            <v>0</v>
          </cell>
          <cell r="Q217">
            <v>0</v>
          </cell>
          <cell r="R217">
            <v>0</v>
          </cell>
          <cell r="S217">
            <v>0</v>
          </cell>
          <cell r="T217">
            <v>0</v>
          </cell>
          <cell r="U217">
            <v>0</v>
          </cell>
          <cell r="V217">
            <v>3000</v>
          </cell>
          <cell r="W217">
            <v>50538</v>
          </cell>
          <cell r="X217">
            <v>0</v>
          </cell>
          <cell r="Z217">
            <v>0</v>
          </cell>
          <cell r="AA217">
            <v>0</v>
          </cell>
          <cell r="AB217">
            <v>0</v>
          </cell>
          <cell r="AD217">
            <v>0</v>
          </cell>
          <cell r="AE217">
            <v>0</v>
          </cell>
          <cell r="AF217">
            <v>0</v>
          </cell>
          <cell r="AG217">
            <v>0</v>
          </cell>
          <cell r="AH217">
            <v>0</v>
          </cell>
          <cell r="AI217">
            <v>0</v>
          </cell>
          <cell r="AJ217">
            <v>0</v>
          </cell>
          <cell r="AK217">
            <v>0</v>
          </cell>
          <cell r="AM217">
            <v>56766</v>
          </cell>
          <cell r="AN217">
            <v>58071</v>
          </cell>
          <cell r="AO217">
            <v>59407</v>
          </cell>
          <cell r="AP217">
            <v>60773</v>
          </cell>
          <cell r="AQ217">
            <v>62171</v>
          </cell>
          <cell r="AR217">
            <v>63601</v>
          </cell>
          <cell r="AS217">
            <v>0</v>
          </cell>
          <cell r="AT217">
            <v>0</v>
          </cell>
          <cell r="AU217">
            <v>2370</v>
          </cell>
          <cell r="AV217">
            <v>0</v>
          </cell>
          <cell r="AW217">
            <v>0</v>
          </cell>
          <cell r="AX217">
            <v>0</v>
          </cell>
          <cell r="BA217">
            <v>0</v>
          </cell>
          <cell r="BC217">
            <v>0</v>
          </cell>
          <cell r="BD217">
            <v>22451</v>
          </cell>
          <cell r="BF217">
            <v>0</v>
          </cell>
          <cell r="BG217">
            <v>0</v>
          </cell>
          <cell r="BH217">
            <v>0</v>
          </cell>
          <cell r="BI217">
            <v>12803</v>
          </cell>
          <cell r="BJ217">
            <v>10539</v>
          </cell>
          <cell r="BK217">
            <v>10539</v>
          </cell>
          <cell r="BL217">
            <v>0</v>
          </cell>
          <cell r="BM217">
            <v>0</v>
          </cell>
          <cell r="BN217">
            <v>0</v>
          </cell>
          <cell r="BO217">
            <v>11674</v>
          </cell>
          <cell r="BP217">
            <v>0</v>
          </cell>
          <cell r="BQ217">
            <v>0</v>
          </cell>
          <cell r="BR217">
            <v>0</v>
          </cell>
          <cell r="BS217">
            <v>0</v>
          </cell>
          <cell r="BT217">
            <v>19829</v>
          </cell>
          <cell r="BY217">
            <v>0</v>
          </cell>
          <cell r="BZ217">
            <v>0</v>
          </cell>
          <cell r="CA217">
            <v>0</v>
          </cell>
          <cell r="CB217">
            <v>0</v>
          </cell>
          <cell r="CC217">
            <v>947157</v>
          </cell>
          <cell r="CD217">
            <v>4052331</v>
          </cell>
          <cell r="CE217">
            <v>196294</v>
          </cell>
          <cell r="CF217">
            <v>0</v>
          </cell>
          <cell r="CG217">
            <v>196294</v>
          </cell>
          <cell r="CH217">
            <v>196294</v>
          </cell>
          <cell r="CI217">
            <v>196294</v>
          </cell>
          <cell r="CJ217">
            <v>196294</v>
          </cell>
          <cell r="CK217">
            <v>0</v>
          </cell>
          <cell r="CL217">
            <v>0</v>
          </cell>
          <cell r="CM217">
            <v>0</v>
          </cell>
          <cell r="CN217">
            <v>0</v>
          </cell>
          <cell r="CO217">
            <v>0</v>
          </cell>
          <cell r="CP217">
            <v>-4232</v>
          </cell>
          <cell r="CQ217">
            <v>630758</v>
          </cell>
          <cell r="CR217">
            <v>592443</v>
          </cell>
          <cell r="CS217">
            <v>570242</v>
          </cell>
          <cell r="CT217">
            <v>570620</v>
          </cell>
          <cell r="CU217">
            <v>541774</v>
          </cell>
          <cell r="CV217">
            <v>5875</v>
          </cell>
          <cell r="CW217">
            <v>0</v>
          </cell>
          <cell r="CX217">
            <v>0</v>
          </cell>
          <cell r="CY217">
            <v>0</v>
          </cell>
          <cell r="CZ217">
            <v>0</v>
          </cell>
          <cell r="DA217">
            <v>0</v>
          </cell>
          <cell r="DC217">
            <v>0</v>
          </cell>
          <cell r="DD217">
            <v>0</v>
          </cell>
          <cell r="DE217">
            <v>0</v>
          </cell>
          <cell r="DF217">
            <v>0</v>
          </cell>
          <cell r="DG217">
            <v>0</v>
          </cell>
          <cell r="DH217">
            <v>0</v>
          </cell>
          <cell r="DI217">
            <v>0</v>
          </cell>
          <cell r="DJ217">
            <v>0</v>
          </cell>
          <cell r="DK217">
            <v>0</v>
          </cell>
          <cell r="DL217">
            <v>0</v>
          </cell>
        </row>
        <row r="218">
          <cell r="A218">
            <v>503</v>
          </cell>
          <cell r="B218" t="str">
            <v>Delft</v>
          </cell>
          <cell r="C218">
            <v>8</v>
          </cell>
          <cell r="D218">
            <v>185263</v>
          </cell>
          <cell r="E218">
            <v>92631</v>
          </cell>
          <cell r="F218">
            <v>0</v>
          </cell>
          <cell r="G218">
            <v>452793</v>
          </cell>
          <cell r="H218">
            <v>0</v>
          </cell>
          <cell r="I218">
            <v>-22049</v>
          </cell>
          <cell r="K218">
            <v>0</v>
          </cell>
          <cell r="L218">
            <v>521438</v>
          </cell>
          <cell r="M218">
            <v>538521</v>
          </cell>
          <cell r="N218">
            <v>0</v>
          </cell>
          <cell r="O218">
            <v>0</v>
          </cell>
          <cell r="P218">
            <v>150000</v>
          </cell>
          <cell r="Q218">
            <v>0</v>
          </cell>
          <cell r="R218">
            <v>0</v>
          </cell>
          <cell r="S218">
            <v>0</v>
          </cell>
          <cell r="T218">
            <v>0</v>
          </cell>
          <cell r="U218">
            <v>0</v>
          </cell>
          <cell r="V218">
            <v>21000</v>
          </cell>
          <cell r="W218">
            <v>297787</v>
          </cell>
          <cell r="X218">
            <v>0</v>
          </cell>
          <cell r="Z218">
            <v>0</v>
          </cell>
          <cell r="AA218">
            <v>0</v>
          </cell>
          <cell r="AB218">
            <v>0</v>
          </cell>
          <cell r="AD218">
            <v>220982</v>
          </cell>
          <cell r="AE218">
            <v>0</v>
          </cell>
          <cell r="AF218">
            <v>0</v>
          </cell>
          <cell r="AG218">
            <v>0</v>
          </cell>
          <cell r="AH218">
            <v>0</v>
          </cell>
          <cell r="AI218">
            <v>0</v>
          </cell>
          <cell r="AJ218">
            <v>0</v>
          </cell>
          <cell r="AK218">
            <v>0</v>
          </cell>
          <cell r="AM218">
            <v>0</v>
          </cell>
          <cell r="AN218">
            <v>0</v>
          </cell>
          <cell r="AO218">
            <v>0</v>
          </cell>
          <cell r="AP218">
            <v>0</v>
          </cell>
          <cell r="AQ218">
            <v>0</v>
          </cell>
          <cell r="AR218">
            <v>0</v>
          </cell>
          <cell r="AS218">
            <v>0</v>
          </cell>
          <cell r="AT218">
            <v>20000</v>
          </cell>
          <cell r="AU218">
            <v>7110</v>
          </cell>
          <cell r="AV218">
            <v>2483935.6312998398</v>
          </cell>
          <cell r="AW218">
            <v>0</v>
          </cell>
          <cell r="AX218">
            <v>0</v>
          </cell>
          <cell r="BA218">
            <v>0</v>
          </cell>
          <cell r="BC218">
            <v>9916</v>
          </cell>
          <cell r="BD218">
            <v>35588</v>
          </cell>
          <cell r="BF218">
            <v>0</v>
          </cell>
          <cell r="BG218">
            <v>0</v>
          </cell>
          <cell r="BH218">
            <v>0</v>
          </cell>
          <cell r="BI218">
            <v>164308</v>
          </cell>
          <cell r="BJ218">
            <v>135250</v>
          </cell>
          <cell r="BK218">
            <v>135250</v>
          </cell>
          <cell r="BL218">
            <v>0</v>
          </cell>
          <cell r="BM218">
            <v>0</v>
          </cell>
          <cell r="BN218">
            <v>0</v>
          </cell>
          <cell r="BO218">
            <v>86098</v>
          </cell>
          <cell r="BP218">
            <v>60093.2</v>
          </cell>
          <cell r="BQ218">
            <v>108255.813953488</v>
          </cell>
          <cell r="BR218">
            <v>372650</v>
          </cell>
          <cell r="BS218">
            <v>0</v>
          </cell>
          <cell r="BT218">
            <v>157124</v>
          </cell>
          <cell r="BY218">
            <v>1858875.7326807701</v>
          </cell>
          <cell r="BZ218">
            <v>2153287.8856008002</v>
          </cell>
          <cell r="CA218">
            <v>2178438.6725336602</v>
          </cell>
          <cell r="CB218">
            <v>2249452.6591676399</v>
          </cell>
          <cell r="CC218">
            <v>6645737</v>
          </cell>
          <cell r="CD218">
            <v>63134905</v>
          </cell>
          <cell r="CE218">
            <v>2279940</v>
          </cell>
          <cell r="CF218">
            <v>-23131</v>
          </cell>
          <cell r="CG218">
            <v>2279940</v>
          </cell>
          <cell r="CH218">
            <v>2279940</v>
          </cell>
          <cell r="CI218">
            <v>2279940</v>
          </cell>
          <cell r="CJ218">
            <v>2279940</v>
          </cell>
          <cell r="CK218">
            <v>18546989</v>
          </cell>
          <cell r="CL218">
            <v>18537680</v>
          </cell>
          <cell r="CM218">
            <v>18537530</v>
          </cell>
          <cell r="CN218">
            <v>18537199</v>
          </cell>
          <cell r="CO218">
            <v>18537658</v>
          </cell>
          <cell r="CP218">
            <v>-4432</v>
          </cell>
          <cell r="CQ218">
            <v>12383904</v>
          </cell>
          <cell r="CR218">
            <v>11887654</v>
          </cell>
          <cell r="CS218">
            <v>11533370</v>
          </cell>
          <cell r="CT218">
            <v>11198441</v>
          </cell>
          <cell r="CU218">
            <v>10896472</v>
          </cell>
          <cell r="CV218">
            <v>571624</v>
          </cell>
          <cell r="CW218">
            <v>0</v>
          </cell>
          <cell r="CX218">
            <v>0</v>
          </cell>
          <cell r="CY218">
            <v>0</v>
          </cell>
          <cell r="CZ218">
            <v>0</v>
          </cell>
          <cell r="DA218">
            <v>0</v>
          </cell>
          <cell r="DC218">
            <v>0</v>
          </cell>
          <cell r="DD218">
            <v>0</v>
          </cell>
          <cell r="DE218">
            <v>0</v>
          </cell>
          <cell r="DF218">
            <v>0</v>
          </cell>
          <cell r="DG218">
            <v>0</v>
          </cell>
          <cell r="DH218">
            <v>0</v>
          </cell>
          <cell r="DI218">
            <v>0</v>
          </cell>
          <cell r="DJ218">
            <v>0</v>
          </cell>
          <cell r="DK218">
            <v>0</v>
          </cell>
          <cell r="DL218">
            <v>0</v>
          </cell>
        </row>
        <row r="219">
          <cell r="A219">
            <v>505</v>
          </cell>
          <cell r="B219" t="str">
            <v>Dordrecht</v>
          </cell>
          <cell r="C219">
            <v>8</v>
          </cell>
          <cell r="D219">
            <v>175068</v>
          </cell>
          <cell r="E219">
            <v>87534</v>
          </cell>
          <cell r="F219">
            <v>0</v>
          </cell>
          <cell r="G219">
            <v>0</v>
          </cell>
          <cell r="H219">
            <v>0</v>
          </cell>
          <cell r="I219">
            <v>-16641</v>
          </cell>
          <cell r="K219">
            <v>0</v>
          </cell>
          <cell r="L219">
            <v>711784</v>
          </cell>
          <cell r="M219">
            <v>755287</v>
          </cell>
          <cell r="N219">
            <v>31100</v>
          </cell>
          <cell r="O219">
            <v>15500</v>
          </cell>
          <cell r="P219">
            <v>150000</v>
          </cell>
          <cell r="Q219">
            <v>0</v>
          </cell>
          <cell r="R219">
            <v>0</v>
          </cell>
          <cell r="S219">
            <v>1537991</v>
          </cell>
          <cell r="T219">
            <v>1537991</v>
          </cell>
          <cell r="U219">
            <v>1537991</v>
          </cell>
          <cell r="V219">
            <v>12000</v>
          </cell>
          <cell r="W219">
            <v>468062</v>
          </cell>
          <cell r="X219">
            <v>0</v>
          </cell>
          <cell r="Z219">
            <v>0</v>
          </cell>
          <cell r="AA219">
            <v>0</v>
          </cell>
          <cell r="AB219">
            <v>0</v>
          </cell>
          <cell r="AD219">
            <v>201426</v>
          </cell>
          <cell r="AE219">
            <v>0</v>
          </cell>
          <cell r="AF219">
            <v>0</v>
          </cell>
          <cell r="AG219">
            <v>0</v>
          </cell>
          <cell r="AH219">
            <v>0</v>
          </cell>
          <cell r="AI219">
            <v>0</v>
          </cell>
          <cell r="AJ219">
            <v>0</v>
          </cell>
          <cell r="AK219">
            <v>525469</v>
          </cell>
          <cell r="AM219">
            <v>0</v>
          </cell>
          <cell r="AN219">
            <v>0</v>
          </cell>
          <cell r="AO219">
            <v>0</v>
          </cell>
          <cell r="AP219">
            <v>0</v>
          </cell>
          <cell r="AQ219">
            <v>0</v>
          </cell>
          <cell r="AR219">
            <v>0</v>
          </cell>
          <cell r="AS219">
            <v>0</v>
          </cell>
          <cell r="AT219">
            <v>19000</v>
          </cell>
          <cell r="AU219">
            <v>4740</v>
          </cell>
          <cell r="AV219">
            <v>5769614.6181039196</v>
          </cell>
          <cell r="AW219">
            <v>88321</v>
          </cell>
          <cell r="AX219">
            <v>0</v>
          </cell>
          <cell r="BA219">
            <v>0</v>
          </cell>
          <cell r="BC219">
            <v>0</v>
          </cell>
          <cell r="BD219">
            <v>41679</v>
          </cell>
          <cell r="BF219">
            <v>0</v>
          </cell>
          <cell r="BG219">
            <v>0</v>
          </cell>
          <cell r="BH219">
            <v>0</v>
          </cell>
          <cell r="BI219">
            <v>224804</v>
          </cell>
          <cell r="BJ219">
            <v>185047</v>
          </cell>
          <cell r="BK219">
            <v>185047</v>
          </cell>
          <cell r="BL219">
            <v>0</v>
          </cell>
          <cell r="BM219">
            <v>0</v>
          </cell>
          <cell r="BN219">
            <v>195580</v>
          </cell>
          <cell r="BO219">
            <v>359470</v>
          </cell>
          <cell r="BP219">
            <v>18976.8</v>
          </cell>
          <cell r="BQ219">
            <v>34186.046511627901</v>
          </cell>
          <cell r="BR219">
            <v>0</v>
          </cell>
          <cell r="BS219">
            <v>0</v>
          </cell>
          <cell r="BT219">
            <v>210231</v>
          </cell>
          <cell r="BY219">
            <v>2599909.8659244799</v>
          </cell>
          <cell r="BZ219">
            <v>3013902.7810077099</v>
          </cell>
          <cell r="CA219">
            <v>3049269.0099344202</v>
          </cell>
          <cell r="CB219">
            <v>3149126.5974921798</v>
          </cell>
          <cell r="CC219">
            <v>10011229</v>
          </cell>
          <cell r="CD219">
            <v>114548423</v>
          </cell>
          <cell r="CE219">
            <v>5651145</v>
          </cell>
          <cell r="CF219">
            <v>-34302</v>
          </cell>
          <cell r="CG219">
            <v>5651145</v>
          </cell>
          <cell r="CH219">
            <v>5651145</v>
          </cell>
          <cell r="CI219">
            <v>5651145</v>
          </cell>
          <cell r="CJ219">
            <v>5651145</v>
          </cell>
          <cell r="CK219">
            <v>41851459</v>
          </cell>
          <cell r="CL219">
            <v>41830453</v>
          </cell>
          <cell r="CM219">
            <v>41830113</v>
          </cell>
          <cell r="CN219">
            <v>41829366</v>
          </cell>
          <cell r="CO219">
            <v>41830402</v>
          </cell>
          <cell r="CP219">
            <v>-876</v>
          </cell>
          <cell r="CQ219">
            <v>20593391</v>
          </cell>
          <cell r="CR219">
            <v>19639942</v>
          </cell>
          <cell r="CS219">
            <v>19060084</v>
          </cell>
          <cell r="CT219">
            <v>18658814</v>
          </cell>
          <cell r="CU219">
            <v>18321918</v>
          </cell>
          <cell r="CV219">
            <v>-110394</v>
          </cell>
          <cell r="CW219">
            <v>0</v>
          </cell>
          <cell r="CX219">
            <v>0</v>
          </cell>
          <cell r="CY219">
            <v>0</v>
          </cell>
          <cell r="CZ219">
            <v>0</v>
          </cell>
          <cell r="DA219">
            <v>0</v>
          </cell>
          <cell r="DC219">
            <v>0</v>
          </cell>
          <cell r="DD219">
            <v>0</v>
          </cell>
          <cell r="DE219">
            <v>0</v>
          </cell>
          <cell r="DF219">
            <v>0</v>
          </cell>
          <cell r="DG219">
            <v>0</v>
          </cell>
          <cell r="DH219">
            <v>0</v>
          </cell>
          <cell r="DI219">
            <v>0</v>
          </cell>
          <cell r="DJ219">
            <v>0</v>
          </cell>
          <cell r="DK219">
            <v>0</v>
          </cell>
          <cell r="DL219">
            <v>0</v>
          </cell>
        </row>
        <row r="220">
          <cell r="A220">
            <v>689</v>
          </cell>
          <cell r="B220" t="str">
            <v>Giessenlanden</v>
          </cell>
          <cell r="C220">
            <v>8</v>
          </cell>
          <cell r="D220">
            <v>-33370</v>
          </cell>
          <cell r="E220">
            <v>-16685</v>
          </cell>
          <cell r="F220">
            <v>0</v>
          </cell>
          <cell r="G220">
            <v>0</v>
          </cell>
          <cell r="H220">
            <v>0</v>
          </cell>
          <cell r="I220">
            <v>0</v>
          </cell>
          <cell r="K220">
            <v>0</v>
          </cell>
          <cell r="L220">
            <v>40111</v>
          </cell>
          <cell r="M220">
            <v>35044</v>
          </cell>
          <cell r="N220">
            <v>0</v>
          </cell>
          <cell r="O220">
            <v>0</v>
          </cell>
          <cell r="P220">
            <v>0</v>
          </cell>
          <cell r="Q220">
            <v>0</v>
          </cell>
          <cell r="R220">
            <v>0</v>
          </cell>
          <cell r="S220">
            <v>0</v>
          </cell>
          <cell r="T220">
            <v>0</v>
          </cell>
          <cell r="U220">
            <v>0</v>
          </cell>
          <cell r="V220">
            <v>0</v>
          </cell>
          <cell r="W220">
            <v>63756</v>
          </cell>
          <cell r="X220">
            <v>0</v>
          </cell>
          <cell r="Z220">
            <v>0</v>
          </cell>
          <cell r="AA220">
            <v>0</v>
          </cell>
          <cell r="AB220">
            <v>0</v>
          </cell>
          <cell r="AD220">
            <v>0</v>
          </cell>
          <cell r="AE220">
            <v>0</v>
          </cell>
          <cell r="AF220">
            <v>0</v>
          </cell>
          <cell r="AG220">
            <v>0</v>
          </cell>
          <cell r="AH220">
            <v>0</v>
          </cell>
          <cell r="AI220">
            <v>0</v>
          </cell>
          <cell r="AJ220">
            <v>0</v>
          </cell>
          <cell r="AK220">
            <v>0</v>
          </cell>
          <cell r="AM220">
            <v>51185</v>
          </cell>
          <cell r="AN220">
            <v>52362</v>
          </cell>
          <cell r="AO220">
            <v>53567</v>
          </cell>
          <cell r="AP220">
            <v>54799</v>
          </cell>
          <cell r="AQ220">
            <v>56059</v>
          </cell>
          <cell r="AR220">
            <v>57349</v>
          </cell>
          <cell r="AS220">
            <v>0</v>
          </cell>
          <cell r="AT220">
            <v>0</v>
          </cell>
          <cell r="AU220">
            <v>0</v>
          </cell>
          <cell r="AV220">
            <v>0</v>
          </cell>
          <cell r="AW220">
            <v>0</v>
          </cell>
          <cell r="AX220">
            <v>0</v>
          </cell>
          <cell r="BA220">
            <v>0</v>
          </cell>
          <cell r="BC220">
            <v>0</v>
          </cell>
          <cell r="BD220">
            <v>25608</v>
          </cell>
          <cell r="BF220">
            <v>0</v>
          </cell>
          <cell r="BG220">
            <v>0</v>
          </cell>
          <cell r="BH220">
            <v>0</v>
          </cell>
          <cell r="BI220">
            <v>12412</v>
          </cell>
          <cell r="BJ220">
            <v>10217</v>
          </cell>
          <cell r="BK220">
            <v>10217</v>
          </cell>
          <cell r="BL220">
            <v>0</v>
          </cell>
          <cell r="BM220">
            <v>0</v>
          </cell>
          <cell r="BN220">
            <v>0</v>
          </cell>
          <cell r="BO220">
            <v>54966</v>
          </cell>
          <cell r="BP220">
            <v>0</v>
          </cell>
          <cell r="BQ220">
            <v>0</v>
          </cell>
          <cell r="BR220">
            <v>0</v>
          </cell>
          <cell r="BS220">
            <v>0</v>
          </cell>
          <cell r="BT220">
            <v>26941</v>
          </cell>
          <cell r="BY220">
            <v>0</v>
          </cell>
          <cell r="BZ220">
            <v>0</v>
          </cell>
          <cell r="CA220">
            <v>0</v>
          </cell>
          <cell r="CB220">
            <v>0</v>
          </cell>
          <cell r="CC220">
            <v>872420</v>
          </cell>
          <cell r="CD220">
            <v>4181109</v>
          </cell>
          <cell r="CE220">
            <v>285647</v>
          </cell>
          <cell r="CF220">
            <v>0</v>
          </cell>
          <cell r="CG220">
            <v>285647</v>
          </cell>
          <cell r="CH220">
            <v>285647</v>
          </cell>
          <cell r="CI220">
            <v>285647</v>
          </cell>
          <cell r="CJ220">
            <v>285647</v>
          </cell>
          <cell r="CK220">
            <v>0</v>
          </cell>
          <cell r="CL220">
            <v>0</v>
          </cell>
          <cell r="CM220">
            <v>0</v>
          </cell>
          <cell r="CN220">
            <v>0</v>
          </cell>
          <cell r="CO220">
            <v>0</v>
          </cell>
          <cell r="CP220">
            <v>0</v>
          </cell>
          <cell r="CQ220">
            <v>532997</v>
          </cell>
          <cell r="CR220">
            <v>504515</v>
          </cell>
          <cell r="CS220">
            <v>494865</v>
          </cell>
          <cell r="CT220">
            <v>490811</v>
          </cell>
          <cell r="CU220">
            <v>470289</v>
          </cell>
          <cell r="CV220">
            <v>-1534</v>
          </cell>
          <cell r="CW220">
            <v>0</v>
          </cell>
          <cell r="CX220">
            <v>0</v>
          </cell>
          <cell r="CY220">
            <v>0</v>
          </cell>
          <cell r="CZ220">
            <v>0</v>
          </cell>
          <cell r="DA220">
            <v>0</v>
          </cell>
          <cell r="DC220">
            <v>0</v>
          </cell>
          <cell r="DD220">
            <v>0</v>
          </cell>
          <cell r="DE220">
            <v>0</v>
          </cell>
          <cell r="DF220">
            <v>0</v>
          </cell>
          <cell r="DG220">
            <v>0</v>
          </cell>
          <cell r="DH220">
            <v>0</v>
          </cell>
          <cell r="DI220">
            <v>0</v>
          </cell>
          <cell r="DJ220">
            <v>0</v>
          </cell>
          <cell r="DK220">
            <v>0</v>
          </cell>
          <cell r="DL220">
            <v>0</v>
          </cell>
        </row>
        <row r="221">
          <cell r="A221">
            <v>1924</v>
          </cell>
          <cell r="B221" t="str">
            <v>Goeree-Overflakkee</v>
          </cell>
          <cell r="C221">
            <v>8</v>
          </cell>
          <cell r="D221">
            <v>-28043</v>
          </cell>
          <cell r="E221">
            <v>-14021</v>
          </cell>
          <cell r="F221">
            <v>0</v>
          </cell>
          <cell r="G221">
            <v>0</v>
          </cell>
          <cell r="H221">
            <v>-14091</v>
          </cell>
          <cell r="I221">
            <v>-7881</v>
          </cell>
          <cell r="K221">
            <v>0</v>
          </cell>
          <cell r="L221">
            <v>133941</v>
          </cell>
          <cell r="M221">
            <v>126179</v>
          </cell>
          <cell r="N221">
            <v>0</v>
          </cell>
          <cell r="O221">
            <v>0</v>
          </cell>
          <cell r="P221">
            <v>0</v>
          </cell>
          <cell r="Q221">
            <v>0</v>
          </cell>
          <cell r="R221">
            <v>0</v>
          </cell>
          <cell r="S221">
            <v>0</v>
          </cell>
          <cell r="T221">
            <v>0</v>
          </cell>
          <cell r="U221">
            <v>0</v>
          </cell>
          <cell r="V221">
            <v>6000</v>
          </cell>
          <cell r="W221">
            <v>197294</v>
          </cell>
          <cell r="X221">
            <v>0</v>
          </cell>
          <cell r="Z221">
            <v>0</v>
          </cell>
          <cell r="AA221">
            <v>0</v>
          </cell>
          <cell r="AB221">
            <v>130000</v>
          </cell>
          <cell r="AD221">
            <v>0</v>
          </cell>
          <cell r="AE221">
            <v>0</v>
          </cell>
          <cell r="AF221">
            <v>0</v>
          </cell>
          <cell r="AG221">
            <v>0</v>
          </cell>
          <cell r="AH221">
            <v>0</v>
          </cell>
          <cell r="AI221">
            <v>0</v>
          </cell>
          <cell r="AJ221">
            <v>0</v>
          </cell>
          <cell r="AK221">
            <v>0</v>
          </cell>
          <cell r="AM221">
            <v>262897</v>
          </cell>
          <cell r="AN221">
            <v>268943</v>
          </cell>
          <cell r="AO221">
            <v>275130</v>
          </cell>
          <cell r="AP221">
            <v>281457</v>
          </cell>
          <cell r="AQ221">
            <v>287930</v>
          </cell>
          <cell r="AR221">
            <v>294553</v>
          </cell>
          <cell r="AS221">
            <v>0</v>
          </cell>
          <cell r="AT221">
            <v>0</v>
          </cell>
          <cell r="AU221">
            <v>7110</v>
          </cell>
          <cell r="AV221">
            <v>0</v>
          </cell>
          <cell r="AW221">
            <v>0</v>
          </cell>
          <cell r="AX221">
            <v>0</v>
          </cell>
          <cell r="BA221">
            <v>0</v>
          </cell>
          <cell r="BC221">
            <v>0</v>
          </cell>
          <cell r="BD221">
            <v>17079</v>
          </cell>
          <cell r="BF221">
            <v>0</v>
          </cell>
          <cell r="BG221">
            <v>0</v>
          </cell>
          <cell r="BH221">
            <v>0</v>
          </cell>
          <cell r="BI221">
            <v>52924</v>
          </cell>
          <cell r="BJ221">
            <v>43564</v>
          </cell>
          <cell r="BK221">
            <v>43564</v>
          </cell>
          <cell r="BL221">
            <v>0</v>
          </cell>
          <cell r="BM221">
            <v>0</v>
          </cell>
          <cell r="BN221">
            <v>0</v>
          </cell>
          <cell r="BO221">
            <v>141064</v>
          </cell>
          <cell r="BP221">
            <v>25302.400000000001</v>
          </cell>
          <cell r="BQ221">
            <v>45581.395348837199</v>
          </cell>
          <cell r="BR221">
            <v>0</v>
          </cell>
          <cell r="BS221">
            <v>0</v>
          </cell>
          <cell r="BT221">
            <v>86541</v>
          </cell>
          <cell r="BY221">
            <v>0</v>
          </cell>
          <cell r="BZ221">
            <v>0</v>
          </cell>
          <cell r="CA221">
            <v>0</v>
          </cell>
          <cell r="CB221">
            <v>0</v>
          </cell>
          <cell r="CC221">
            <v>3838912</v>
          </cell>
          <cell r="CD221">
            <v>20919529</v>
          </cell>
          <cell r="CE221">
            <v>767196</v>
          </cell>
          <cell r="CF221">
            <v>0</v>
          </cell>
          <cell r="CG221">
            <v>767196</v>
          </cell>
          <cell r="CH221">
            <v>767196</v>
          </cell>
          <cell r="CI221">
            <v>767196</v>
          </cell>
          <cell r="CJ221">
            <v>767196</v>
          </cell>
          <cell r="CK221">
            <v>0</v>
          </cell>
          <cell r="CL221">
            <v>0</v>
          </cell>
          <cell r="CM221">
            <v>0</v>
          </cell>
          <cell r="CN221">
            <v>0</v>
          </cell>
          <cell r="CO221">
            <v>0</v>
          </cell>
          <cell r="CP221">
            <v>-2849</v>
          </cell>
          <cell r="CQ221">
            <v>5187225</v>
          </cell>
          <cell r="CR221">
            <v>4881664</v>
          </cell>
          <cell r="CS221">
            <v>4738161</v>
          </cell>
          <cell r="CT221">
            <v>4657491</v>
          </cell>
          <cell r="CU221">
            <v>4541376</v>
          </cell>
          <cell r="CV221">
            <v>-8964</v>
          </cell>
          <cell r="CW221">
            <v>0</v>
          </cell>
          <cell r="CX221">
            <v>0</v>
          </cell>
          <cell r="CY221">
            <v>0</v>
          </cell>
          <cell r="CZ221">
            <v>0</v>
          </cell>
          <cell r="DA221">
            <v>0</v>
          </cell>
          <cell r="DC221">
            <v>0</v>
          </cell>
          <cell r="DD221">
            <v>0</v>
          </cell>
          <cell r="DE221">
            <v>0</v>
          </cell>
          <cell r="DF221">
            <v>0</v>
          </cell>
          <cell r="DG221">
            <v>0</v>
          </cell>
          <cell r="DH221">
            <v>0</v>
          </cell>
          <cell r="DI221">
            <v>0</v>
          </cell>
          <cell r="DJ221">
            <v>0</v>
          </cell>
          <cell r="DK221">
            <v>0</v>
          </cell>
          <cell r="DL221">
            <v>0</v>
          </cell>
        </row>
        <row r="222">
          <cell r="A222">
            <v>512</v>
          </cell>
          <cell r="B222" t="str">
            <v>Gorinchem</v>
          </cell>
          <cell r="C222">
            <v>8</v>
          </cell>
          <cell r="D222">
            <v>-23731</v>
          </cell>
          <cell r="E222">
            <v>-11865</v>
          </cell>
          <cell r="F222">
            <v>0</v>
          </cell>
          <cell r="G222">
            <v>0</v>
          </cell>
          <cell r="H222">
            <v>-7813</v>
          </cell>
          <cell r="I222">
            <v>-20003</v>
          </cell>
          <cell r="K222">
            <v>7500</v>
          </cell>
          <cell r="L222">
            <v>189093</v>
          </cell>
          <cell r="M222">
            <v>179983</v>
          </cell>
          <cell r="N222">
            <v>0</v>
          </cell>
          <cell r="O222">
            <v>0</v>
          </cell>
          <cell r="P222">
            <v>0</v>
          </cell>
          <cell r="Q222">
            <v>0</v>
          </cell>
          <cell r="R222">
            <v>0</v>
          </cell>
          <cell r="S222">
            <v>0</v>
          </cell>
          <cell r="T222">
            <v>0</v>
          </cell>
          <cell r="U222">
            <v>0</v>
          </cell>
          <cell r="V222">
            <v>15000</v>
          </cell>
          <cell r="W222">
            <v>136842</v>
          </cell>
          <cell r="X222">
            <v>0</v>
          </cell>
          <cell r="Z222">
            <v>0</v>
          </cell>
          <cell r="AA222">
            <v>0</v>
          </cell>
          <cell r="AB222">
            <v>0</v>
          </cell>
          <cell r="AD222">
            <v>34223</v>
          </cell>
          <cell r="AE222">
            <v>0</v>
          </cell>
          <cell r="AF222">
            <v>0</v>
          </cell>
          <cell r="AG222">
            <v>0</v>
          </cell>
          <cell r="AH222">
            <v>0</v>
          </cell>
          <cell r="AI222">
            <v>0</v>
          </cell>
          <cell r="AJ222">
            <v>0</v>
          </cell>
          <cell r="AK222">
            <v>0</v>
          </cell>
          <cell r="AM222">
            <v>9838</v>
          </cell>
          <cell r="AN222">
            <v>10064</v>
          </cell>
          <cell r="AO222">
            <v>10296</v>
          </cell>
          <cell r="AP222">
            <v>10532</v>
          </cell>
          <cell r="AQ222">
            <v>10775</v>
          </cell>
          <cell r="AR222">
            <v>11023</v>
          </cell>
          <cell r="AS222">
            <v>0</v>
          </cell>
          <cell r="AT222">
            <v>0</v>
          </cell>
          <cell r="AU222">
            <v>7110</v>
          </cell>
          <cell r="AV222">
            <v>0</v>
          </cell>
          <cell r="AW222">
            <v>0</v>
          </cell>
          <cell r="AX222">
            <v>0</v>
          </cell>
          <cell r="BA222">
            <v>0</v>
          </cell>
          <cell r="BC222">
            <v>0</v>
          </cell>
          <cell r="BD222">
            <v>12551</v>
          </cell>
          <cell r="BF222">
            <v>0</v>
          </cell>
          <cell r="BG222">
            <v>0</v>
          </cell>
          <cell r="BH222">
            <v>0</v>
          </cell>
          <cell r="BI222">
            <v>64815</v>
          </cell>
          <cell r="BJ222">
            <v>53352</v>
          </cell>
          <cell r="BK222">
            <v>53352</v>
          </cell>
          <cell r="BL222">
            <v>0</v>
          </cell>
          <cell r="BM222">
            <v>0</v>
          </cell>
          <cell r="BN222">
            <v>0</v>
          </cell>
          <cell r="BO222">
            <v>98745</v>
          </cell>
          <cell r="BP222">
            <v>12651.2</v>
          </cell>
          <cell r="BQ222">
            <v>22790.697674418599</v>
          </cell>
          <cell r="BR222">
            <v>0</v>
          </cell>
          <cell r="BS222">
            <v>0</v>
          </cell>
          <cell r="BT222">
            <v>56618</v>
          </cell>
          <cell r="BY222">
            <v>0</v>
          </cell>
          <cell r="BZ222">
            <v>0</v>
          </cell>
          <cell r="CA222">
            <v>0</v>
          </cell>
          <cell r="CB222">
            <v>0</v>
          </cell>
          <cell r="CC222">
            <v>2982500</v>
          </cell>
          <cell r="CD222">
            <v>20785789</v>
          </cell>
          <cell r="CE222">
            <v>799640</v>
          </cell>
          <cell r="CF222">
            <v>-20370</v>
          </cell>
          <cell r="CG222">
            <v>799640</v>
          </cell>
          <cell r="CH222">
            <v>799640</v>
          </cell>
          <cell r="CI222">
            <v>799640</v>
          </cell>
          <cell r="CJ222">
            <v>799640</v>
          </cell>
          <cell r="CK222">
            <v>0</v>
          </cell>
          <cell r="CL222">
            <v>0</v>
          </cell>
          <cell r="CM222">
            <v>0</v>
          </cell>
          <cell r="CN222">
            <v>0</v>
          </cell>
          <cell r="CO222">
            <v>0</v>
          </cell>
          <cell r="CP222">
            <v>-4163</v>
          </cell>
          <cell r="CQ222">
            <v>6134993</v>
          </cell>
          <cell r="CR222">
            <v>5890976</v>
          </cell>
          <cell r="CS222">
            <v>5751185</v>
          </cell>
          <cell r="CT222">
            <v>5553863</v>
          </cell>
          <cell r="CU222">
            <v>5447655</v>
          </cell>
          <cell r="CV222">
            <v>33314</v>
          </cell>
          <cell r="CW222">
            <v>0</v>
          </cell>
          <cell r="CX222">
            <v>0</v>
          </cell>
          <cell r="CY222">
            <v>0</v>
          </cell>
          <cell r="CZ222">
            <v>0</v>
          </cell>
          <cell r="DA222">
            <v>0</v>
          </cell>
          <cell r="DC222">
            <v>0</v>
          </cell>
          <cell r="DD222">
            <v>0</v>
          </cell>
          <cell r="DE222">
            <v>0</v>
          </cell>
          <cell r="DF222">
            <v>0</v>
          </cell>
          <cell r="DG222">
            <v>0</v>
          </cell>
          <cell r="DH222">
            <v>0</v>
          </cell>
          <cell r="DI222">
            <v>0</v>
          </cell>
          <cell r="DJ222">
            <v>0</v>
          </cell>
          <cell r="DK222">
            <v>0</v>
          </cell>
          <cell r="DL222">
            <v>0</v>
          </cell>
        </row>
        <row r="223">
          <cell r="A223">
            <v>513</v>
          </cell>
          <cell r="B223" t="str">
            <v>Gouda</v>
          </cell>
          <cell r="C223">
            <v>8</v>
          </cell>
          <cell r="D223">
            <v>171033</v>
          </cell>
          <cell r="E223">
            <v>85517</v>
          </cell>
          <cell r="F223">
            <v>0</v>
          </cell>
          <cell r="G223">
            <v>50493</v>
          </cell>
          <cell r="H223">
            <v>205792</v>
          </cell>
          <cell r="I223">
            <v>195185</v>
          </cell>
          <cell r="K223">
            <v>7500</v>
          </cell>
          <cell r="L223">
            <v>388691</v>
          </cell>
          <cell r="M223">
            <v>401677</v>
          </cell>
          <cell r="N223">
            <v>0</v>
          </cell>
          <cell r="O223">
            <v>0</v>
          </cell>
          <cell r="P223">
            <v>0</v>
          </cell>
          <cell r="Q223">
            <v>0</v>
          </cell>
          <cell r="R223">
            <v>0</v>
          </cell>
          <cell r="S223">
            <v>0</v>
          </cell>
          <cell r="T223">
            <v>0</v>
          </cell>
          <cell r="U223">
            <v>0</v>
          </cell>
          <cell r="V223">
            <v>33000</v>
          </cell>
          <cell r="W223">
            <v>299342</v>
          </cell>
          <cell r="X223">
            <v>0</v>
          </cell>
          <cell r="Z223">
            <v>0</v>
          </cell>
          <cell r="AA223">
            <v>0</v>
          </cell>
          <cell r="AB223">
            <v>0</v>
          </cell>
          <cell r="AD223">
            <v>97780</v>
          </cell>
          <cell r="AE223">
            <v>0</v>
          </cell>
          <cell r="AF223">
            <v>0</v>
          </cell>
          <cell r="AG223">
            <v>0</v>
          </cell>
          <cell r="AH223">
            <v>0</v>
          </cell>
          <cell r="AI223">
            <v>0</v>
          </cell>
          <cell r="AJ223">
            <v>0</v>
          </cell>
          <cell r="AK223">
            <v>0</v>
          </cell>
          <cell r="AM223">
            <v>0</v>
          </cell>
          <cell r="AN223">
            <v>0</v>
          </cell>
          <cell r="AO223">
            <v>0</v>
          </cell>
          <cell r="AP223">
            <v>0</v>
          </cell>
          <cell r="AQ223">
            <v>0</v>
          </cell>
          <cell r="AR223">
            <v>0</v>
          </cell>
          <cell r="AS223">
            <v>0</v>
          </cell>
          <cell r="AT223">
            <v>0</v>
          </cell>
          <cell r="AU223">
            <v>0</v>
          </cell>
          <cell r="AV223">
            <v>2095384.21829737</v>
          </cell>
          <cell r="AW223">
            <v>0</v>
          </cell>
          <cell r="AX223">
            <v>0</v>
          </cell>
          <cell r="BA223">
            <v>0</v>
          </cell>
          <cell r="BC223">
            <v>0</v>
          </cell>
          <cell r="BD223">
            <v>25187</v>
          </cell>
          <cell r="BF223">
            <v>0</v>
          </cell>
          <cell r="BG223">
            <v>0</v>
          </cell>
          <cell r="BH223">
            <v>0</v>
          </cell>
          <cell r="BI223">
            <v>118890</v>
          </cell>
          <cell r="BJ223">
            <v>97864</v>
          </cell>
          <cell r="BK223">
            <v>97864</v>
          </cell>
          <cell r="BL223">
            <v>0</v>
          </cell>
          <cell r="BM223">
            <v>0</v>
          </cell>
          <cell r="BN223">
            <v>0</v>
          </cell>
          <cell r="BO223">
            <v>98258</v>
          </cell>
          <cell r="BP223">
            <v>26883.8</v>
          </cell>
          <cell r="BQ223">
            <v>48430.232558139498</v>
          </cell>
          <cell r="BR223">
            <v>156350</v>
          </cell>
          <cell r="BS223">
            <v>0</v>
          </cell>
          <cell r="BT223">
            <v>117396</v>
          </cell>
          <cell r="BY223">
            <v>1367456.82992564</v>
          </cell>
          <cell r="BZ223">
            <v>1585201.8551248501</v>
          </cell>
          <cell r="CA223">
            <v>1603803.18893584</v>
          </cell>
          <cell r="CB223">
            <v>1656324.6020492199</v>
          </cell>
          <cell r="CC223">
            <v>5529053</v>
          </cell>
          <cell r="CD223">
            <v>56795080</v>
          </cell>
          <cell r="CE223">
            <v>3414851</v>
          </cell>
          <cell r="CF223">
            <v>2745936</v>
          </cell>
          <cell r="CG223">
            <v>3414851</v>
          </cell>
          <cell r="CH223">
            <v>3414851</v>
          </cell>
          <cell r="CI223">
            <v>3414851</v>
          </cell>
          <cell r="CJ223">
            <v>3414851</v>
          </cell>
          <cell r="CK223">
            <v>16793830</v>
          </cell>
          <cell r="CL223">
            <v>16785401</v>
          </cell>
          <cell r="CM223">
            <v>16785265</v>
          </cell>
          <cell r="CN223">
            <v>16784965</v>
          </cell>
          <cell r="CO223">
            <v>16785381</v>
          </cell>
          <cell r="CP223">
            <v>-4190</v>
          </cell>
          <cell r="CQ223">
            <v>9957548</v>
          </cell>
          <cell r="CR223">
            <v>9437584</v>
          </cell>
          <cell r="CS223">
            <v>9238730</v>
          </cell>
          <cell r="CT223">
            <v>9100789</v>
          </cell>
          <cell r="CU223">
            <v>8903686</v>
          </cell>
          <cell r="CV223">
            <v>-214309</v>
          </cell>
          <cell r="CW223">
            <v>0</v>
          </cell>
          <cell r="CX223">
            <v>0</v>
          </cell>
          <cell r="CY223">
            <v>0</v>
          </cell>
          <cell r="CZ223">
            <v>0</v>
          </cell>
          <cell r="DA223">
            <v>0</v>
          </cell>
          <cell r="DC223">
            <v>0</v>
          </cell>
          <cell r="DD223">
            <v>0</v>
          </cell>
          <cell r="DE223">
            <v>0</v>
          </cell>
          <cell r="DF223">
            <v>0</v>
          </cell>
          <cell r="DG223">
            <v>0</v>
          </cell>
          <cell r="DH223">
            <v>0</v>
          </cell>
          <cell r="DI223">
            <v>0</v>
          </cell>
          <cell r="DJ223">
            <v>0</v>
          </cell>
          <cell r="DK223">
            <v>0</v>
          </cell>
          <cell r="DL223">
            <v>0</v>
          </cell>
        </row>
        <row r="224">
          <cell r="A224">
            <v>523</v>
          </cell>
          <cell r="B224" t="str">
            <v>Hardinxveld-Giessendam</v>
          </cell>
          <cell r="C224">
            <v>8</v>
          </cell>
          <cell r="D224">
            <v>1598</v>
          </cell>
          <cell r="E224">
            <v>799</v>
          </cell>
          <cell r="F224">
            <v>0</v>
          </cell>
          <cell r="G224">
            <v>0</v>
          </cell>
          <cell r="H224">
            <v>-2508</v>
          </cell>
          <cell r="I224">
            <v>-5532</v>
          </cell>
          <cell r="K224">
            <v>0</v>
          </cell>
          <cell r="L224">
            <v>41782</v>
          </cell>
          <cell r="M224">
            <v>43996</v>
          </cell>
          <cell r="N224">
            <v>0</v>
          </cell>
          <cell r="O224">
            <v>0</v>
          </cell>
          <cell r="P224">
            <v>0</v>
          </cell>
          <cell r="Q224">
            <v>0</v>
          </cell>
          <cell r="R224">
            <v>0</v>
          </cell>
          <cell r="S224">
            <v>0</v>
          </cell>
          <cell r="T224">
            <v>0</v>
          </cell>
          <cell r="U224">
            <v>0</v>
          </cell>
          <cell r="V224">
            <v>0</v>
          </cell>
          <cell r="W224">
            <v>61621</v>
          </cell>
          <cell r="X224">
            <v>0</v>
          </cell>
          <cell r="Z224">
            <v>0</v>
          </cell>
          <cell r="AA224">
            <v>0</v>
          </cell>
          <cell r="AB224">
            <v>0</v>
          </cell>
          <cell r="AD224">
            <v>0</v>
          </cell>
          <cell r="AE224">
            <v>0</v>
          </cell>
          <cell r="AF224">
            <v>0</v>
          </cell>
          <cell r="AG224">
            <v>0</v>
          </cell>
          <cell r="AH224">
            <v>0</v>
          </cell>
          <cell r="AI224">
            <v>0</v>
          </cell>
          <cell r="AJ224">
            <v>0</v>
          </cell>
          <cell r="AK224">
            <v>0</v>
          </cell>
          <cell r="AM224">
            <v>9441</v>
          </cell>
          <cell r="AN224">
            <v>9658</v>
          </cell>
          <cell r="AO224">
            <v>9880</v>
          </cell>
          <cell r="AP224">
            <v>10107</v>
          </cell>
          <cell r="AQ224">
            <v>10340</v>
          </cell>
          <cell r="AR224">
            <v>10578</v>
          </cell>
          <cell r="AS224">
            <v>0</v>
          </cell>
          <cell r="AT224">
            <v>0</v>
          </cell>
          <cell r="AU224">
            <v>4740</v>
          </cell>
          <cell r="AV224">
            <v>0</v>
          </cell>
          <cell r="AW224">
            <v>0</v>
          </cell>
          <cell r="AX224">
            <v>0</v>
          </cell>
          <cell r="BA224">
            <v>0</v>
          </cell>
          <cell r="BC224">
            <v>0</v>
          </cell>
          <cell r="BD224">
            <v>6274</v>
          </cell>
          <cell r="BF224">
            <v>0</v>
          </cell>
          <cell r="BG224">
            <v>0</v>
          </cell>
          <cell r="BH224">
            <v>0</v>
          </cell>
          <cell r="BI224">
            <v>18792</v>
          </cell>
          <cell r="BJ224">
            <v>15469</v>
          </cell>
          <cell r="BK224">
            <v>15469</v>
          </cell>
          <cell r="BL224">
            <v>0</v>
          </cell>
          <cell r="BM224">
            <v>0</v>
          </cell>
          <cell r="BN224">
            <v>0</v>
          </cell>
          <cell r="BO224">
            <v>165385</v>
          </cell>
          <cell r="BP224">
            <v>1581.4</v>
          </cell>
          <cell r="BQ224">
            <v>2848.8372093023299</v>
          </cell>
          <cell r="BR224">
            <v>0</v>
          </cell>
          <cell r="BS224">
            <v>0</v>
          </cell>
          <cell r="BT224">
            <v>28998</v>
          </cell>
          <cell r="BY224">
            <v>0</v>
          </cell>
          <cell r="BZ224">
            <v>0</v>
          </cell>
          <cell r="CA224">
            <v>0</v>
          </cell>
          <cell r="CB224">
            <v>0</v>
          </cell>
          <cell r="CC224">
            <v>1217879</v>
          </cell>
          <cell r="CD224">
            <v>6507251</v>
          </cell>
          <cell r="CE224">
            <v>803481</v>
          </cell>
          <cell r="CF224">
            <v>-13343</v>
          </cell>
          <cell r="CG224">
            <v>803481</v>
          </cell>
          <cell r="CH224">
            <v>803481</v>
          </cell>
          <cell r="CI224">
            <v>803481</v>
          </cell>
          <cell r="CJ224">
            <v>803481</v>
          </cell>
          <cell r="CK224">
            <v>0</v>
          </cell>
          <cell r="CL224">
            <v>0</v>
          </cell>
          <cell r="CM224">
            <v>0</v>
          </cell>
          <cell r="CN224">
            <v>0</v>
          </cell>
          <cell r="CO224">
            <v>0</v>
          </cell>
          <cell r="CP224">
            <v>0</v>
          </cell>
          <cell r="CQ224">
            <v>1024845</v>
          </cell>
          <cell r="CR224">
            <v>993213</v>
          </cell>
          <cell r="CS224">
            <v>984234</v>
          </cell>
          <cell r="CT224">
            <v>956311</v>
          </cell>
          <cell r="CU224">
            <v>943675</v>
          </cell>
          <cell r="CV224">
            <v>-14665</v>
          </cell>
          <cell r="CW224">
            <v>0</v>
          </cell>
          <cell r="CX224">
            <v>0</v>
          </cell>
          <cell r="CY224">
            <v>0</v>
          </cell>
          <cell r="CZ224">
            <v>0</v>
          </cell>
          <cell r="DA224">
            <v>0</v>
          </cell>
          <cell r="DC224">
            <v>0</v>
          </cell>
          <cell r="DD224">
            <v>0</v>
          </cell>
          <cell r="DE224">
            <v>0</v>
          </cell>
          <cell r="DF224">
            <v>0</v>
          </cell>
          <cell r="DG224">
            <v>0</v>
          </cell>
          <cell r="DH224">
            <v>0</v>
          </cell>
          <cell r="DI224">
            <v>0</v>
          </cell>
          <cell r="DJ224">
            <v>0</v>
          </cell>
          <cell r="DK224">
            <v>0</v>
          </cell>
          <cell r="DL224">
            <v>0</v>
          </cell>
        </row>
        <row r="225">
          <cell r="A225">
            <v>530</v>
          </cell>
          <cell r="B225" t="str">
            <v>Hellevoetsluis</v>
          </cell>
          <cell r="C225">
            <v>8</v>
          </cell>
          <cell r="D225">
            <v>-14074</v>
          </cell>
          <cell r="E225">
            <v>-7037</v>
          </cell>
          <cell r="F225">
            <v>0</v>
          </cell>
          <cell r="G225">
            <v>0</v>
          </cell>
          <cell r="H225">
            <v>0</v>
          </cell>
          <cell r="I225">
            <v>-25428</v>
          </cell>
          <cell r="K225">
            <v>0</v>
          </cell>
          <cell r="L225">
            <v>171385</v>
          </cell>
          <cell r="M225">
            <v>170318</v>
          </cell>
          <cell r="N225">
            <v>5900</v>
          </cell>
          <cell r="O225">
            <v>3000</v>
          </cell>
          <cell r="P225">
            <v>0</v>
          </cell>
          <cell r="Q225">
            <v>0</v>
          </cell>
          <cell r="R225">
            <v>0</v>
          </cell>
          <cell r="S225">
            <v>0</v>
          </cell>
          <cell r="T225">
            <v>0</v>
          </cell>
          <cell r="U225">
            <v>0</v>
          </cell>
          <cell r="V225">
            <v>3000</v>
          </cell>
          <cell r="W225">
            <v>69096</v>
          </cell>
          <cell r="X225">
            <v>0</v>
          </cell>
          <cell r="Z225">
            <v>0</v>
          </cell>
          <cell r="AA225">
            <v>0</v>
          </cell>
          <cell r="AB225">
            <v>0</v>
          </cell>
          <cell r="AD225">
            <v>0</v>
          </cell>
          <cell r="AE225">
            <v>0</v>
          </cell>
          <cell r="AF225">
            <v>0</v>
          </cell>
          <cell r="AG225">
            <v>0</v>
          </cell>
          <cell r="AH225">
            <v>0</v>
          </cell>
          <cell r="AI225">
            <v>0</v>
          </cell>
          <cell r="AJ225">
            <v>0</v>
          </cell>
          <cell r="AK225">
            <v>0</v>
          </cell>
          <cell r="AM225">
            <v>32083</v>
          </cell>
          <cell r="AN225">
            <v>32821</v>
          </cell>
          <cell r="AO225">
            <v>33575</v>
          </cell>
          <cell r="AP225">
            <v>34348</v>
          </cell>
          <cell r="AQ225">
            <v>35138</v>
          </cell>
          <cell r="AR225">
            <v>35946</v>
          </cell>
          <cell r="AS225">
            <v>0</v>
          </cell>
          <cell r="AT225">
            <v>0</v>
          </cell>
          <cell r="AU225">
            <v>0</v>
          </cell>
          <cell r="AV225">
            <v>0</v>
          </cell>
          <cell r="AW225">
            <v>0</v>
          </cell>
          <cell r="AX225">
            <v>0</v>
          </cell>
          <cell r="BA225">
            <v>0</v>
          </cell>
          <cell r="BC225">
            <v>0</v>
          </cell>
          <cell r="BD225">
            <v>13593</v>
          </cell>
          <cell r="BF225">
            <v>0</v>
          </cell>
          <cell r="BG225">
            <v>0</v>
          </cell>
          <cell r="BH225">
            <v>0</v>
          </cell>
          <cell r="BI225">
            <v>47794</v>
          </cell>
          <cell r="BJ225">
            <v>39342</v>
          </cell>
          <cell r="BK225">
            <v>39342</v>
          </cell>
          <cell r="BL225">
            <v>0</v>
          </cell>
          <cell r="BM225">
            <v>0</v>
          </cell>
          <cell r="BN225">
            <v>0</v>
          </cell>
          <cell r="BO225">
            <v>32104</v>
          </cell>
          <cell r="BP225">
            <v>28465.200000000001</v>
          </cell>
          <cell r="BQ225">
            <v>51279.069767441899</v>
          </cell>
          <cell r="BR225">
            <v>0</v>
          </cell>
          <cell r="BS225">
            <v>0</v>
          </cell>
          <cell r="BT225">
            <v>59340</v>
          </cell>
          <cell r="BY225">
            <v>0</v>
          </cell>
          <cell r="BZ225">
            <v>0</v>
          </cell>
          <cell r="CA225">
            <v>0</v>
          </cell>
          <cell r="CB225">
            <v>0</v>
          </cell>
          <cell r="CC225">
            <v>2940684</v>
          </cell>
          <cell r="CD225">
            <v>13764285</v>
          </cell>
          <cell r="CE225">
            <v>848675</v>
          </cell>
          <cell r="CF225">
            <v>0</v>
          </cell>
          <cell r="CG225">
            <v>848675</v>
          </cell>
          <cell r="CH225">
            <v>848675</v>
          </cell>
          <cell r="CI225">
            <v>848675</v>
          </cell>
          <cell r="CJ225">
            <v>848675</v>
          </cell>
          <cell r="CK225">
            <v>0</v>
          </cell>
          <cell r="CL225">
            <v>0</v>
          </cell>
          <cell r="CM225">
            <v>0</v>
          </cell>
          <cell r="CN225">
            <v>0</v>
          </cell>
          <cell r="CO225">
            <v>0</v>
          </cell>
          <cell r="CP225">
            <v>-9203</v>
          </cell>
          <cell r="CQ225">
            <v>231206</v>
          </cell>
          <cell r="CR225">
            <v>256171</v>
          </cell>
          <cell r="CS225">
            <v>264933</v>
          </cell>
          <cell r="CT225">
            <v>287728</v>
          </cell>
          <cell r="CU225">
            <v>310413</v>
          </cell>
          <cell r="CV225">
            <v>12629</v>
          </cell>
          <cell r="CW225">
            <v>0</v>
          </cell>
          <cell r="CX225">
            <v>0</v>
          </cell>
          <cell r="CY225">
            <v>0</v>
          </cell>
          <cell r="CZ225">
            <v>0</v>
          </cell>
          <cell r="DA225">
            <v>0</v>
          </cell>
          <cell r="DC225">
            <v>0</v>
          </cell>
          <cell r="DD225">
            <v>0</v>
          </cell>
          <cell r="DE225">
            <v>0</v>
          </cell>
          <cell r="DF225">
            <v>0</v>
          </cell>
          <cell r="DG225">
            <v>0</v>
          </cell>
          <cell r="DH225">
            <v>0</v>
          </cell>
          <cell r="DI225">
            <v>0</v>
          </cell>
          <cell r="DJ225">
            <v>0</v>
          </cell>
          <cell r="DK225">
            <v>0</v>
          </cell>
          <cell r="DL225">
            <v>0</v>
          </cell>
        </row>
        <row r="226">
          <cell r="A226">
            <v>531</v>
          </cell>
          <cell r="B226" t="str">
            <v>Hendrik-Ido-Ambacht</v>
          </cell>
          <cell r="C226">
            <v>8</v>
          </cell>
          <cell r="D226">
            <v>43261</v>
          </cell>
          <cell r="E226">
            <v>21630</v>
          </cell>
          <cell r="F226">
            <v>0</v>
          </cell>
          <cell r="G226">
            <v>0</v>
          </cell>
          <cell r="H226">
            <v>0</v>
          </cell>
          <cell r="I226">
            <v>0</v>
          </cell>
          <cell r="K226">
            <v>0</v>
          </cell>
          <cell r="L226">
            <v>93313</v>
          </cell>
          <cell r="M226">
            <v>83326</v>
          </cell>
          <cell r="N226">
            <v>0</v>
          </cell>
          <cell r="O226">
            <v>0</v>
          </cell>
          <cell r="P226">
            <v>0</v>
          </cell>
          <cell r="Q226">
            <v>0</v>
          </cell>
          <cell r="R226">
            <v>0</v>
          </cell>
          <cell r="S226">
            <v>0</v>
          </cell>
          <cell r="T226">
            <v>0</v>
          </cell>
          <cell r="U226">
            <v>0</v>
          </cell>
          <cell r="V226">
            <v>3000</v>
          </cell>
          <cell r="W226">
            <v>116821</v>
          </cell>
          <cell r="X226">
            <v>0</v>
          </cell>
          <cell r="Z226">
            <v>0</v>
          </cell>
          <cell r="AA226">
            <v>0</v>
          </cell>
          <cell r="AB226">
            <v>0</v>
          </cell>
          <cell r="AD226">
            <v>0</v>
          </cell>
          <cell r="AE226">
            <v>0</v>
          </cell>
          <cell r="AF226">
            <v>0</v>
          </cell>
          <cell r="AG226">
            <v>0</v>
          </cell>
          <cell r="AH226">
            <v>0</v>
          </cell>
          <cell r="AI226">
            <v>0</v>
          </cell>
          <cell r="AJ226">
            <v>0</v>
          </cell>
          <cell r="AK226">
            <v>0</v>
          </cell>
          <cell r="AM226">
            <v>4854</v>
          </cell>
          <cell r="AN226">
            <v>4965</v>
          </cell>
          <cell r="AO226">
            <v>5079</v>
          </cell>
          <cell r="AP226">
            <v>5196</v>
          </cell>
          <cell r="AQ226">
            <v>5316</v>
          </cell>
          <cell r="AR226">
            <v>5438</v>
          </cell>
          <cell r="AS226">
            <v>0</v>
          </cell>
          <cell r="AT226">
            <v>0</v>
          </cell>
          <cell r="AU226">
            <v>2370</v>
          </cell>
          <cell r="AV226">
            <v>0</v>
          </cell>
          <cell r="AW226">
            <v>0</v>
          </cell>
          <cell r="AX226">
            <v>0</v>
          </cell>
          <cell r="BA226">
            <v>0</v>
          </cell>
          <cell r="BC226">
            <v>0</v>
          </cell>
          <cell r="BD226">
            <v>10437</v>
          </cell>
          <cell r="BF226">
            <v>0</v>
          </cell>
          <cell r="BG226">
            <v>0</v>
          </cell>
          <cell r="BH226">
            <v>0</v>
          </cell>
          <cell r="BI226">
            <v>24617</v>
          </cell>
          <cell r="BJ226">
            <v>20264</v>
          </cell>
          <cell r="BK226">
            <v>20264</v>
          </cell>
          <cell r="BL226">
            <v>0</v>
          </cell>
          <cell r="BM226">
            <v>0</v>
          </cell>
          <cell r="BN226">
            <v>0</v>
          </cell>
          <cell r="BO226">
            <v>151766</v>
          </cell>
          <cell r="BP226">
            <v>14232.6</v>
          </cell>
          <cell r="BQ226">
            <v>25639.534883720899</v>
          </cell>
          <cell r="BR226">
            <v>0</v>
          </cell>
          <cell r="BS226">
            <v>0</v>
          </cell>
          <cell r="BT226">
            <v>45223</v>
          </cell>
          <cell r="BY226">
            <v>0</v>
          </cell>
          <cell r="BZ226">
            <v>0</v>
          </cell>
          <cell r="CA226">
            <v>0</v>
          </cell>
          <cell r="CB226">
            <v>0</v>
          </cell>
          <cell r="CC226">
            <v>1737593</v>
          </cell>
          <cell r="CD226">
            <v>8947389</v>
          </cell>
          <cell r="CE226">
            <v>480283</v>
          </cell>
          <cell r="CF226">
            <v>0</v>
          </cell>
          <cell r="CG226">
            <v>480283</v>
          </cell>
          <cell r="CH226">
            <v>480283</v>
          </cell>
          <cell r="CI226">
            <v>480283</v>
          </cell>
          <cell r="CJ226">
            <v>480283</v>
          </cell>
          <cell r="CK226">
            <v>0</v>
          </cell>
          <cell r="CL226">
            <v>0</v>
          </cell>
          <cell r="CM226">
            <v>0</v>
          </cell>
          <cell r="CN226">
            <v>0</v>
          </cell>
          <cell r="CO226">
            <v>0</v>
          </cell>
          <cell r="CP226">
            <v>0</v>
          </cell>
          <cell r="CQ226">
            <v>1032658</v>
          </cell>
          <cell r="CR226">
            <v>1012679</v>
          </cell>
          <cell r="CS226">
            <v>1001287</v>
          </cell>
          <cell r="CT226">
            <v>1009204</v>
          </cell>
          <cell r="CU226">
            <v>1017346</v>
          </cell>
          <cell r="CV226">
            <v>-9701</v>
          </cell>
          <cell r="CW226">
            <v>0</v>
          </cell>
          <cell r="CX226">
            <v>0</v>
          </cell>
          <cell r="CY226">
            <v>0</v>
          </cell>
          <cell r="CZ226">
            <v>0</v>
          </cell>
          <cell r="DA226">
            <v>0</v>
          </cell>
          <cell r="DC226">
            <v>0</v>
          </cell>
          <cell r="DD226">
            <v>0</v>
          </cell>
          <cell r="DE226">
            <v>0</v>
          </cell>
          <cell r="DF226">
            <v>0</v>
          </cell>
          <cell r="DG226">
            <v>0</v>
          </cell>
          <cell r="DH226">
            <v>0</v>
          </cell>
          <cell r="DI226">
            <v>0</v>
          </cell>
          <cell r="DJ226">
            <v>0</v>
          </cell>
          <cell r="DK226">
            <v>0</v>
          </cell>
          <cell r="DL226">
            <v>0</v>
          </cell>
        </row>
        <row r="227">
          <cell r="A227">
            <v>534</v>
          </cell>
          <cell r="B227" t="str">
            <v>Hillegom</v>
          </cell>
          <cell r="C227">
            <v>8</v>
          </cell>
          <cell r="D227">
            <v>346</v>
          </cell>
          <cell r="E227">
            <v>173</v>
          </cell>
          <cell r="F227">
            <v>0</v>
          </cell>
          <cell r="G227">
            <v>0</v>
          </cell>
          <cell r="H227">
            <v>-2574</v>
          </cell>
          <cell r="I227">
            <v>-6557</v>
          </cell>
          <cell r="K227">
            <v>0</v>
          </cell>
          <cell r="L227">
            <v>78311</v>
          </cell>
          <cell r="M227">
            <v>77112</v>
          </cell>
          <cell r="N227">
            <v>0</v>
          </cell>
          <cell r="O227">
            <v>0</v>
          </cell>
          <cell r="P227">
            <v>0</v>
          </cell>
          <cell r="Q227">
            <v>0</v>
          </cell>
          <cell r="R227">
            <v>0</v>
          </cell>
          <cell r="S227">
            <v>0</v>
          </cell>
          <cell r="T227">
            <v>0</v>
          </cell>
          <cell r="U227">
            <v>0</v>
          </cell>
          <cell r="V227">
            <v>0</v>
          </cell>
          <cell r="W227">
            <v>69500</v>
          </cell>
          <cell r="X227">
            <v>0</v>
          </cell>
          <cell r="Z227">
            <v>0</v>
          </cell>
          <cell r="AA227">
            <v>0</v>
          </cell>
          <cell r="AB227">
            <v>0</v>
          </cell>
          <cell r="AD227">
            <v>0</v>
          </cell>
          <cell r="AE227">
            <v>0</v>
          </cell>
          <cell r="AF227">
            <v>0</v>
          </cell>
          <cell r="AG227">
            <v>0</v>
          </cell>
          <cell r="AH227">
            <v>0</v>
          </cell>
          <cell r="AI227">
            <v>0</v>
          </cell>
          <cell r="AJ227">
            <v>0</v>
          </cell>
          <cell r="AK227">
            <v>0</v>
          </cell>
          <cell r="AM227">
            <v>0</v>
          </cell>
          <cell r="AN227">
            <v>0</v>
          </cell>
          <cell r="AO227">
            <v>0</v>
          </cell>
          <cell r="AP227">
            <v>0</v>
          </cell>
          <cell r="AQ227">
            <v>0</v>
          </cell>
          <cell r="AR227">
            <v>0</v>
          </cell>
          <cell r="AS227">
            <v>0</v>
          </cell>
          <cell r="AT227">
            <v>0</v>
          </cell>
          <cell r="AU227">
            <v>7110</v>
          </cell>
          <cell r="AV227">
            <v>0</v>
          </cell>
          <cell r="AW227">
            <v>0</v>
          </cell>
          <cell r="AX227">
            <v>0</v>
          </cell>
          <cell r="BA227">
            <v>0</v>
          </cell>
          <cell r="BC227">
            <v>0</v>
          </cell>
          <cell r="BD227">
            <v>7483</v>
          </cell>
          <cell r="BF227">
            <v>0</v>
          </cell>
          <cell r="BG227">
            <v>0</v>
          </cell>
          <cell r="BH227">
            <v>0</v>
          </cell>
          <cell r="BI227">
            <v>32068</v>
          </cell>
          <cell r="BJ227">
            <v>26397</v>
          </cell>
          <cell r="BK227">
            <v>26397</v>
          </cell>
          <cell r="BL227">
            <v>0</v>
          </cell>
          <cell r="BM227">
            <v>0</v>
          </cell>
          <cell r="BN227">
            <v>0</v>
          </cell>
          <cell r="BO227">
            <v>37455</v>
          </cell>
          <cell r="BP227">
            <v>28465.200000000001</v>
          </cell>
          <cell r="BQ227">
            <v>51279.069767441899</v>
          </cell>
          <cell r="BR227">
            <v>0</v>
          </cell>
          <cell r="BS227">
            <v>0</v>
          </cell>
          <cell r="BT227">
            <v>29394</v>
          </cell>
          <cell r="BY227">
            <v>0</v>
          </cell>
          <cell r="BZ227">
            <v>0</v>
          </cell>
          <cell r="CA227">
            <v>0</v>
          </cell>
          <cell r="CB227">
            <v>0</v>
          </cell>
          <cell r="CC227">
            <v>1632612</v>
          </cell>
          <cell r="CD227">
            <v>8504412</v>
          </cell>
          <cell r="CE227">
            <v>378057</v>
          </cell>
          <cell r="CF227">
            <v>-15737</v>
          </cell>
          <cell r="CG227">
            <v>378057</v>
          </cell>
          <cell r="CH227">
            <v>378057</v>
          </cell>
          <cell r="CI227">
            <v>378057</v>
          </cell>
          <cell r="CJ227">
            <v>378057</v>
          </cell>
          <cell r="CK227">
            <v>0</v>
          </cell>
          <cell r="CL227">
            <v>0</v>
          </cell>
          <cell r="CM227">
            <v>0</v>
          </cell>
          <cell r="CN227">
            <v>0</v>
          </cell>
          <cell r="CO227">
            <v>0</v>
          </cell>
          <cell r="CP227">
            <v>0</v>
          </cell>
          <cell r="CQ227">
            <v>1682506</v>
          </cell>
          <cell r="CR227">
            <v>1625292</v>
          </cell>
          <cell r="CS227">
            <v>1596630</v>
          </cell>
          <cell r="CT227">
            <v>1597417</v>
          </cell>
          <cell r="CU227">
            <v>1602287</v>
          </cell>
          <cell r="CV227">
            <v>9652</v>
          </cell>
          <cell r="CW227">
            <v>0</v>
          </cell>
          <cell r="CX227">
            <v>0</v>
          </cell>
          <cell r="CY227">
            <v>0</v>
          </cell>
          <cell r="CZ227">
            <v>0</v>
          </cell>
          <cell r="DA227">
            <v>0</v>
          </cell>
          <cell r="DC227">
            <v>0</v>
          </cell>
          <cell r="DD227">
            <v>0</v>
          </cell>
          <cell r="DE227">
            <v>0</v>
          </cell>
          <cell r="DF227">
            <v>0</v>
          </cell>
          <cell r="DG227">
            <v>0</v>
          </cell>
          <cell r="DH227">
            <v>0</v>
          </cell>
          <cell r="DI227">
            <v>0</v>
          </cell>
          <cell r="DJ227">
            <v>0</v>
          </cell>
          <cell r="DK227">
            <v>0</v>
          </cell>
          <cell r="DL227">
            <v>0</v>
          </cell>
        </row>
        <row r="228">
          <cell r="A228">
            <v>1884</v>
          </cell>
          <cell r="B228" t="str">
            <v>Kaag en Braassem</v>
          </cell>
          <cell r="C228">
            <v>8</v>
          </cell>
          <cell r="D228">
            <v>-20887</v>
          </cell>
          <cell r="E228">
            <v>-10443</v>
          </cell>
          <cell r="F228">
            <v>0</v>
          </cell>
          <cell r="G228">
            <v>0</v>
          </cell>
          <cell r="H228">
            <v>-10097</v>
          </cell>
          <cell r="I228">
            <v>-11092</v>
          </cell>
          <cell r="K228">
            <v>0</v>
          </cell>
          <cell r="L228">
            <v>73457</v>
          </cell>
          <cell r="M228">
            <v>63137</v>
          </cell>
          <cell r="N228">
            <v>0</v>
          </cell>
          <cell r="O228">
            <v>0</v>
          </cell>
          <cell r="P228">
            <v>0</v>
          </cell>
          <cell r="Q228">
            <v>0</v>
          </cell>
          <cell r="R228">
            <v>0</v>
          </cell>
          <cell r="S228">
            <v>0</v>
          </cell>
          <cell r="T228">
            <v>0</v>
          </cell>
          <cell r="U228">
            <v>0</v>
          </cell>
          <cell r="V228">
            <v>0</v>
          </cell>
          <cell r="W228">
            <v>95563</v>
          </cell>
          <cell r="X228">
            <v>0</v>
          </cell>
          <cell r="Z228">
            <v>0</v>
          </cell>
          <cell r="AA228">
            <v>0</v>
          </cell>
          <cell r="AB228">
            <v>0</v>
          </cell>
          <cell r="AD228">
            <v>0</v>
          </cell>
          <cell r="AE228">
            <v>0</v>
          </cell>
          <cell r="AF228">
            <v>0</v>
          </cell>
          <cell r="AG228">
            <v>0</v>
          </cell>
          <cell r="AH228">
            <v>0</v>
          </cell>
          <cell r="AI228">
            <v>0</v>
          </cell>
          <cell r="AJ228">
            <v>0</v>
          </cell>
          <cell r="AK228">
            <v>0</v>
          </cell>
          <cell r="AM228">
            <v>0</v>
          </cell>
          <cell r="AN228">
            <v>0</v>
          </cell>
          <cell r="AO228">
            <v>0</v>
          </cell>
          <cell r="AP228">
            <v>0</v>
          </cell>
          <cell r="AQ228">
            <v>0</v>
          </cell>
          <cell r="AR228">
            <v>0</v>
          </cell>
          <cell r="AS228">
            <v>0</v>
          </cell>
          <cell r="AT228">
            <v>0</v>
          </cell>
          <cell r="AU228">
            <v>4740</v>
          </cell>
          <cell r="AV228">
            <v>0</v>
          </cell>
          <cell r="AW228">
            <v>0</v>
          </cell>
          <cell r="AX228">
            <v>0</v>
          </cell>
          <cell r="BA228">
            <v>0</v>
          </cell>
          <cell r="BC228">
            <v>0</v>
          </cell>
          <cell r="BD228">
            <v>9258</v>
          </cell>
          <cell r="BF228">
            <v>0</v>
          </cell>
          <cell r="BG228">
            <v>0</v>
          </cell>
          <cell r="BH228">
            <v>0</v>
          </cell>
          <cell r="BI228">
            <v>26437</v>
          </cell>
          <cell r="BJ228">
            <v>21762</v>
          </cell>
          <cell r="BK228">
            <v>21762</v>
          </cell>
          <cell r="BL228">
            <v>0</v>
          </cell>
          <cell r="BM228">
            <v>0</v>
          </cell>
          <cell r="BN228">
            <v>0</v>
          </cell>
          <cell r="BO228">
            <v>44751</v>
          </cell>
          <cell r="BP228">
            <v>6325.6</v>
          </cell>
          <cell r="BQ228">
            <v>11395.3488372093</v>
          </cell>
          <cell r="BR228">
            <v>0</v>
          </cell>
          <cell r="BS228">
            <v>0</v>
          </cell>
          <cell r="BT228">
            <v>48163</v>
          </cell>
          <cell r="BY228">
            <v>0</v>
          </cell>
          <cell r="BZ228">
            <v>0</v>
          </cell>
          <cell r="CA228">
            <v>0</v>
          </cell>
          <cell r="CB228">
            <v>0</v>
          </cell>
          <cell r="CC228">
            <v>1627909</v>
          </cell>
          <cell r="CD228">
            <v>6268628</v>
          </cell>
          <cell r="CE228">
            <v>798948</v>
          </cell>
          <cell r="CF228">
            <v>0</v>
          </cell>
          <cell r="CG228">
            <v>798948</v>
          </cell>
          <cell r="CH228">
            <v>798948</v>
          </cell>
          <cell r="CI228">
            <v>798948</v>
          </cell>
          <cell r="CJ228">
            <v>798948</v>
          </cell>
          <cell r="CK228">
            <v>0</v>
          </cell>
          <cell r="CL228">
            <v>0</v>
          </cell>
          <cell r="CM228">
            <v>0</v>
          </cell>
          <cell r="CN228">
            <v>0</v>
          </cell>
          <cell r="CO228">
            <v>0</v>
          </cell>
          <cell r="CP228">
            <v>-3991</v>
          </cell>
          <cell r="CQ228">
            <v>88048</v>
          </cell>
          <cell r="CR228">
            <v>98204</v>
          </cell>
          <cell r="CS228">
            <v>101399</v>
          </cell>
          <cell r="CT228">
            <v>110621</v>
          </cell>
          <cell r="CU228">
            <v>119807</v>
          </cell>
          <cell r="CV228">
            <v>89716</v>
          </cell>
          <cell r="CW228">
            <v>0</v>
          </cell>
          <cell r="CX228">
            <v>0</v>
          </cell>
          <cell r="CY228">
            <v>0</v>
          </cell>
          <cell r="CZ228">
            <v>0</v>
          </cell>
          <cell r="DA228">
            <v>0</v>
          </cell>
          <cell r="DC228">
            <v>0</v>
          </cell>
          <cell r="DD228">
            <v>0</v>
          </cell>
          <cell r="DE228">
            <v>0</v>
          </cell>
          <cell r="DF228">
            <v>0</v>
          </cell>
          <cell r="DG228">
            <v>0</v>
          </cell>
          <cell r="DH228">
            <v>0</v>
          </cell>
          <cell r="DI228">
            <v>0</v>
          </cell>
          <cell r="DJ228">
            <v>0</v>
          </cell>
          <cell r="DK228">
            <v>0</v>
          </cell>
          <cell r="DL228">
            <v>0</v>
          </cell>
        </row>
        <row r="229">
          <cell r="A229">
            <v>537</v>
          </cell>
          <cell r="B229" t="str">
            <v>Katwijk</v>
          </cell>
          <cell r="C229">
            <v>8</v>
          </cell>
          <cell r="D229">
            <v>-26500</v>
          </cell>
          <cell r="E229">
            <v>-13250</v>
          </cell>
          <cell r="F229">
            <v>0</v>
          </cell>
          <cell r="G229">
            <v>0</v>
          </cell>
          <cell r="H229">
            <v>0</v>
          </cell>
          <cell r="I229">
            <v>-7803</v>
          </cell>
          <cell r="K229">
            <v>0</v>
          </cell>
          <cell r="L229">
            <v>217544</v>
          </cell>
          <cell r="M229">
            <v>204267</v>
          </cell>
          <cell r="N229">
            <v>0</v>
          </cell>
          <cell r="O229">
            <v>0</v>
          </cell>
          <cell r="P229">
            <v>0</v>
          </cell>
          <cell r="Q229">
            <v>0</v>
          </cell>
          <cell r="R229">
            <v>0</v>
          </cell>
          <cell r="S229">
            <v>0</v>
          </cell>
          <cell r="T229">
            <v>0</v>
          </cell>
          <cell r="U229">
            <v>0</v>
          </cell>
          <cell r="V229">
            <v>6000</v>
          </cell>
          <cell r="W229">
            <v>274073</v>
          </cell>
          <cell r="X229">
            <v>0</v>
          </cell>
          <cell r="Z229">
            <v>0</v>
          </cell>
          <cell r="AA229">
            <v>0</v>
          </cell>
          <cell r="AB229">
            <v>0</v>
          </cell>
          <cell r="AD229">
            <v>0</v>
          </cell>
          <cell r="AE229">
            <v>0</v>
          </cell>
          <cell r="AF229">
            <v>0</v>
          </cell>
          <cell r="AG229">
            <v>0</v>
          </cell>
          <cell r="AH229">
            <v>0</v>
          </cell>
          <cell r="AI229">
            <v>0</v>
          </cell>
          <cell r="AJ229">
            <v>0</v>
          </cell>
          <cell r="AK229">
            <v>0</v>
          </cell>
          <cell r="AM229">
            <v>0</v>
          </cell>
          <cell r="AN229">
            <v>0</v>
          </cell>
          <cell r="AO229">
            <v>0</v>
          </cell>
          <cell r="AP229">
            <v>0</v>
          </cell>
          <cell r="AQ229">
            <v>0</v>
          </cell>
          <cell r="AR229">
            <v>0</v>
          </cell>
          <cell r="AS229">
            <v>0</v>
          </cell>
          <cell r="AT229">
            <v>0</v>
          </cell>
          <cell r="AU229">
            <v>9480</v>
          </cell>
          <cell r="AV229">
            <v>0</v>
          </cell>
          <cell r="AW229">
            <v>0</v>
          </cell>
          <cell r="AX229">
            <v>0</v>
          </cell>
          <cell r="BA229">
            <v>0</v>
          </cell>
          <cell r="BC229">
            <v>0</v>
          </cell>
          <cell r="BD229">
            <v>22653</v>
          </cell>
          <cell r="BF229">
            <v>0</v>
          </cell>
          <cell r="BG229">
            <v>0</v>
          </cell>
          <cell r="BH229">
            <v>0</v>
          </cell>
          <cell r="BI229">
            <v>77445</v>
          </cell>
          <cell r="BJ229">
            <v>63748</v>
          </cell>
          <cell r="BK229">
            <v>63748</v>
          </cell>
          <cell r="BL229">
            <v>0</v>
          </cell>
          <cell r="BM229">
            <v>0</v>
          </cell>
          <cell r="BN229">
            <v>0</v>
          </cell>
          <cell r="BO229">
            <v>113824</v>
          </cell>
          <cell r="BP229">
            <v>42697.8</v>
          </cell>
          <cell r="BQ229">
            <v>76918.604651162794</v>
          </cell>
          <cell r="BR229">
            <v>0</v>
          </cell>
          <cell r="BS229">
            <v>0</v>
          </cell>
          <cell r="BT229">
            <v>101292</v>
          </cell>
          <cell r="BY229">
            <v>0</v>
          </cell>
          <cell r="BZ229">
            <v>0</v>
          </cell>
          <cell r="CA229">
            <v>0</v>
          </cell>
          <cell r="CB229">
            <v>0</v>
          </cell>
          <cell r="CC229">
            <v>4557347</v>
          </cell>
          <cell r="CD229">
            <v>26034808</v>
          </cell>
          <cell r="CE229">
            <v>1527556</v>
          </cell>
          <cell r="CF229">
            <v>0</v>
          </cell>
          <cell r="CG229">
            <v>1527556</v>
          </cell>
          <cell r="CH229">
            <v>1527556</v>
          </cell>
          <cell r="CI229">
            <v>1527556</v>
          </cell>
          <cell r="CJ229">
            <v>1527556</v>
          </cell>
          <cell r="CK229">
            <v>0</v>
          </cell>
          <cell r="CL229">
            <v>0</v>
          </cell>
          <cell r="CM229">
            <v>0</v>
          </cell>
          <cell r="CN229">
            <v>0</v>
          </cell>
          <cell r="CO229">
            <v>0</v>
          </cell>
          <cell r="CP229">
            <v>-2781</v>
          </cell>
          <cell r="CQ229">
            <v>6266333</v>
          </cell>
          <cell r="CR229">
            <v>5929618</v>
          </cell>
          <cell r="CS229">
            <v>5765305</v>
          </cell>
          <cell r="CT229">
            <v>5643094</v>
          </cell>
          <cell r="CU229">
            <v>5533797</v>
          </cell>
          <cell r="CV229">
            <v>-264424</v>
          </cell>
          <cell r="CW229">
            <v>0</v>
          </cell>
          <cell r="CX229">
            <v>0</v>
          </cell>
          <cell r="CY229">
            <v>0</v>
          </cell>
          <cell r="CZ229">
            <v>0</v>
          </cell>
          <cell r="DA229">
            <v>0</v>
          </cell>
          <cell r="DC229">
            <v>0</v>
          </cell>
          <cell r="DD229">
            <v>0</v>
          </cell>
          <cell r="DE229">
            <v>0</v>
          </cell>
          <cell r="DF229">
            <v>0</v>
          </cell>
          <cell r="DG229">
            <v>0</v>
          </cell>
          <cell r="DH229">
            <v>0</v>
          </cell>
          <cell r="DI229">
            <v>0</v>
          </cell>
          <cell r="DJ229">
            <v>0</v>
          </cell>
          <cell r="DK229">
            <v>0</v>
          </cell>
          <cell r="DL229">
            <v>0</v>
          </cell>
        </row>
        <row r="230">
          <cell r="A230">
            <v>588</v>
          </cell>
          <cell r="B230" t="str">
            <v>Korendijk</v>
          </cell>
          <cell r="C230">
            <v>8</v>
          </cell>
          <cell r="D230">
            <v>-9723</v>
          </cell>
          <cell r="E230">
            <v>-4862</v>
          </cell>
          <cell r="F230">
            <v>0</v>
          </cell>
          <cell r="G230">
            <v>0</v>
          </cell>
          <cell r="H230">
            <v>0</v>
          </cell>
          <cell r="I230">
            <v>-4185</v>
          </cell>
          <cell r="K230">
            <v>0</v>
          </cell>
          <cell r="L230">
            <v>25169</v>
          </cell>
          <cell r="M230">
            <v>20260</v>
          </cell>
          <cell r="N230">
            <v>0</v>
          </cell>
          <cell r="O230">
            <v>0</v>
          </cell>
          <cell r="P230">
            <v>0</v>
          </cell>
          <cell r="Q230">
            <v>0</v>
          </cell>
          <cell r="R230">
            <v>0</v>
          </cell>
          <cell r="S230">
            <v>0</v>
          </cell>
          <cell r="T230">
            <v>0</v>
          </cell>
          <cell r="U230">
            <v>0</v>
          </cell>
          <cell r="V230">
            <v>0</v>
          </cell>
          <cell r="W230">
            <v>0</v>
          </cell>
          <cell r="X230">
            <v>0</v>
          </cell>
          <cell r="Z230">
            <v>0</v>
          </cell>
          <cell r="AA230">
            <v>0</v>
          </cell>
          <cell r="AB230">
            <v>0</v>
          </cell>
          <cell r="AD230">
            <v>0</v>
          </cell>
          <cell r="AE230">
            <v>0</v>
          </cell>
          <cell r="AF230">
            <v>0</v>
          </cell>
          <cell r="AG230">
            <v>0</v>
          </cell>
          <cell r="AH230">
            <v>0</v>
          </cell>
          <cell r="AI230">
            <v>0</v>
          </cell>
          <cell r="AJ230">
            <v>0</v>
          </cell>
          <cell r="AK230">
            <v>0</v>
          </cell>
          <cell r="AM230">
            <v>79652</v>
          </cell>
          <cell r="AN230">
            <v>81484</v>
          </cell>
          <cell r="AO230">
            <v>83359</v>
          </cell>
          <cell r="AP230">
            <v>85276</v>
          </cell>
          <cell r="AQ230">
            <v>87237</v>
          </cell>
          <cell r="AR230">
            <v>89244</v>
          </cell>
          <cell r="AS230">
            <v>0</v>
          </cell>
          <cell r="AT230">
            <v>0</v>
          </cell>
          <cell r="AU230">
            <v>0</v>
          </cell>
          <cell r="AV230">
            <v>0</v>
          </cell>
          <cell r="AW230">
            <v>0</v>
          </cell>
          <cell r="AX230">
            <v>0</v>
          </cell>
          <cell r="BA230">
            <v>0</v>
          </cell>
          <cell r="BC230">
            <v>0</v>
          </cell>
          <cell r="BD230">
            <v>19227</v>
          </cell>
          <cell r="BF230">
            <v>0</v>
          </cell>
          <cell r="BG230">
            <v>0</v>
          </cell>
          <cell r="BH230">
            <v>0</v>
          </cell>
          <cell r="BI230">
            <v>11467</v>
          </cell>
          <cell r="BJ230">
            <v>9439</v>
          </cell>
          <cell r="BK230">
            <v>9439</v>
          </cell>
          <cell r="BL230">
            <v>0</v>
          </cell>
          <cell r="BM230">
            <v>0</v>
          </cell>
          <cell r="BN230">
            <v>0</v>
          </cell>
          <cell r="BO230">
            <v>16052</v>
          </cell>
          <cell r="BP230">
            <v>0</v>
          </cell>
          <cell r="BQ230">
            <v>0</v>
          </cell>
          <cell r="BR230">
            <v>0</v>
          </cell>
          <cell r="BS230">
            <v>0</v>
          </cell>
          <cell r="BT230">
            <v>22359</v>
          </cell>
          <cell r="BY230">
            <v>0</v>
          </cell>
          <cell r="BZ230">
            <v>0</v>
          </cell>
          <cell r="CA230">
            <v>0</v>
          </cell>
          <cell r="CB230">
            <v>0</v>
          </cell>
          <cell r="CC230">
            <v>760116</v>
          </cell>
          <cell r="CD230">
            <v>3573452</v>
          </cell>
          <cell r="CE230">
            <v>268541</v>
          </cell>
          <cell r="CF230">
            <v>0</v>
          </cell>
          <cell r="CG230">
            <v>268541</v>
          </cell>
          <cell r="CH230">
            <v>268541</v>
          </cell>
          <cell r="CI230">
            <v>268541</v>
          </cell>
          <cell r="CJ230">
            <v>268541</v>
          </cell>
          <cell r="CK230">
            <v>0</v>
          </cell>
          <cell r="CL230">
            <v>0</v>
          </cell>
          <cell r="CM230">
            <v>0</v>
          </cell>
          <cell r="CN230">
            <v>0</v>
          </cell>
          <cell r="CO230">
            <v>0</v>
          </cell>
          <cell r="CP230">
            <v>-1501</v>
          </cell>
          <cell r="CQ230">
            <v>503084</v>
          </cell>
          <cell r="CR230">
            <v>485146</v>
          </cell>
          <cell r="CS230">
            <v>476730</v>
          </cell>
          <cell r="CT230">
            <v>468960</v>
          </cell>
          <cell r="CU230">
            <v>470762</v>
          </cell>
          <cell r="CV230">
            <v>21554</v>
          </cell>
          <cell r="CW230">
            <v>0</v>
          </cell>
          <cell r="CX230">
            <v>0</v>
          </cell>
          <cell r="CY230">
            <v>0</v>
          </cell>
          <cell r="CZ230">
            <v>0</v>
          </cell>
          <cell r="DA230">
            <v>0</v>
          </cell>
          <cell r="DC230">
            <v>0</v>
          </cell>
          <cell r="DD230">
            <v>0</v>
          </cell>
          <cell r="DE230">
            <v>0</v>
          </cell>
          <cell r="DF230">
            <v>0</v>
          </cell>
          <cell r="DG230">
            <v>0</v>
          </cell>
          <cell r="DH230">
            <v>0</v>
          </cell>
          <cell r="DI230">
            <v>0</v>
          </cell>
          <cell r="DJ230">
            <v>0</v>
          </cell>
          <cell r="DK230">
            <v>0</v>
          </cell>
          <cell r="DL230">
            <v>0</v>
          </cell>
        </row>
        <row r="231">
          <cell r="A231">
            <v>542</v>
          </cell>
          <cell r="B231" t="str">
            <v>Krimpen aan den IJssel</v>
          </cell>
          <cell r="C231">
            <v>8</v>
          </cell>
          <cell r="D231">
            <v>99857</v>
          </cell>
          <cell r="E231">
            <v>49929</v>
          </cell>
          <cell r="F231">
            <v>0</v>
          </cell>
          <cell r="G231">
            <v>0</v>
          </cell>
          <cell r="H231">
            <v>0</v>
          </cell>
          <cell r="I231">
            <v>-8881</v>
          </cell>
          <cell r="K231">
            <v>0</v>
          </cell>
          <cell r="L231">
            <v>100953</v>
          </cell>
          <cell r="M231">
            <v>103943</v>
          </cell>
          <cell r="N231">
            <v>0</v>
          </cell>
          <cell r="O231">
            <v>0</v>
          </cell>
          <cell r="P231">
            <v>0</v>
          </cell>
          <cell r="Q231">
            <v>0</v>
          </cell>
          <cell r="R231">
            <v>0</v>
          </cell>
          <cell r="S231">
            <v>0</v>
          </cell>
          <cell r="T231">
            <v>0</v>
          </cell>
          <cell r="U231">
            <v>0</v>
          </cell>
          <cell r="V231">
            <v>3000</v>
          </cell>
          <cell r="W231">
            <v>119154</v>
          </cell>
          <cell r="X231">
            <v>0</v>
          </cell>
          <cell r="Z231">
            <v>0</v>
          </cell>
          <cell r="AA231">
            <v>0</v>
          </cell>
          <cell r="AB231">
            <v>0</v>
          </cell>
          <cell r="AD231">
            <v>0</v>
          </cell>
          <cell r="AE231">
            <v>0</v>
          </cell>
          <cell r="AF231">
            <v>0</v>
          </cell>
          <cell r="AG231">
            <v>0</v>
          </cell>
          <cell r="AH231">
            <v>0</v>
          </cell>
          <cell r="AI231">
            <v>0</v>
          </cell>
          <cell r="AJ231">
            <v>0</v>
          </cell>
          <cell r="AK231">
            <v>0</v>
          </cell>
          <cell r="AM231">
            <v>3767</v>
          </cell>
          <cell r="AN231">
            <v>3853</v>
          </cell>
          <cell r="AO231">
            <v>3942</v>
          </cell>
          <cell r="AP231">
            <v>4032</v>
          </cell>
          <cell r="AQ231">
            <v>4125</v>
          </cell>
          <cell r="AR231">
            <v>4220</v>
          </cell>
          <cell r="AS231">
            <v>0</v>
          </cell>
          <cell r="AT231">
            <v>0</v>
          </cell>
          <cell r="AU231">
            <v>7110</v>
          </cell>
          <cell r="AV231">
            <v>0</v>
          </cell>
          <cell r="AW231">
            <v>0</v>
          </cell>
          <cell r="AX231">
            <v>0</v>
          </cell>
          <cell r="BA231">
            <v>0</v>
          </cell>
          <cell r="BC231">
            <v>0</v>
          </cell>
          <cell r="BD231">
            <v>10223</v>
          </cell>
          <cell r="BF231">
            <v>0</v>
          </cell>
          <cell r="BG231">
            <v>0</v>
          </cell>
          <cell r="BH231">
            <v>0</v>
          </cell>
          <cell r="BI231">
            <v>36142</v>
          </cell>
          <cell r="BJ231">
            <v>29750</v>
          </cell>
          <cell r="BK231">
            <v>29750</v>
          </cell>
          <cell r="BL231">
            <v>0</v>
          </cell>
          <cell r="BM231">
            <v>0</v>
          </cell>
          <cell r="BN231">
            <v>0</v>
          </cell>
          <cell r="BO231">
            <v>103123</v>
          </cell>
          <cell r="BP231">
            <v>4744.2</v>
          </cell>
          <cell r="BQ231">
            <v>8546.5116279069807</v>
          </cell>
          <cell r="BR231">
            <v>0</v>
          </cell>
          <cell r="BS231">
            <v>0</v>
          </cell>
          <cell r="BT231">
            <v>43922</v>
          </cell>
          <cell r="BY231">
            <v>0</v>
          </cell>
          <cell r="BZ231">
            <v>0</v>
          </cell>
          <cell r="CA231">
            <v>0</v>
          </cell>
          <cell r="CB231">
            <v>0</v>
          </cell>
          <cell r="CC231">
            <v>2350053</v>
          </cell>
          <cell r="CD231">
            <v>12388994</v>
          </cell>
          <cell r="CE231">
            <v>1504166</v>
          </cell>
          <cell r="CF231">
            <v>0</v>
          </cell>
          <cell r="CG231">
            <v>1504166</v>
          </cell>
          <cell r="CH231">
            <v>1504166</v>
          </cell>
          <cell r="CI231">
            <v>1504166</v>
          </cell>
          <cell r="CJ231">
            <v>1504166</v>
          </cell>
          <cell r="CK231">
            <v>0</v>
          </cell>
          <cell r="CL231">
            <v>0</v>
          </cell>
          <cell r="CM231">
            <v>0</v>
          </cell>
          <cell r="CN231">
            <v>0</v>
          </cell>
          <cell r="CO231">
            <v>0</v>
          </cell>
          <cell r="CP231">
            <v>-3192</v>
          </cell>
          <cell r="CQ231">
            <v>2358187</v>
          </cell>
          <cell r="CR231">
            <v>2243546</v>
          </cell>
          <cell r="CS231">
            <v>2152909</v>
          </cell>
          <cell r="CT231">
            <v>2112427</v>
          </cell>
          <cell r="CU231">
            <v>2109624</v>
          </cell>
          <cell r="CV231">
            <v>-17605</v>
          </cell>
          <cell r="CW231">
            <v>0</v>
          </cell>
          <cell r="CX231">
            <v>0</v>
          </cell>
          <cell r="CY231">
            <v>0</v>
          </cell>
          <cell r="CZ231">
            <v>0</v>
          </cell>
          <cell r="DA231">
            <v>0</v>
          </cell>
          <cell r="DC231">
            <v>0</v>
          </cell>
          <cell r="DD231">
            <v>0</v>
          </cell>
          <cell r="DE231">
            <v>0</v>
          </cell>
          <cell r="DF231">
            <v>0</v>
          </cell>
          <cell r="DG231">
            <v>0</v>
          </cell>
          <cell r="DH231">
            <v>0</v>
          </cell>
          <cell r="DI231">
            <v>0</v>
          </cell>
          <cell r="DJ231">
            <v>0</v>
          </cell>
          <cell r="DK231">
            <v>0</v>
          </cell>
          <cell r="DL231">
            <v>0</v>
          </cell>
        </row>
        <row r="232">
          <cell r="A232">
            <v>1931</v>
          </cell>
          <cell r="B232" t="str">
            <v>Krimpenerwaard</v>
          </cell>
          <cell r="C232">
            <v>8</v>
          </cell>
          <cell r="D232">
            <v>56693</v>
          </cell>
          <cell r="E232">
            <v>28347</v>
          </cell>
          <cell r="F232">
            <v>0</v>
          </cell>
          <cell r="G232">
            <v>0</v>
          </cell>
          <cell r="H232">
            <v>-11573</v>
          </cell>
          <cell r="I232">
            <v>-34343</v>
          </cell>
          <cell r="K232">
            <v>0</v>
          </cell>
          <cell r="L232">
            <v>175365</v>
          </cell>
          <cell r="M232">
            <v>182935</v>
          </cell>
          <cell r="N232">
            <v>0</v>
          </cell>
          <cell r="O232">
            <v>0</v>
          </cell>
          <cell r="P232">
            <v>0</v>
          </cell>
          <cell r="Q232">
            <v>0</v>
          </cell>
          <cell r="R232">
            <v>0</v>
          </cell>
          <cell r="S232">
            <v>0</v>
          </cell>
          <cell r="T232">
            <v>0</v>
          </cell>
          <cell r="U232">
            <v>0</v>
          </cell>
          <cell r="V232">
            <v>9000</v>
          </cell>
          <cell r="W232">
            <v>204865</v>
          </cell>
          <cell r="X232">
            <v>0</v>
          </cell>
          <cell r="Z232">
            <v>0</v>
          </cell>
          <cell r="AA232">
            <v>0</v>
          </cell>
          <cell r="AB232">
            <v>0</v>
          </cell>
          <cell r="AD232">
            <v>0</v>
          </cell>
          <cell r="AE232">
            <v>0</v>
          </cell>
          <cell r="AF232">
            <v>0</v>
          </cell>
          <cell r="AG232">
            <v>0</v>
          </cell>
          <cell r="AH232">
            <v>0</v>
          </cell>
          <cell r="AI232">
            <v>0</v>
          </cell>
          <cell r="AJ232">
            <v>0</v>
          </cell>
          <cell r="AK232">
            <v>0</v>
          </cell>
          <cell r="AM232">
            <v>111635</v>
          </cell>
          <cell r="AN232">
            <v>114203</v>
          </cell>
          <cell r="AO232">
            <v>116830</v>
          </cell>
          <cell r="AP232">
            <v>119516</v>
          </cell>
          <cell r="AQ232">
            <v>122265</v>
          </cell>
          <cell r="AR232">
            <v>125078</v>
          </cell>
          <cell r="AS232">
            <v>0</v>
          </cell>
          <cell r="AT232">
            <v>0</v>
          </cell>
          <cell r="AU232">
            <v>4740</v>
          </cell>
          <cell r="AV232">
            <v>0</v>
          </cell>
          <cell r="AW232">
            <v>0</v>
          </cell>
          <cell r="AX232">
            <v>0</v>
          </cell>
          <cell r="BA232">
            <v>0</v>
          </cell>
          <cell r="BC232">
            <v>0</v>
          </cell>
          <cell r="BD232">
            <v>19379</v>
          </cell>
          <cell r="BF232">
            <v>0</v>
          </cell>
          <cell r="BG232">
            <v>0</v>
          </cell>
          <cell r="BH232">
            <v>0</v>
          </cell>
          <cell r="BI232">
            <v>64877</v>
          </cell>
          <cell r="BJ232">
            <v>53403</v>
          </cell>
          <cell r="BK232">
            <v>53403</v>
          </cell>
          <cell r="BL232">
            <v>0</v>
          </cell>
          <cell r="BM232">
            <v>0</v>
          </cell>
          <cell r="BN232">
            <v>0</v>
          </cell>
          <cell r="BO232">
            <v>154198</v>
          </cell>
          <cell r="BP232">
            <v>45860.6</v>
          </cell>
          <cell r="BQ232">
            <v>82616.279069767406</v>
          </cell>
          <cell r="BR232">
            <v>0</v>
          </cell>
          <cell r="BS232">
            <v>0</v>
          </cell>
          <cell r="BT232">
            <v>99286</v>
          </cell>
          <cell r="BY232">
            <v>0</v>
          </cell>
          <cell r="BZ232">
            <v>0</v>
          </cell>
          <cell r="CA232">
            <v>0</v>
          </cell>
          <cell r="CB232">
            <v>0</v>
          </cell>
          <cell r="CC232">
            <v>3784721</v>
          </cell>
          <cell r="CD232">
            <v>19217982</v>
          </cell>
          <cell r="CE232">
            <v>1908709</v>
          </cell>
          <cell r="CF232">
            <v>0</v>
          </cell>
          <cell r="CG232">
            <v>1908709</v>
          </cell>
          <cell r="CH232">
            <v>1908709</v>
          </cell>
          <cell r="CI232">
            <v>1908709</v>
          </cell>
          <cell r="CJ232">
            <v>1908709</v>
          </cell>
          <cell r="CK232">
            <v>0</v>
          </cell>
          <cell r="CL232">
            <v>0</v>
          </cell>
          <cell r="CM232">
            <v>0</v>
          </cell>
          <cell r="CN232">
            <v>0</v>
          </cell>
          <cell r="CO232">
            <v>0</v>
          </cell>
          <cell r="CP232">
            <v>-12325</v>
          </cell>
          <cell r="CQ232">
            <v>3236066</v>
          </cell>
          <cell r="CR232">
            <v>3148136</v>
          </cell>
          <cell r="CS232">
            <v>3079824</v>
          </cell>
          <cell r="CT232">
            <v>2996363</v>
          </cell>
          <cell r="CU232">
            <v>2965422</v>
          </cell>
          <cell r="CV232">
            <v>-14341</v>
          </cell>
          <cell r="CW232">
            <v>0</v>
          </cell>
          <cell r="CX232">
            <v>0</v>
          </cell>
          <cell r="CY232">
            <v>0</v>
          </cell>
          <cell r="CZ232">
            <v>0</v>
          </cell>
          <cell r="DA232">
            <v>0</v>
          </cell>
          <cell r="DC232">
            <v>0</v>
          </cell>
          <cell r="DD232">
            <v>0</v>
          </cell>
          <cell r="DE232">
            <v>0</v>
          </cell>
          <cell r="DF232">
            <v>0</v>
          </cell>
          <cell r="DG232">
            <v>0</v>
          </cell>
          <cell r="DH232">
            <v>0</v>
          </cell>
          <cell r="DI232">
            <v>0</v>
          </cell>
          <cell r="DJ232">
            <v>0</v>
          </cell>
          <cell r="DK232">
            <v>0</v>
          </cell>
          <cell r="DL232">
            <v>0</v>
          </cell>
        </row>
        <row r="233">
          <cell r="A233">
            <v>1621</v>
          </cell>
          <cell r="B233" t="str">
            <v>Lansingerland</v>
          </cell>
          <cell r="C233">
            <v>8</v>
          </cell>
          <cell r="D233">
            <v>39038</v>
          </cell>
          <cell r="E233">
            <v>19519</v>
          </cell>
          <cell r="F233">
            <v>0</v>
          </cell>
          <cell r="G233">
            <v>0</v>
          </cell>
          <cell r="H233">
            <v>-26593</v>
          </cell>
          <cell r="I233">
            <v>-29946</v>
          </cell>
          <cell r="K233">
            <v>0</v>
          </cell>
          <cell r="L233">
            <v>189730</v>
          </cell>
          <cell r="M233">
            <v>177365</v>
          </cell>
          <cell r="N233">
            <v>0</v>
          </cell>
          <cell r="O233">
            <v>0</v>
          </cell>
          <cell r="P233">
            <v>0</v>
          </cell>
          <cell r="Q233">
            <v>0</v>
          </cell>
          <cell r="R233">
            <v>0</v>
          </cell>
          <cell r="S233">
            <v>0</v>
          </cell>
          <cell r="T233">
            <v>0</v>
          </cell>
          <cell r="U233">
            <v>0</v>
          </cell>
          <cell r="V233">
            <v>0</v>
          </cell>
          <cell r="W233">
            <v>136981</v>
          </cell>
          <cell r="X233">
            <v>0</v>
          </cell>
          <cell r="Z233">
            <v>0</v>
          </cell>
          <cell r="AA233">
            <v>0</v>
          </cell>
          <cell r="AB233">
            <v>0</v>
          </cell>
          <cell r="AD233">
            <v>0</v>
          </cell>
          <cell r="AE233">
            <v>0</v>
          </cell>
          <cell r="AF233">
            <v>0</v>
          </cell>
          <cell r="AG233">
            <v>0</v>
          </cell>
          <cell r="AH233">
            <v>0</v>
          </cell>
          <cell r="AI233">
            <v>0</v>
          </cell>
          <cell r="AJ233">
            <v>0</v>
          </cell>
          <cell r="AK233">
            <v>0</v>
          </cell>
          <cell r="AM233">
            <v>0</v>
          </cell>
          <cell r="AN233">
            <v>0</v>
          </cell>
          <cell r="AO233">
            <v>0</v>
          </cell>
          <cell r="AP233">
            <v>0</v>
          </cell>
          <cell r="AQ233">
            <v>0</v>
          </cell>
          <cell r="AR233">
            <v>0</v>
          </cell>
          <cell r="AS233">
            <v>0</v>
          </cell>
          <cell r="AT233">
            <v>0</v>
          </cell>
          <cell r="AU233">
            <v>4740</v>
          </cell>
          <cell r="AV233">
            <v>0</v>
          </cell>
          <cell r="AW233">
            <v>0</v>
          </cell>
          <cell r="AX233">
            <v>0</v>
          </cell>
          <cell r="BA233">
            <v>0</v>
          </cell>
          <cell r="BC233">
            <v>0</v>
          </cell>
          <cell r="BD233">
            <v>21099</v>
          </cell>
          <cell r="BF233">
            <v>0</v>
          </cell>
          <cell r="BG233">
            <v>0</v>
          </cell>
          <cell r="BH233">
            <v>0</v>
          </cell>
          <cell r="BI233">
            <v>32190</v>
          </cell>
          <cell r="BJ233">
            <v>26497</v>
          </cell>
          <cell r="BK233">
            <v>26497</v>
          </cell>
          <cell r="BL233">
            <v>0</v>
          </cell>
          <cell r="BM233">
            <v>15026</v>
          </cell>
          <cell r="BN233">
            <v>0</v>
          </cell>
          <cell r="BO233">
            <v>68586</v>
          </cell>
          <cell r="BP233">
            <v>39535</v>
          </cell>
          <cell r="BQ233">
            <v>71220.930232558094</v>
          </cell>
          <cell r="BR233">
            <v>0</v>
          </cell>
          <cell r="BS233">
            <v>0</v>
          </cell>
          <cell r="BT233">
            <v>99762</v>
          </cell>
          <cell r="BY233">
            <v>0</v>
          </cell>
          <cell r="BZ233">
            <v>0</v>
          </cell>
          <cell r="CA233">
            <v>0</v>
          </cell>
          <cell r="CB233">
            <v>0</v>
          </cell>
          <cell r="CC233">
            <v>2441176</v>
          </cell>
          <cell r="CD233">
            <v>14233811</v>
          </cell>
          <cell r="CE233">
            <v>1398076</v>
          </cell>
          <cell r="CF233">
            <v>-42921</v>
          </cell>
          <cell r="CG233">
            <v>1398076</v>
          </cell>
          <cell r="CH233">
            <v>1398076</v>
          </cell>
          <cell r="CI233">
            <v>1398076</v>
          </cell>
          <cell r="CJ233">
            <v>1398076</v>
          </cell>
          <cell r="CK233">
            <v>0</v>
          </cell>
          <cell r="CL233">
            <v>0</v>
          </cell>
          <cell r="CM233">
            <v>0</v>
          </cell>
          <cell r="CN233">
            <v>0</v>
          </cell>
          <cell r="CO233">
            <v>0</v>
          </cell>
          <cell r="CP233">
            <v>-4217</v>
          </cell>
          <cell r="CQ233">
            <v>223395</v>
          </cell>
          <cell r="CR233">
            <v>238567</v>
          </cell>
          <cell r="CS233">
            <v>244169</v>
          </cell>
          <cell r="CT233">
            <v>259686</v>
          </cell>
          <cell r="CU233">
            <v>275182</v>
          </cell>
          <cell r="CV233">
            <v>99082</v>
          </cell>
          <cell r="CW233">
            <v>0</v>
          </cell>
          <cell r="CX233">
            <v>0</v>
          </cell>
          <cell r="CY233">
            <v>0</v>
          </cell>
          <cell r="CZ233">
            <v>0</v>
          </cell>
          <cell r="DA233">
            <v>0</v>
          </cell>
          <cell r="DC233">
            <v>0</v>
          </cell>
          <cell r="DD233">
            <v>0</v>
          </cell>
          <cell r="DE233">
            <v>0</v>
          </cell>
          <cell r="DF233">
            <v>0</v>
          </cell>
          <cell r="DG233">
            <v>0</v>
          </cell>
          <cell r="DH233">
            <v>0</v>
          </cell>
          <cell r="DI233">
            <v>0</v>
          </cell>
          <cell r="DJ233">
            <v>0</v>
          </cell>
          <cell r="DK233">
            <v>0</v>
          </cell>
          <cell r="DL233">
            <v>0</v>
          </cell>
        </row>
        <row r="234">
          <cell r="A234">
            <v>545</v>
          </cell>
          <cell r="B234" t="str">
            <v>Leerdam</v>
          </cell>
          <cell r="C234">
            <v>8</v>
          </cell>
          <cell r="D234">
            <v>26736</v>
          </cell>
          <cell r="E234">
            <v>13368</v>
          </cell>
          <cell r="F234">
            <v>0</v>
          </cell>
          <cell r="G234">
            <v>12289</v>
          </cell>
          <cell r="H234">
            <v>-71243</v>
          </cell>
          <cell r="I234">
            <v>-56385</v>
          </cell>
          <cell r="K234">
            <v>0</v>
          </cell>
          <cell r="L234">
            <v>110364</v>
          </cell>
          <cell r="M234">
            <v>110561</v>
          </cell>
          <cell r="N234">
            <v>0</v>
          </cell>
          <cell r="O234">
            <v>0</v>
          </cell>
          <cell r="P234">
            <v>0</v>
          </cell>
          <cell r="Q234">
            <v>0</v>
          </cell>
          <cell r="R234">
            <v>0</v>
          </cell>
          <cell r="S234">
            <v>0</v>
          </cell>
          <cell r="T234">
            <v>0</v>
          </cell>
          <cell r="U234">
            <v>0</v>
          </cell>
          <cell r="V234">
            <v>0</v>
          </cell>
          <cell r="W234">
            <v>87664</v>
          </cell>
          <cell r="X234">
            <v>0</v>
          </cell>
          <cell r="Z234">
            <v>0</v>
          </cell>
          <cell r="AA234">
            <v>0</v>
          </cell>
          <cell r="AB234">
            <v>0</v>
          </cell>
          <cell r="AD234">
            <v>29334</v>
          </cell>
          <cell r="AE234">
            <v>0</v>
          </cell>
          <cell r="AF234">
            <v>0</v>
          </cell>
          <cell r="AG234">
            <v>0</v>
          </cell>
          <cell r="AH234">
            <v>0</v>
          </cell>
          <cell r="AI234">
            <v>0</v>
          </cell>
          <cell r="AJ234">
            <v>0</v>
          </cell>
          <cell r="AK234">
            <v>0</v>
          </cell>
          <cell r="AM234">
            <v>26811</v>
          </cell>
          <cell r="AN234">
            <v>27428</v>
          </cell>
          <cell r="AO234">
            <v>28059</v>
          </cell>
          <cell r="AP234">
            <v>28704</v>
          </cell>
          <cell r="AQ234">
            <v>29364</v>
          </cell>
          <cell r="AR234">
            <v>30040</v>
          </cell>
          <cell r="AS234">
            <v>0</v>
          </cell>
          <cell r="AT234">
            <v>0</v>
          </cell>
          <cell r="AU234">
            <v>0</v>
          </cell>
          <cell r="AV234">
            <v>0</v>
          </cell>
          <cell r="AW234">
            <v>0</v>
          </cell>
          <cell r="AX234">
            <v>0</v>
          </cell>
          <cell r="BA234">
            <v>0</v>
          </cell>
          <cell r="BC234">
            <v>0</v>
          </cell>
          <cell r="BD234">
            <v>36676</v>
          </cell>
          <cell r="BF234">
            <v>0</v>
          </cell>
          <cell r="BG234">
            <v>0</v>
          </cell>
          <cell r="BH234">
            <v>0</v>
          </cell>
          <cell r="BI234">
            <v>30173</v>
          </cell>
          <cell r="BJ234">
            <v>24837</v>
          </cell>
          <cell r="BK234">
            <v>24837</v>
          </cell>
          <cell r="BL234">
            <v>0</v>
          </cell>
          <cell r="BM234">
            <v>0</v>
          </cell>
          <cell r="BN234">
            <v>0</v>
          </cell>
          <cell r="BO234">
            <v>10215</v>
          </cell>
          <cell r="BP234">
            <v>0</v>
          </cell>
          <cell r="BQ234">
            <v>0</v>
          </cell>
          <cell r="BR234">
            <v>0</v>
          </cell>
          <cell r="BS234">
            <v>0</v>
          </cell>
          <cell r="BT234">
            <v>35031</v>
          </cell>
          <cell r="BY234">
            <v>0</v>
          </cell>
          <cell r="BZ234">
            <v>0</v>
          </cell>
          <cell r="CA234">
            <v>0</v>
          </cell>
          <cell r="CB234">
            <v>0</v>
          </cell>
          <cell r="CC234">
            <v>1805443</v>
          </cell>
          <cell r="CD234">
            <v>11170185</v>
          </cell>
          <cell r="CE234">
            <v>988514</v>
          </cell>
          <cell r="CF234">
            <v>-120200</v>
          </cell>
          <cell r="CG234">
            <v>988514</v>
          </cell>
          <cell r="CH234">
            <v>988514</v>
          </cell>
          <cell r="CI234">
            <v>988514</v>
          </cell>
          <cell r="CJ234">
            <v>988514</v>
          </cell>
          <cell r="CK234">
            <v>0</v>
          </cell>
          <cell r="CL234">
            <v>0</v>
          </cell>
          <cell r="CM234">
            <v>0</v>
          </cell>
          <cell r="CN234">
            <v>0</v>
          </cell>
          <cell r="CO234">
            <v>0</v>
          </cell>
          <cell r="CP234">
            <v>-2432</v>
          </cell>
          <cell r="CQ234">
            <v>1986179</v>
          </cell>
          <cell r="CR234">
            <v>1878266</v>
          </cell>
          <cell r="CS234">
            <v>1845011</v>
          </cell>
          <cell r="CT234">
            <v>1807163</v>
          </cell>
          <cell r="CU234">
            <v>1760136</v>
          </cell>
          <cell r="CV234">
            <v>40440</v>
          </cell>
          <cell r="CW234">
            <v>0</v>
          </cell>
          <cell r="CX234">
            <v>0</v>
          </cell>
          <cell r="CY234">
            <v>0</v>
          </cell>
          <cell r="CZ234">
            <v>0</v>
          </cell>
          <cell r="DA234">
            <v>0</v>
          </cell>
          <cell r="DC234">
            <v>0</v>
          </cell>
          <cell r="DD234">
            <v>0</v>
          </cell>
          <cell r="DE234">
            <v>0</v>
          </cell>
          <cell r="DF234">
            <v>0</v>
          </cell>
          <cell r="DG234">
            <v>0</v>
          </cell>
          <cell r="DH234">
            <v>0</v>
          </cell>
          <cell r="DI234">
            <v>0</v>
          </cell>
          <cell r="DJ234">
            <v>0</v>
          </cell>
          <cell r="DK234">
            <v>0</v>
          </cell>
          <cell r="DL234">
            <v>0</v>
          </cell>
        </row>
        <row r="235">
          <cell r="A235">
            <v>546</v>
          </cell>
          <cell r="B235" t="str">
            <v>Leiden</v>
          </cell>
          <cell r="C235">
            <v>8</v>
          </cell>
          <cell r="D235">
            <v>1151595</v>
          </cell>
          <cell r="E235">
            <v>575797</v>
          </cell>
          <cell r="F235">
            <v>0</v>
          </cell>
          <cell r="G235">
            <v>791986</v>
          </cell>
          <cell r="H235">
            <v>-18567</v>
          </cell>
          <cell r="I235">
            <v>-19875</v>
          </cell>
          <cell r="K235">
            <v>7500</v>
          </cell>
          <cell r="L235">
            <v>541434</v>
          </cell>
          <cell r="M235">
            <v>554234</v>
          </cell>
          <cell r="N235">
            <v>0</v>
          </cell>
          <cell r="O235">
            <v>0</v>
          </cell>
          <cell r="P235">
            <v>150000</v>
          </cell>
          <cell r="Q235">
            <v>0</v>
          </cell>
          <cell r="R235">
            <v>0</v>
          </cell>
          <cell r="S235">
            <v>684285</v>
          </cell>
          <cell r="T235">
            <v>643160</v>
          </cell>
          <cell r="U235">
            <v>684285</v>
          </cell>
          <cell r="V235">
            <v>39500</v>
          </cell>
          <cell r="W235">
            <v>287497</v>
          </cell>
          <cell r="X235">
            <v>0</v>
          </cell>
          <cell r="Z235">
            <v>0</v>
          </cell>
          <cell r="AA235">
            <v>0</v>
          </cell>
          <cell r="AB235">
            <v>0</v>
          </cell>
          <cell r="AD235">
            <v>128091</v>
          </cell>
          <cell r="AE235">
            <v>0</v>
          </cell>
          <cell r="AF235">
            <v>0</v>
          </cell>
          <cell r="AG235">
            <v>0</v>
          </cell>
          <cell r="AH235">
            <v>0</v>
          </cell>
          <cell r="AI235">
            <v>0</v>
          </cell>
          <cell r="AJ235">
            <v>0</v>
          </cell>
          <cell r="AK235">
            <v>213580</v>
          </cell>
          <cell r="AM235">
            <v>0</v>
          </cell>
          <cell r="AN235">
            <v>0</v>
          </cell>
          <cell r="AO235">
            <v>0</v>
          </cell>
          <cell r="AP235">
            <v>0</v>
          </cell>
          <cell r="AQ235">
            <v>0</v>
          </cell>
          <cell r="AR235">
            <v>0</v>
          </cell>
          <cell r="AS235">
            <v>0</v>
          </cell>
          <cell r="AT235">
            <v>0</v>
          </cell>
          <cell r="AU235">
            <v>0</v>
          </cell>
          <cell r="AV235">
            <v>7833265.0809511403</v>
          </cell>
          <cell r="AW235">
            <v>37852</v>
          </cell>
          <cell r="AX235">
            <v>0</v>
          </cell>
          <cell r="BA235">
            <v>46358</v>
          </cell>
          <cell r="BC235">
            <v>10670</v>
          </cell>
          <cell r="BD235">
            <v>43409</v>
          </cell>
          <cell r="BF235">
            <v>0</v>
          </cell>
          <cell r="BG235">
            <v>0</v>
          </cell>
          <cell r="BH235">
            <v>0</v>
          </cell>
          <cell r="BI235">
            <v>208980</v>
          </cell>
          <cell r="BJ235">
            <v>172021</v>
          </cell>
          <cell r="BK235">
            <v>172021</v>
          </cell>
          <cell r="BL235">
            <v>0</v>
          </cell>
          <cell r="BM235">
            <v>0</v>
          </cell>
          <cell r="BN235">
            <v>294910</v>
          </cell>
          <cell r="BO235">
            <v>117229</v>
          </cell>
          <cell r="BP235">
            <v>25302.400000000001</v>
          </cell>
          <cell r="BQ235">
            <v>45581.395348837199</v>
          </cell>
          <cell r="BR235">
            <v>66000</v>
          </cell>
          <cell r="BS235">
            <v>0</v>
          </cell>
          <cell r="BT235">
            <v>187070</v>
          </cell>
          <cell r="BY235">
            <v>3523999.2327776202</v>
          </cell>
          <cell r="BZ235">
            <v>4085138.1915737698</v>
          </cell>
          <cell r="CA235">
            <v>4133074.6855412801</v>
          </cell>
          <cell r="CB235">
            <v>4268424.7861554204</v>
          </cell>
          <cell r="CC235">
            <v>7415100</v>
          </cell>
          <cell r="CD235">
            <v>91178028</v>
          </cell>
          <cell r="CE235">
            <v>3026129</v>
          </cell>
          <cell r="CF235">
            <v>0</v>
          </cell>
          <cell r="CG235">
            <v>3026129</v>
          </cell>
          <cell r="CH235">
            <v>3026129</v>
          </cell>
          <cell r="CI235">
            <v>3026129</v>
          </cell>
          <cell r="CJ235">
            <v>3026129</v>
          </cell>
          <cell r="CK235">
            <v>33148738</v>
          </cell>
          <cell r="CL235">
            <v>33132101</v>
          </cell>
          <cell r="CM235">
            <v>33131832</v>
          </cell>
          <cell r="CN235">
            <v>33131240</v>
          </cell>
          <cell r="CO235">
            <v>33132060</v>
          </cell>
          <cell r="CP235">
            <v>-7156</v>
          </cell>
          <cell r="CQ235">
            <v>20531303</v>
          </cell>
          <cell r="CR235">
            <v>19450071</v>
          </cell>
          <cell r="CS235">
            <v>18888358</v>
          </cell>
          <cell r="CT235">
            <v>18392855</v>
          </cell>
          <cell r="CU235">
            <v>18040660</v>
          </cell>
          <cell r="CV235">
            <v>488289</v>
          </cell>
          <cell r="CW235">
            <v>0</v>
          </cell>
          <cell r="CX235">
            <v>0</v>
          </cell>
          <cell r="CY235">
            <v>0</v>
          </cell>
          <cell r="CZ235">
            <v>0</v>
          </cell>
          <cell r="DA235">
            <v>0</v>
          </cell>
          <cell r="DC235">
            <v>0</v>
          </cell>
          <cell r="DD235">
            <v>0</v>
          </cell>
          <cell r="DE235">
            <v>0</v>
          </cell>
          <cell r="DF235">
            <v>0</v>
          </cell>
          <cell r="DG235">
            <v>0</v>
          </cell>
          <cell r="DH235">
            <v>0</v>
          </cell>
          <cell r="DI235">
            <v>0</v>
          </cell>
          <cell r="DJ235">
            <v>0</v>
          </cell>
          <cell r="DK235">
            <v>0</v>
          </cell>
          <cell r="DL235">
            <v>0</v>
          </cell>
        </row>
        <row r="236">
          <cell r="A236">
            <v>547</v>
          </cell>
          <cell r="B236" t="str">
            <v>Leiderdorp</v>
          </cell>
          <cell r="C236">
            <v>8</v>
          </cell>
          <cell r="D236">
            <v>19442</v>
          </cell>
          <cell r="E236">
            <v>9721</v>
          </cell>
          <cell r="F236">
            <v>0</v>
          </cell>
          <cell r="G236">
            <v>0</v>
          </cell>
          <cell r="H236">
            <v>0</v>
          </cell>
          <cell r="I236">
            <v>0</v>
          </cell>
          <cell r="K236">
            <v>0</v>
          </cell>
          <cell r="L236">
            <v>83803</v>
          </cell>
          <cell r="M236">
            <v>82278</v>
          </cell>
          <cell r="N236">
            <v>0</v>
          </cell>
          <cell r="O236">
            <v>0</v>
          </cell>
          <cell r="P236">
            <v>0</v>
          </cell>
          <cell r="Q236">
            <v>0</v>
          </cell>
          <cell r="R236">
            <v>0</v>
          </cell>
          <cell r="S236">
            <v>0</v>
          </cell>
          <cell r="T236">
            <v>0</v>
          </cell>
          <cell r="U236">
            <v>0</v>
          </cell>
          <cell r="V236">
            <v>3000</v>
          </cell>
          <cell r="W236">
            <v>49499</v>
          </cell>
          <cell r="X236">
            <v>0</v>
          </cell>
          <cell r="Z236">
            <v>0</v>
          </cell>
          <cell r="AA236">
            <v>0</v>
          </cell>
          <cell r="AB236">
            <v>0</v>
          </cell>
          <cell r="AD236">
            <v>0</v>
          </cell>
          <cell r="AE236">
            <v>0</v>
          </cell>
          <cell r="AF236">
            <v>0</v>
          </cell>
          <cell r="AG236">
            <v>0</v>
          </cell>
          <cell r="AH236">
            <v>0</v>
          </cell>
          <cell r="AI236">
            <v>0</v>
          </cell>
          <cell r="AJ236">
            <v>0</v>
          </cell>
          <cell r="AK236">
            <v>0</v>
          </cell>
          <cell r="AM236">
            <v>0</v>
          </cell>
          <cell r="AN236">
            <v>0</v>
          </cell>
          <cell r="AO236">
            <v>0</v>
          </cell>
          <cell r="AP236">
            <v>0</v>
          </cell>
          <cell r="AQ236">
            <v>0</v>
          </cell>
          <cell r="AR236">
            <v>0</v>
          </cell>
          <cell r="AS236">
            <v>0</v>
          </cell>
          <cell r="AT236">
            <v>0</v>
          </cell>
          <cell r="AU236">
            <v>4740</v>
          </cell>
          <cell r="AV236">
            <v>0</v>
          </cell>
          <cell r="AW236">
            <v>0</v>
          </cell>
          <cell r="AX236">
            <v>0</v>
          </cell>
          <cell r="BA236">
            <v>0</v>
          </cell>
          <cell r="BC236">
            <v>0</v>
          </cell>
          <cell r="BD236">
            <v>9523</v>
          </cell>
          <cell r="BF236">
            <v>0</v>
          </cell>
          <cell r="BG236">
            <v>0</v>
          </cell>
          <cell r="BH236">
            <v>0</v>
          </cell>
          <cell r="BI236">
            <v>28064</v>
          </cell>
          <cell r="BJ236">
            <v>23101</v>
          </cell>
          <cell r="BK236">
            <v>23101</v>
          </cell>
          <cell r="BL236">
            <v>0</v>
          </cell>
          <cell r="BM236">
            <v>0</v>
          </cell>
          <cell r="BN236">
            <v>0</v>
          </cell>
          <cell r="BO236">
            <v>19457</v>
          </cell>
          <cell r="BP236">
            <v>11069.8</v>
          </cell>
          <cell r="BQ236">
            <v>19941.8604651163</v>
          </cell>
          <cell r="BR236">
            <v>0</v>
          </cell>
          <cell r="BS236">
            <v>0</v>
          </cell>
          <cell r="BT236">
            <v>40260</v>
          </cell>
          <cell r="BY236">
            <v>0</v>
          </cell>
          <cell r="BZ236">
            <v>0</v>
          </cell>
          <cell r="CA236">
            <v>0</v>
          </cell>
          <cell r="CB236">
            <v>0</v>
          </cell>
          <cell r="CC236">
            <v>2015693</v>
          </cell>
          <cell r="CD236">
            <v>7869310</v>
          </cell>
          <cell r="CE236">
            <v>560590</v>
          </cell>
          <cell r="CF236">
            <v>0</v>
          </cell>
          <cell r="CG236">
            <v>560590</v>
          </cell>
          <cell r="CH236">
            <v>560590</v>
          </cell>
          <cell r="CI236">
            <v>560590</v>
          </cell>
          <cell r="CJ236">
            <v>560590</v>
          </cell>
          <cell r="CK236">
            <v>0</v>
          </cell>
          <cell r="CL236">
            <v>0</v>
          </cell>
          <cell r="CM236">
            <v>0</v>
          </cell>
          <cell r="CN236">
            <v>0</v>
          </cell>
          <cell r="CO236">
            <v>0</v>
          </cell>
          <cell r="CP236">
            <v>0</v>
          </cell>
          <cell r="CQ236">
            <v>170087</v>
          </cell>
          <cell r="CR236">
            <v>191415</v>
          </cell>
          <cell r="CS236">
            <v>197212</v>
          </cell>
          <cell r="CT236">
            <v>216452</v>
          </cell>
          <cell r="CU236">
            <v>235644</v>
          </cell>
          <cell r="CV236">
            <v>8553</v>
          </cell>
          <cell r="CW236">
            <v>0</v>
          </cell>
          <cell r="CX236">
            <v>0</v>
          </cell>
          <cell r="CY236">
            <v>0</v>
          </cell>
          <cell r="CZ236">
            <v>0</v>
          </cell>
          <cell r="DA236">
            <v>0</v>
          </cell>
          <cell r="DC236">
            <v>0</v>
          </cell>
          <cell r="DD236">
            <v>0</v>
          </cell>
          <cell r="DE236">
            <v>0</v>
          </cell>
          <cell r="DF236">
            <v>0</v>
          </cell>
          <cell r="DG236">
            <v>0</v>
          </cell>
          <cell r="DH236">
            <v>0</v>
          </cell>
          <cell r="DI236">
            <v>0</v>
          </cell>
          <cell r="DJ236">
            <v>0</v>
          </cell>
          <cell r="DK236">
            <v>0</v>
          </cell>
          <cell r="DL236">
            <v>0</v>
          </cell>
        </row>
        <row r="237">
          <cell r="A237">
            <v>1916</v>
          </cell>
          <cell r="B237" t="str">
            <v>Leidschendam-Voorburg</v>
          </cell>
          <cell r="C237">
            <v>8</v>
          </cell>
          <cell r="D237">
            <v>18395</v>
          </cell>
          <cell r="E237">
            <v>9197</v>
          </cell>
          <cell r="F237">
            <v>0</v>
          </cell>
          <cell r="G237">
            <v>0</v>
          </cell>
          <cell r="H237">
            <v>-31389</v>
          </cell>
          <cell r="I237">
            <v>-31319</v>
          </cell>
          <cell r="K237">
            <v>0</v>
          </cell>
          <cell r="L237">
            <v>320407</v>
          </cell>
          <cell r="M237">
            <v>307138</v>
          </cell>
          <cell r="N237">
            <v>0</v>
          </cell>
          <cell r="O237">
            <v>0</v>
          </cell>
          <cell r="P237">
            <v>0</v>
          </cell>
          <cell r="Q237">
            <v>0</v>
          </cell>
          <cell r="R237">
            <v>0</v>
          </cell>
          <cell r="S237">
            <v>0</v>
          </cell>
          <cell r="T237">
            <v>0</v>
          </cell>
          <cell r="U237">
            <v>0</v>
          </cell>
          <cell r="V237">
            <v>9750</v>
          </cell>
          <cell r="W237">
            <v>189712</v>
          </cell>
          <cell r="X237">
            <v>0</v>
          </cell>
          <cell r="Z237">
            <v>0</v>
          </cell>
          <cell r="AA237">
            <v>0</v>
          </cell>
          <cell r="AB237">
            <v>0</v>
          </cell>
          <cell r="AD237">
            <v>25422</v>
          </cell>
          <cell r="AE237">
            <v>0</v>
          </cell>
          <cell r="AF237">
            <v>0</v>
          </cell>
          <cell r="AG237">
            <v>0</v>
          </cell>
          <cell r="AH237">
            <v>0</v>
          </cell>
          <cell r="AI237">
            <v>0</v>
          </cell>
          <cell r="AJ237">
            <v>0</v>
          </cell>
          <cell r="AK237">
            <v>0</v>
          </cell>
          <cell r="AM237">
            <v>0</v>
          </cell>
          <cell r="AN237">
            <v>0</v>
          </cell>
          <cell r="AO237">
            <v>0</v>
          </cell>
          <cell r="AP237">
            <v>0</v>
          </cell>
          <cell r="AQ237">
            <v>0</v>
          </cell>
          <cell r="AR237">
            <v>0</v>
          </cell>
          <cell r="AS237">
            <v>0</v>
          </cell>
          <cell r="AT237">
            <v>20000</v>
          </cell>
          <cell r="AU237">
            <v>11850</v>
          </cell>
          <cell r="AV237">
            <v>0</v>
          </cell>
          <cell r="AW237">
            <v>0</v>
          </cell>
          <cell r="AX237">
            <v>0</v>
          </cell>
          <cell r="BA237">
            <v>0</v>
          </cell>
          <cell r="BC237">
            <v>0</v>
          </cell>
          <cell r="BD237">
            <v>26189</v>
          </cell>
          <cell r="BF237">
            <v>0</v>
          </cell>
          <cell r="BG237">
            <v>0</v>
          </cell>
          <cell r="BH237">
            <v>0</v>
          </cell>
          <cell r="BI237">
            <v>117360</v>
          </cell>
          <cell r="BJ237">
            <v>96605</v>
          </cell>
          <cell r="BK237">
            <v>96605</v>
          </cell>
          <cell r="BL237">
            <v>0</v>
          </cell>
          <cell r="BM237">
            <v>0</v>
          </cell>
          <cell r="BN237">
            <v>0</v>
          </cell>
          <cell r="BO237">
            <v>41346</v>
          </cell>
          <cell r="BP237">
            <v>22139.599999999999</v>
          </cell>
          <cell r="BQ237">
            <v>39883.720930232601</v>
          </cell>
          <cell r="BR237">
            <v>0</v>
          </cell>
          <cell r="BS237">
            <v>0</v>
          </cell>
          <cell r="BT237">
            <v>114690</v>
          </cell>
          <cell r="BY237">
            <v>0</v>
          </cell>
          <cell r="BZ237">
            <v>0</v>
          </cell>
          <cell r="CA237">
            <v>0</v>
          </cell>
          <cell r="CB237">
            <v>0</v>
          </cell>
          <cell r="CC237">
            <v>6122498</v>
          </cell>
          <cell r="CD237">
            <v>27118098</v>
          </cell>
          <cell r="CE237">
            <v>1818064</v>
          </cell>
          <cell r="CF237">
            <v>-67839</v>
          </cell>
          <cell r="CG237">
            <v>1818064</v>
          </cell>
          <cell r="CH237">
            <v>1818064</v>
          </cell>
          <cell r="CI237">
            <v>1818064</v>
          </cell>
          <cell r="CJ237">
            <v>1818064</v>
          </cell>
          <cell r="CK237">
            <v>0</v>
          </cell>
          <cell r="CL237">
            <v>0</v>
          </cell>
          <cell r="CM237">
            <v>0</v>
          </cell>
          <cell r="CN237">
            <v>0</v>
          </cell>
          <cell r="CO237">
            <v>0</v>
          </cell>
          <cell r="CP237">
            <v>-1083</v>
          </cell>
          <cell r="CQ237">
            <v>3128532</v>
          </cell>
          <cell r="CR237">
            <v>3034455</v>
          </cell>
          <cell r="CS237">
            <v>2920285</v>
          </cell>
          <cell r="CT237">
            <v>2854164</v>
          </cell>
          <cell r="CU237">
            <v>2836160</v>
          </cell>
          <cell r="CV237">
            <v>-78020</v>
          </cell>
          <cell r="CW237">
            <v>0</v>
          </cell>
          <cell r="CX237">
            <v>0</v>
          </cell>
          <cell r="CY237">
            <v>0</v>
          </cell>
          <cell r="CZ237">
            <v>0</v>
          </cell>
          <cell r="DA237">
            <v>0</v>
          </cell>
          <cell r="DC237">
            <v>0</v>
          </cell>
          <cell r="DD237">
            <v>0</v>
          </cell>
          <cell r="DE237">
            <v>0</v>
          </cell>
          <cell r="DF237">
            <v>0</v>
          </cell>
          <cell r="DG237">
            <v>0</v>
          </cell>
          <cell r="DH237">
            <v>0</v>
          </cell>
          <cell r="DI237">
            <v>0</v>
          </cell>
          <cell r="DJ237">
            <v>0</v>
          </cell>
          <cell r="DK237">
            <v>0</v>
          </cell>
          <cell r="DL237">
            <v>0</v>
          </cell>
        </row>
        <row r="238">
          <cell r="A238">
            <v>553</v>
          </cell>
          <cell r="B238" t="str">
            <v>Lisse</v>
          </cell>
          <cell r="C238">
            <v>8</v>
          </cell>
          <cell r="D238">
            <v>-23456</v>
          </cell>
          <cell r="E238">
            <v>-11728</v>
          </cell>
          <cell r="F238">
            <v>0</v>
          </cell>
          <cell r="G238">
            <v>0</v>
          </cell>
          <cell r="H238">
            <v>0</v>
          </cell>
          <cell r="I238">
            <v>0</v>
          </cell>
          <cell r="K238">
            <v>0</v>
          </cell>
          <cell r="L238">
            <v>75207</v>
          </cell>
          <cell r="M238">
            <v>62137</v>
          </cell>
          <cell r="N238">
            <v>0</v>
          </cell>
          <cell r="O238">
            <v>0</v>
          </cell>
          <cell r="P238">
            <v>0</v>
          </cell>
          <cell r="Q238">
            <v>0</v>
          </cell>
          <cell r="R238">
            <v>0</v>
          </cell>
          <cell r="S238">
            <v>0</v>
          </cell>
          <cell r="T238">
            <v>0</v>
          </cell>
          <cell r="U238">
            <v>0</v>
          </cell>
          <cell r="V238">
            <v>0</v>
          </cell>
          <cell r="W238">
            <v>66672</v>
          </cell>
          <cell r="X238">
            <v>0</v>
          </cell>
          <cell r="Z238">
            <v>0</v>
          </cell>
          <cell r="AA238">
            <v>0</v>
          </cell>
          <cell r="AB238">
            <v>0</v>
          </cell>
          <cell r="AD238">
            <v>0</v>
          </cell>
          <cell r="AE238">
            <v>0</v>
          </cell>
          <cell r="AF238">
            <v>0</v>
          </cell>
          <cell r="AG238">
            <v>0</v>
          </cell>
          <cell r="AH238">
            <v>0</v>
          </cell>
          <cell r="AI238">
            <v>0</v>
          </cell>
          <cell r="AJ238">
            <v>0</v>
          </cell>
          <cell r="AK238">
            <v>0</v>
          </cell>
          <cell r="AM238">
            <v>0</v>
          </cell>
          <cell r="AN238">
            <v>0</v>
          </cell>
          <cell r="AO238">
            <v>0</v>
          </cell>
          <cell r="AP238">
            <v>0</v>
          </cell>
          <cell r="AQ238">
            <v>0</v>
          </cell>
          <cell r="AR238">
            <v>0</v>
          </cell>
          <cell r="AS238">
            <v>0</v>
          </cell>
          <cell r="AT238">
            <v>0</v>
          </cell>
          <cell r="AU238">
            <v>2370</v>
          </cell>
          <cell r="AV238">
            <v>0</v>
          </cell>
          <cell r="AW238">
            <v>0</v>
          </cell>
          <cell r="AX238">
            <v>0</v>
          </cell>
          <cell r="BA238">
            <v>0</v>
          </cell>
          <cell r="BC238">
            <v>0</v>
          </cell>
          <cell r="BD238">
            <v>7974</v>
          </cell>
          <cell r="BF238">
            <v>0</v>
          </cell>
          <cell r="BG238">
            <v>0</v>
          </cell>
          <cell r="BH238">
            <v>0</v>
          </cell>
          <cell r="BI238">
            <v>31803</v>
          </cell>
          <cell r="BJ238">
            <v>26179</v>
          </cell>
          <cell r="BK238">
            <v>26179</v>
          </cell>
          <cell r="BL238">
            <v>0</v>
          </cell>
          <cell r="BM238">
            <v>0</v>
          </cell>
          <cell r="BN238">
            <v>0</v>
          </cell>
          <cell r="BO238">
            <v>26267</v>
          </cell>
          <cell r="BP238">
            <v>4744.2</v>
          </cell>
          <cell r="BQ238">
            <v>8546.5116279069807</v>
          </cell>
          <cell r="BR238">
            <v>0</v>
          </cell>
          <cell r="BS238">
            <v>0</v>
          </cell>
          <cell r="BT238">
            <v>32316</v>
          </cell>
          <cell r="BY238">
            <v>0</v>
          </cell>
          <cell r="BZ238">
            <v>0</v>
          </cell>
          <cell r="CA238">
            <v>0</v>
          </cell>
          <cell r="CB238">
            <v>0</v>
          </cell>
          <cell r="CC238">
            <v>1766498</v>
          </cell>
          <cell r="CD238">
            <v>8028022</v>
          </cell>
          <cell r="CE238">
            <v>365543</v>
          </cell>
          <cell r="CF238">
            <v>0</v>
          </cell>
          <cell r="CG238">
            <v>365543</v>
          </cell>
          <cell r="CH238">
            <v>365543</v>
          </cell>
          <cell r="CI238">
            <v>365543</v>
          </cell>
          <cell r="CJ238">
            <v>365543</v>
          </cell>
          <cell r="CK238">
            <v>0</v>
          </cell>
          <cell r="CL238">
            <v>0</v>
          </cell>
          <cell r="CM238">
            <v>0</v>
          </cell>
          <cell r="CN238">
            <v>0</v>
          </cell>
          <cell r="CO238">
            <v>0</v>
          </cell>
          <cell r="CP238">
            <v>0</v>
          </cell>
          <cell r="CQ238">
            <v>1681618</v>
          </cell>
          <cell r="CR238">
            <v>1585573</v>
          </cell>
          <cell r="CS238">
            <v>1541574</v>
          </cell>
          <cell r="CT238">
            <v>1499396</v>
          </cell>
          <cell r="CU238">
            <v>1463667</v>
          </cell>
          <cell r="CV238">
            <v>-4170</v>
          </cell>
          <cell r="CW238">
            <v>0</v>
          </cell>
          <cell r="CX238">
            <v>0</v>
          </cell>
          <cell r="CY238">
            <v>0</v>
          </cell>
          <cell r="CZ238">
            <v>0</v>
          </cell>
          <cell r="DA238">
            <v>0</v>
          </cell>
          <cell r="DC238">
            <v>0</v>
          </cell>
          <cell r="DD238">
            <v>0</v>
          </cell>
          <cell r="DE238">
            <v>0</v>
          </cell>
          <cell r="DF238">
            <v>0</v>
          </cell>
          <cell r="DG238">
            <v>0</v>
          </cell>
          <cell r="DH238">
            <v>0</v>
          </cell>
          <cell r="DI238">
            <v>0</v>
          </cell>
          <cell r="DJ238">
            <v>0</v>
          </cell>
          <cell r="DK238">
            <v>0</v>
          </cell>
          <cell r="DL238">
            <v>0</v>
          </cell>
        </row>
        <row r="239">
          <cell r="A239">
            <v>556</v>
          </cell>
          <cell r="B239" t="str">
            <v>Maassluis</v>
          </cell>
          <cell r="C239">
            <v>8</v>
          </cell>
          <cell r="D239">
            <v>1850</v>
          </cell>
          <cell r="E239">
            <v>925</v>
          </cell>
          <cell r="F239">
            <v>0</v>
          </cell>
          <cell r="G239">
            <v>0</v>
          </cell>
          <cell r="H239">
            <v>0</v>
          </cell>
          <cell r="I239">
            <v>-8467</v>
          </cell>
          <cell r="K239">
            <v>0</v>
          </cell>
          <cell r="L239">
            <v>187820</v>
          </cell>
          <cell r="M239">
            <v>208552</v>
          </cell>
          <cell r="N239">
            <v>7600</v>
          </cell>
          <cell r="O239">
            <v>3800</v>
          </cell>
          <cell r="P239">
            <v>0</v>
          </cell>
          <cell r="Q239">
            <v>0</v>
          </cell>
          <cell r="R239">
            <v>0</v>
          </cell>
          <cell r="S239">
            <v>0</v>
          </cell>
          <cell r="T239">
            <v>0</v>
          </cell>
          <cell r="U239">
            <v>0</v>
          </cell>
          <cell r="V239">
            <v>3000</v>
          </cell>
          <cell r="W239">
            <v>88492</v>
          </cell>
          <cell r="X239">
            <v>0</v>
          </cell>
          <cell r="Z239">
            <v>0</v>
          </cell>
          <cell r="AA239">
            <v>0</v>
          </cell>
          <cell r="AB239">
            <v>0</v>
          </cell>
          <cell r="AD239">
            <v>57690</v>
          </cell>
          <cell r="AE239">
            <v>0</v>
          </cell>
          <cell r="AF239">
            <v>0</v>
          </cell>
          <cell r="AG239">
            <v>0</v>
          </cell>
          <cell r="AH239">
            <v>0</v>
          </cell>
          <cell r="AI239">
            <v>0</v>
          </cell>
          <cell r="AJ239">
            <v>0</v>
          </cell>
          <cell r="AK239">
            <v>0</v>
          </cell>
          <cell r="AM239">
            <v>0</v>
          </cell>
          <cell r="AN239">
            <v>0</v>
          </cell>
          <cell r="AO239">
            <v>0</v>
          </cell>
          <cell r="AP239">
            <v>0</v>
          </cell>
          <cell r="AQ239">
            <v>0</v>
          </cell>
          <cell r="AR239">
            <v>0</v>
          </cell>
          <cell r="AS239">
            <v>0</v>
          </cell>
          <cell r="AT239">
            <v>0</v>
          </cell>
          <cell r="AU239">
            <v>2370</v>
          </cell>
          <cell r="AV239">
            <v>0</v>
          </cell>
          <cell r="AW239">
            <v>0</v>
          </cell>
          <cell r="AX239">
            <v>0</v>
          </cell>
          <cell r="BA239">
            <v>0</v>
          </cell>
          <cell r="BC239">
            <v>0</v>
          </cell>
          <cell r="BD239">
            <v>11391</v>
          </cell>
          <cell r="BF239">
            <v>0</v>
          </cell>
          <cell r="BG239">
            <v>0</v>
          </cell>
          <cell r="BH239">
            <v>0</v>
          </cell>
          <cell r="BI239">
            <v>52228</v>
          </cell>
          <cell r="BJ239">
            <v>42991</v>
          </cell>
          <cell r="BK239">
            <v>42991</v>
          </cell>
          <cell r="BL239">
            <v>0</v>
          </cell>
          <cell r="BM239">
            <v>0</v>
          </cell>
          <cell r="BN239">
            <v>0</v>
          </cell>
          <cell r="BO239">
            <v>22862</v>
          </cell>
          <cell r="BP239">
            <v>11069.8</v>
          </cell>
          <cell r="BQ239">
            <v>19941.8604651163</v>
          </cell>
          <cell r="BR239">
            <v>0</v>
          </cell>
          <cell r="BS239">
            <v>0</v>
          </cell>
          <cell r="BT239">
            <v>50213</v>
          </cell>
          <cell r="BY239">
            <v>0</v>
          </cell>
          <cell r="BZ239">
            <v>0</v>
          </cell>
          <cell r="CA239">
            <v>0</v>
          </cell>
          <cell r="CB239">
            <v>0</v>
          </cell>
          <cell r="CC239">
            <v>2771733</v>
          </cell>
          <cell r="CD239">
            <v>16457547</v>
          </cell>
          <cell r="CE239">
            <v>1127319</v>
          </cell>
          <cell r="CF239">
            <v>-20396</v>
          </cell>
          <cell r="CG239">
            <v>1127319</v>
          </cell>
          <cell r="CH239">
            <v>1127319</v>
          </cell>
          <cell r="CI239">
            <v>1127319</v>
          </cell>
          <cell r="CJ239">
            <v>1127319</v>
          </cell>
          <cell r="CK239">
            <v>0</v>
          </cell>
          <cell r="CL239">
            <v>0</v>
          </cell>
          <cell r="CM239">
            <v>0</v>
          </cell>
          <cell r="CN239">
            <v>0</v>
          </cell>
          <cell r="CO239">
            <v>0</v>
          </cell>
          <cell r="CP239">
            <v>0</v>
          </cell>
          <cell r="CQ239">
            <v>4193213</v>
          </cell>
          <cell r="CR239">
            <v>4013212</v>
          </cell>
          <cell r="CS239">
            <v>3901584</v>
          </cell>
          <cell r="CT239">
            <v>3813744</v>
          </cell>
          <cell r="CU239">
            <v>3664466</v>
          </cell>
          <cell r="CV239">
            <v>-29162</v>
          </cell>
          <cell r="CW239">
            <v>0</v>
          </cell>
          <cell r="CX239">
            <v>0</v>
          </cell>
          <cell r="CY239">
            <v>0</v>
          </cell>
          <cell r="CZ239">
            <v>0</v>
          </cell>
          <cell r="DA239">
            <v>0</v>
          </cell>
          <cell r="DC239">
            <v>0</v>
          </cell>
          <cell r="DD239">
            <v>0</v>
          </cell>
          <cell r="DE239">
            <v>0</v>
          </cell>
          <cell r="DF239">
            <v>0</v>
          </cell>
          <cell r="DG239">
            <v>0</v>
          </cell>
          <cell r="DH239">
            <v>0</v>
          </cell>
          <cell r="DI239">
            <v>0</v>
          </cell>
          <cell r="DJ239">
            <v>0</v>
          </cell>
          <cell r="DK239">
            <v>0</v>
          </cell>
          <cell r="DL239">
            <v>0</v>
          </cell>
        </row>
        <row r="240">
          <cell r="A240">
            <v>1842</v>
          </cell>
          <cell r="B240" t="str">
            <v>Midden-Delfland</v>
          </cell>
          <cell r="C240">
            <v>8</v>
          </cell>
          <cell r="D240">
            <v>10258</v>
          </cell>
          <cell r="E240">
            <v>5129</v>
          </cell>
          <cell r="F240">
            <v>0</v>
          </cell>
          <cell r="G240">
            <v>0</v>
          </cell>
          <cell r="H240">
            <v>-15000</v>
          </cell>
          <cell r="I240">
            <v>-4472</v>
          </cell>
          <cell r="K240">
            <v>0</v>
          </cell>
          <cell r="L240">
            <v>40787</v>
          </cell>
          <cell r="M240">
            <v>36116</v>
          </cell>
          <cell r="N240">
            <v>0</v>
          </cell>
          <cell r="O240">
            <v>0</v>
          </cell>
          <cell r="P240">
            <v>0</v>
          </cell>
          <cell r="Q240">
            <v>0</v>
          </cell>
          <cell r="R240">
            <v>0</v>
          </cell>
          <cell r="S240">
            <v>0</v>
          </cell>
          <cell r="T240">
            <v>0</v>
          </cell>
          <cell r="U240">
            <v>0</v>
          </cell>
          <cell r="V240">
            <v>0</v>
          </cell>
          <cell r="W240">
            <v>0</v>
          </cell>
          <cell r="X240">
            <v>0</v>
          </cell>
          <cell r="Z240">
            <v>0</v>
          </cell>
          <cell r="AA240">
            <v>0</v>
          </cell>
          <cell r="AB240">
            <v>0</v>
          </cell>
          <cell r="AD240">
            <v>0</v>
          </cell>
          <cell r="AE240">
            <v>0</v>
          </cell>
          <cell r="AF240">
            <v>0</v>
          </cell>
          <cell r="AG240">
            <v>0</v>
          </cell>
          <cell r="AH240">
            <v>0</v>
          </cell>
          <cell r="AI240">
            <v>0</v>
          </cell>
          <cell r="AJ240">
            <v>0</v>
          </cell>
          <cell r="AK240">
            <v>0</v>
          </cell>
          <cell r="AM240">
            <v>0</v>
          </cell>
          <cell r="AN240">
            <v>0</v>
          </cell>
          <cell r="AO240">
            <v>0</v>
          </cell>
          <cell r="AP240">
            <v>0</v>
          </cell>
          <cell r="AQ240">
            <v>0</v>
          </cell>
          <cell r="AR240">
            <v>0</v>
          </cell>
          <cell r="AS240">
            <v>0</v>
          </cell>
          <cell r="AT240">
            <v>0</v>
          </cell>
          <cell r="AU240">
            <v>0</v>
          </cell>
          <cell r="AV240">
            <v>0</v>
          </cell>
          <cell r="AW240">
            <v>0</v>
          </cell>
          <cell r="AX240">
            <v>0</v>
          </cell>
          <cell r="BA240">
            <v>0</v>
          </cell>
          <cell r="BC240">
            <v>0</v>
          </cell>
          <cell r="BD240">
            <v>6682</v>
          </cell>
          <cell r="BF240">
            <v>0</v>
          </cell>
          <cell r="BG240">
            <v>0</v>
          </cell>
          <cell r="BH240">
            <v>0</v>
          </cell>
          <cell r="BI240">
            <v>12795</v>
          </cell>
          <cell r="BJ240">
            <v>10532</v>
          </cell>
          <cell r="BK240">
            <v>10532</v>
          </cell>
          <cell r="BL240">
            <v>0</v>
          </cell>
          <cell r="BM240">
            <v>0</v>
          </cell>
          <cell r="BN240">
            <v>0</v>
          </cell>
          <cell r="BO240">
            <v>38428</v>
          </cell>
          <cell r="BP240">
            <v>7907</v>
          </cell>
          <cell r="BQ240">
            <v>14244.186046511601</v>
          </cell>
          <cell r="BR240">
            <v>0</v>
          </cell>
          <cell r="BS240">
            <v>0</v>
          </cell>
          <cell r="BT240">
            <v>35702</v>
          </cell>
          <cell r="BY240">
            <v>0</v>
          </cell>
          <cell r="BZ240">
            <v>0</v>
          </cell>
          <cell r="CA240">
            <v>0</v>
          </cell>
          <cell r="CB240">
            <v>0</v>
          </cell>
          <cell r="CC240">
            <v>937546</v>
          </cell>
          <cell r="CD240">
            <v>3543940</v>
          </cell>
          <cell r="CE240">
            <v>202284</v>
          </cell>
          <cell r="CF240">
            <v>-10668</v>
          </cell>
          <cell r="CG240">
            <v>202284</v>
          </cell>
          <cell r="CH240">
            <v>202284</v>
          </cell>
          <cell r="CI240">
            <v>202284</v>
          </cell>
          <cell r="CJ240">
            <v>202284</v>
          </cell>
          <cell r="CK240">
            <v>0</v>
          </cell>
          <cell r="CL240">
            <v>0</v>
          </cell>
          <cell r="CM240">
            <v>0</v>
          </cell>
          <cell r="CN240">
            <v>0</v>
          </cell>
          <cell r="CO240">
            <v>0</v>
          </cell>
          <cell r="CP240">
            <v>0</v>
          </cell>
          <cell r="CQ240">
            <v>89896</v>
          </cell>
          <cell r="CR240">
            <v>99981</v>
          </cell>
          <cell r="CS240">
            <v>103305</v>
          </cell>
          <cell r="CT240">
            <v>112483</v>
          </cell>
          <cell r="CU240">
            <v>121623</v>
          </cell>
          <cell r="CV240">
            <v>19259</v>
          </cell>
          <cell r="CW240">
            <v>0</v>
          </cell>
          <cell r="CX240">
            <v>0</v>
          </cell>
          <cell r="CY240">
            <v>0</v>
          </cell>
          <cell r="CZ240">
            <v>0</v>
          </cell>
          <cell r="DA240">
            <v>0</v>
          </cell>
          <cell r="DC240">
            <v>0</v>
          </cell>
          <cell r="DD240">
            <v>0</v>
          </cell>
          <cell r="DE240">
            <v>0</v>
          </cell>
          <cell r="DF240">
            <v>0</v>
          </cell>
          <cell r="DG240">
            <v>0</v>
          </cell>
          <cell r="DH240">
            <v>0</v>
          </cell>
          <cell r="DI240">
            <v>0</v>
          </cell>
          <cell r="DJ240">
            <v>0</v>
          </cell>
          <cell r="DK240">
            <v>0</v>
          </cell>
          <cell r="DL240">
            <v>0</v>
          </cell>
        </row>
        <row r="241">
          <cell r="A241">
            <v>1927</v>
          </cell>
          <cell r="B241" t="str">
            <v>Molenwaard</v>
          </cell>
          <cell r="C241">
            <v>8</v>
          </cell>
          <cell r="D241">
            <v>-1203</v>
          </cell>
          <cell r="E241">
            <v>-601</v>
          </cell>
          <cell r="F241">
            <v>0</v>
          </cell>
          <cell r="G241">
            <v>0</v>
          </cell>
          <cell r="H241">
            <v>0</v>
          </cell>
          <cell r="I241">
            <v>0</v>
          </cell>
          <cell r="K241">
            <v>0</v>
          </cell>
          <cell r="L241">
            <v>67726</v>
          </cell>
          <cell r="M241">
            <v>60828</v>
          </cell>
          <cell r="N241">
            <v>0</v>
          </cell>
          <cell r="O241">
            <v>0</v>
          </cell>
          <cell r="P241">
            <v>0</v>
          </cell>
          <cell r="Q241">
            <v>0</v>
          </cell>
          <cell r="R241">
            <v>0</v>
          </cell>
          <cell r="S241">
            <v>0</v>
          </cell>
          <cell r="T241">
            <v>0</v>
          </cell>
          <cell r="U241">
            <v>0</v>
          </cell>
          <cell r="V241">
            <v>12000</v>
          </cell>
          <cell r="W241">
            <v>111120</v>
          </cell>
          <cell r="X241">
            <v>0</v>
          </cell>
          <cell r="Z241">
            <v>0</v>
          </cell>
          <cell r="AA241">
            <v>0</v>
          </cell>
          <cell r="AB241">
            <v>0</v>
          </cell>
          <cell r="AD241">
            <v>20000</v>
          </cell>
          <cell r="AE241">
            <v>0</v>
          </cell>
          <cell r="AF241">
            <v>0</v>
          </cell>
          <cell r="AG241">
            <v>0</v>
          </cell>
          <cell r="AH241">
            <v>0</v>
          </cell>
          <cell r="AI241">
            <v>0</v>
          </cell>
          <cell r="AJ241">
            <v>0</v>
          </cell>
          <cell r="AK241">
            <v>0</v>
          </cell>
          <cell r="AM241">
            <v>100651</v>
          </cell>
          <cell r="AN241">
            <v>102967</v>
          </cell>
          <cell r="AO241">
            <v>105336</v>
          </cell>
          <cell r="AP241">
            <v>107758</v>
          </cell>
          <cell r="AQ241">
            <v>110236</v>
          </cell>
          <cell r="AR241">
            <v>112772</v>
          </cell>
          <cell r="AS241">
            <v>0</v>
          </cell>
          <cell r="AT241">
            <v>0</v>
          </cell>
          <cell r="AU241">
            <v>0</v>
          </cell>
          <cell r="AV241">
            <v>0</v>
          </cell>
          <cell r="AW241">
            <v>0</v>
          </cell>
          <cell r="AX241">
            <v>0</v>
          </cell>
          <cell r="BA241">
            <v>0</v>
          </cell>
          <cell r="BC241">
            <v>0</v>
          </cell>
          <cell r="BD241">
            <v>51250</v>
          </cell>
          <cell r="BF241">
            <v>0</v>
          </cell>
          <cell r="BG241">
            <v>0</v>
          </cell>
          <cell r="BH241">
            <v>0</v>
          </cell>
          <cell r="BI241">
            <v>24528</v>
          </cell>
          <cell r="BJ241">
            <v>20190</v>
          </cell>
          <cell r="BK241">
            <v>20190</v>
          </cell>
          <cell r="BL241">
            <v>0</v>
          </cell>
          <cell r="BM241">
            <v>0</v>
          </cell>
          <cell r="BN241">
            <v>0</v>
          </cell>
          <cell r="BO241">
            <v>149333</v>
          </cell>
          <cell r="BP241">
            <v>9488.4</v>
          </cell>
          <cell r="BQ241">
            <v>17093.023255814001</v>
          </cell>
          <cell r="BR241">
            <v>0</v>
          </cell>
          <cell r="BS241">
            <v>0</v>
          </cell>
          <cell r="BT241">
            <v>64244</v>
          </cell>
          <cell r="BY241">
            <v>0</v>
          </cell>
          <cell r="BZ241">
            <v>0</v>
          </cell>
          <cell r="CA241">
            <v>0</v>
          </cell>
          <cell r="CB241">
            <v>0</v>
          </cell>
          <cell r="CC241">
            <v>1542832</v>
          </cell>
          <cell r="CD241">
            <v>9228171</v>
          </cell>
          <cell r="CE241">
            <v>1638422</v>
          </cell>
          <cell r="CF241">
            <v>0</v>
          </cell>
          <cell r="CG241">
            <v>1638422</v>
          </cell>
          <cell r="CH241">
            <v>1638422</v>
          </cell>
          <cell r="CI241">
            <v>1638422</v>
          </cell>
          <cell r="CJ241">
            <v>1638422</v>
          </cell>
          <cell r="CK241">
            <v>0</v>
          </cell>
          <cell r="CL241">
            <v>0</v>
          </cell>
          <cell r="CM241">
            <v>0</v>
          </cell>
          <cell r="CN241">
            <v>0</v>
          </cell>
          <cell r="CO241">
            <v>0</v>
          </cell>
          <cell r="CP241">
            <v>0</v>
          </cell>
          <cell r="CQ241">
            <v>691806</v>
          </cell>
          <cell r="CR241">
            <v>669790</v>
          </cell>
          <cell r="CS241">
            <v>669633</v>
          </cell>
          <cell r="CT241">
            <v>645629</v>
          </cell>
          <cell r="CU241">
            <v>636688</v>
          </cell>
          <cell r="CV241">
            <v>-53439</v>
          </cell>
          <cell r="CW241">
            <v>0</v>
          </cell>
          <cell r="CX241">
            <v>0</v>
          </cell>
          <cell r="CY241">
            <v>0</v>
          </cell>
          <cell r="CZ241">
            <v>0</v>
          </cell>
          <cell r="DA241">
            <v>0</v>
          </cell>
          <cell r="DC241">
            <v>0</v>
          </cell>
          <cell r="DD241">
            <v>0</v>
          </cell>
          <cell r="DE241">
            <v>0</v>
          </cell>
          <cell r="DF241">
            <v>0</v>
          </cell>
          <cell r="DG241">
            <v>0</v>
          </cell>
          <cell r="DH241">
            <v>0</v>
          </cell>
          <cell r="DI241">
            <v>0</v>
          </cell>
          <cell r="DJ241">
            <v>0</v>
          </cell>
          <cell r="DK241">
            <v>0</v>
          </cell>
          <cell r="DL241">
            <v>0</v>
          </cell>
        </row>
        <row r="242">
          <cell r="A242">
            <v>569</v>
          </cell>
          <cell r="B242" t="str">
            <v>Nieuwkoop</v>
          </cell>
          <cell r="C242">
            <v>8</v>
          </cell>
          <cell r="D242">
            <v>36630</v>
          </cell>
          <cell r="E242">
            <v>18315</v>
          </cell>
          <cell r="F242">
            <v>0</v>
          </cell>
          <cell r="G242">
            <v>0</v>
          </cell>
          <cell r="H242">
            <v>0</v>
          </cell>
          <cell r="I242">
            <v>-20503</v>
          </cell>
          <cell r="K242">
            <v>0</v>
          </cell>
          <cell r="L242">
            <v>60166</v>
          </cell>
          <cell r="M242">
            <v>65565</v>
          </cell>
          <cell r="N242">
            <v>0</v>
          </cell>
          <cell r="O242">
            <v>0</v>
          </cell>
          <cell r="P242">
            <v>0</v>
          </cell>
          <cell r="Q242">
            <v>0</v>
          </cell>
          <cell r="R242">
            <v>0</v>
          </cell>
          <cell r="S242">
            <v>0</v>
          </cell>
          <cell r="T242">
            <v>0</v>
          </cell>
          <cell r="U242">
            <v>0</v>
          </cell>
          <cell r="V242">
            <v>12000</v>
          </cell>
          <cell r="W242">
            <v>85461</v>
          </cell>
          <cell r="X242">
            <v>0</v>
          </cell>
          <cell r="Z242">
            <v>0</v>
          </cell>
          <cell r="AA242">
            <v>0</v>
          </cell>
          <cell r="AB242">
            <v>0</v>
          </cell>
          <cell r="AD242">
            <v>0</v>
          </cell>
          <cell r="AE242">
            <v>0</v>
          </cell>
          <cell r="AF242">
            <v>0</v>
          </cell>
          <cell r="AG242">
            <v>0</v>
          </cell>
          <cell r="AH242">
            <v>0</v>
          </cell>
          <cell r="AI242">
            <v>0</v>
          </cell>
          <cell r="AJ242">
            <v>0</v>
          </cell>
          <cell r="AK242">
            <v>0</v>
          </cell>
          <cell r="AM242">
            <v>0</v>
          </cell>
          <cell r="AN242">
            <v>0</v>
          </cell>
          <cell r="AO242">
            <v>0</v>
          </cell>
          <cell r="AP242">
            <v>0</v>
          </cell>
          <cell r="AQ242">
            <v>0</v>
          </cell>
          <cell r="AR242">
            <v>0</v>
          </cell>
          <cell r="AS242">
            <v>0</v>
          </cell>
          <cell r="AT242">
            <v>0</v>
          </cell>
          <cell r="AU242">
            <v>0</v>
          </cell>
          <cell r="AV242">
            <v>0</v>
          </cell>
          <cell r="AW242">
            <v>0</v>
          </cell>
          <cell r="AX242">
            <v>0</v>
          </cell>
          <cell r="BA242">
            <v>0</v>
          </cell>
          <cell r="BC242">
            <v>0</v>
          </cell>
          <cell r="BD242">
            <v>9799</v>
          </cell>
          <cell r="BF242">
            <v>0</v>
          </cell>
          <cell r="BG242">
            <v>0</v>
          </cell>
          <cell r="BH242">
            <v>0</v>
          </cell>
          <cell r="BI242">
            <v>25937</v>
          </cell>
          <cell r="BJ242">
            <v>21350</v>
          </cell>
          <cell r="BK242">
            <v>21350</v>
          </cell>
          <cell r="BL242">
            <v>0</v>
          </cell>
          <cell r="BM242">
            <v>0</v>
          </cell>
          <cell r="BN242">
            <v>0</v>
          </cell>
          <cell r="BO242">
            <v>35509</v>
          </cell>
          <cell r="BP242">
            <v>0</v>
          </cell>
          <cell r="BQ242">
            <v>0</v>
          </cell>
          <cell r="BR242">
            <v>0</v>
          </cell>
          <cell r="BS242">
            <v>0</v>
          </cell>
          <cell r="BT242">
            <v>48647</v>
          </cell>
          <cell r="BY242">
            <v>0</v>
          </cell>
          <cell r="BZ242">
            <v>0</v>
          </cell>
          <cell r="CA242">
            <v>0</v>
          </cell>
          <cell r="CB242">
            <v>0</v>
          </cell>
          <cell r="CC242">
            <v>1870729</v>
          </cell>
          <cell r="CD242">
            <v>7165715</v>
          </cell>
          <cell r="CE242">
            <v>339683</v>
          </cell>
          <cell r="CF242">
            <v>0</v>
          </cell>
          <cell r="CG242">
            <v>339683</v>
          </cell>
          <cell r="CH242">
            <v>339683</v>
          </cell>
          <cell r="CI242">
            <v>339683</v>
          </cell>
          <cell r="CJ242">
            <v>339683</v>
          </cell>
          <cell r="CK242">
            <v>0</v>
          </cell>
          <cell r="CL242">
            <v>0</v>
          </cell>
          <cell r="CM242">
            <v>0</v>
          </cell>
          <cell r="CN242">
            <v>0</v>
          </cell>
          <cell r="CO242">
            <v>0</v>
          </cell>
          <cell r="CP242">
            <v>-7404</v>
          </cell>
          <cell r="CQ242">
            <v>125633</v>
          </cell>
          <cell r="CR242">
            <v>139621</v>
          </cell>
          <cell r="CS242">
            <v>144067</v>
          </cell>
          <cell r="CT242">
            <v>156857</v>
          </cell>
          <cell r="CU242">
            <v>169578</v>
          </cell>
          <cell r="CV242">
            <v>76252</v>
          </cell>
          <cell r="CW242">
            <v>0</v>
          </cell>
          <cell r="CX242">
            <v>0</v>
          </cell>
          <cell r="CY242">
            <v>0</v>
          </cell>
          <cell r="CZ242">
            <v>0</v>
          </cell>
          <cell r="DA242">
            <v>0</v>
          </cell>
          <cell r="DC242">
            <v>0</v>
          </cell>
          <cell r="DD242">
            <v>0</v>
          </cell>
          <cell r="DE242">
            <v>0</v>
          </cell>
          <cell r="DF242">
            <v>0</v>
          </cell>
          <cell r="DG242">
            <v>0</v>
          </cell>
          <cell r="DH242">
            <v>0</v>
          </cell>
          <cell r="DI242">
            <v>0</v>
          </cell>
          <cell r="DJ242">
            <v>0</v>
          </cell>
          <cell r="DK242">
            <v>0</v>
          </cell>
          <cell r="DL242">
            <v>0</v>
          </cell>
        </row>
        <row r="243">
          <cell r="A243">
            <v>1930</v>
          </cell>
          <cell r="B243" t="str">
            <v>Nissewaard</v>
          </cell>
          <cell r="C243">
            <v>8</v>
          </cell>
          <cell r="D243">
            <v>88477</v>
          </cell>
          <cell r="E243">
            <v>44238</v>
          </cell>
          <cell r="F243">
            <v>0</v>
          </cell>
          <cell r="G243">
            <v>0</v>
          </cell>
          <cell r="H243">
            <v>0</v>
          </cell>
          <cell r="I243">
            <v>-40011</v>
          </cell>
          <cell r="K243">
            <v>0</v>
          </cell>
          <cell r="L243">
            <v>484113</v>
          </cell>
          <cell r="M243">
            <v>494954</v>
          </cell>
          <cell r="N243">
            <v>12900</v>
          </cell>
          <cell r="O243">
            <v>6500</v>
          </cell>
          <cell r="P243">
            <v>0</v>
          </cell>
          <cell r="Q243">
            <v>0</v>
          </cell>
          <cell r="R243">
            <v>0</v>
          </cell>
          <cell r="S243">
            <v>0</v>
          </cell>
          <cell r="T243">
            <v>0</v>
          </cell>
          <cell r="U243">
            <v>0</v>
          </cell>
          <cell r="V243">
            <v>18000</v>
          </cell>
          <cell r="W243">
            <v>333358</v>
          </cell>
          <cell r="X243">
            <v>0</v>
          </cell>
          <cell r="Z243">
            <v>0</v>
          </cell>
          <cell r="AA243">
            <v>0</v>
          </cell>
          <cell r="AB243">
            <v>0</v>
          </cell>
          <cell r="AD243">
            <v>99735</v>
          </cell>
          <cell r="AE243">
            <v>0</v>
          </cell>
          <cell r="AF243">
            <v>0</v>
          </cell>
          <cell r="AG243">
            <v>0</v>
          </cell>
          <cell r="AH243">
            <v>0</v>
          </cell>
          <cell r="AI243">
            <v>0</v>
          </cell>
          <cell r="AJ243">
            <v>0</v>
          </cell>
          <cell r="AK243">
            <v>0</v>
          </cell>
          <cell r="AM243">
            <v>65634</v>
          </cell>
          <cell r="AN243">
            <v>67143</v>
          </cell>
          <cell r="AO243">
            <v>68688</v>
          </cell>
          <cell r="AP243">
            <v>70268</v>
          </cell>
          <cell r="AQ243">
            <v>71884</v>
          </cell>
          <cell r="AR243">
            <v>73537</v>
          </cell>
          <cell r="AS243">
            <v>0</v>
          </cell>
          <cell r="AT243">
            <v>0</v>
          </cell>
          <cell r="AU243">
            <v>0</v>
          </cell>
          <cell r="AV243">
            <v>2609766.94047869</v>
          </cell>
          <cell r="AW243">
            <v>0</v>
          </cell>
          <cell r="AX243">
            <v>0</v>
          </cell>
          <cell r="BA243">
            <v>0</v>
          </cell>
          <cell r="BC243">
            <v>0</v>
          </cell>
          <cell r="BD243">
            <v>29979</v>
          </cell>
          <cell r="BF243">
            <v>0</v>
          </cell>
          <cell r="BG243">
            <v>0</v>
          </cell>
          <cell r="BH243">
            <v>0</v>
          </cell>
          <cell r="BI243">
            <v>132288</v>
          </cell>
          <cell r="BJ243">
            <v>108892</v>
          </cell>
          <cell r="BK243">
            <v>108892</v>
          </cell>
          <cell r="BL243">
            <v>0</v>
          </cell>
          <cell r="BM243">
            <v>0</v>
          </cell>
          <cell r="BN243">
            <v>0</v>
          </cell>
          <cell r="BO243">
            <v>85611</v>
          </cell>
          <cell r="BP243">
            <v>47442</v>
          </cell>
          <cell r="BQ243">
            <v>85465.1162790698</v>
          </cell>
          <cell r="BR243">
            <v>0</v>
          </cell>
          <cell r="BS243">
            <v>0</v>
          </cell>
          <cell r="BT243">
            <v>138913</v>
          </cell>
          <cell r="BY243">
            <v>1745095.9621204101</v>
          </cell>
          <cell r="BZ243">
            <v>2022973.81239786</v>
          </cell>
          <cell r="CA243">
            <v>2046712.12121553</v>
          </cell>
          <cell r="CB243">
            <v>2113737.9343477702</v>
          </cell>
          <cell r="CC243">
            <v>6812364</v>
          </cell>
          <cell r="CD243">
            <v>58530673</v>
          </cell>
          <cell r="CE243">
            <v>3339015</v>
          </cell>
          <cell r="CF243">
            <v>0</v>
          </cell>
          <cell r="CG243">
            <v>3339015</v>
          </cell>
          <cell r="CH243">
            <v>3339015</v>
          </cell>
          <cell r="CI243">
            <v>3339015</v>
          </cell>
          <cell r="CJ243">
            <v>3339015</v>
          </cell>
          <cell r="CK243">
            <v>16158248</v>
          </cell>
          <cell r="CL243">
            <v>16150138</v>
          </cell>
          <cell r="CM243">
            <v>16150007</v>
          </cell>
          <cell r="CN243">
            <v>16149718</v>
          </cell>
          <cell r="CO243">
            <v>16150118</v>
          </cell>
          <cell r="CP243">
            <v>-14421</v>
          </cell>
          <cell r="CQ243">
            <v>8842258</v>
          </cell>
          <cell r="CR243">
            <v>8462145</v>
          </cell>
          <cell r="CS243">
            <v>8347961</v>
          </cell>
          <cell r="CT243">
            <v>8240822</v>
          </cell>
          <cell r="CU243">
            <v>8065711</v>
          </cell>
          <cell r="CV243">
            <v>26562</v>
          </cell>
          <cell r="CW243">
            <v>0</v>
          </cell>
          <cell r="CX243">
            <v>0</v>
          </cell>
          <cell r="CY243">
            <v>0</v>
          </cell>
          <cell r="CZ243">
            <v>0</v>
          </cell>
          <cell r="DA243">
            <v>0</v>
          </cell>
          <cell r="DC243">
            <v>0</v>
          </cell>
          <cell r="DD243">
            <v>0</v>
          </cell>
          <cell r="DE243">
            <v>0</v>
          </cell>
          <cell r="DF243">
            <v>0</v>
          </cell>
          <cell r="DG243">
            <v>0</v>
          </cell>
          <cell r="DH243">
            <v>0</v>
          </cell>
          <cell r="DI243">
            <v>0</v>
          </cell>
          <cell r="DJ243">
            <v>0</v>
          </cell>
          <cell r="DK243">
            <v>0</v>
          </cell>
          <cell r="DL243">
            <v>0</v>
          </cell>
        </row>
        <row r="244">
          <cell r="A244">
            <v>575</v>
          </cell>
          <cell r="B244" t="str">
            <v>Noordwijk</v>
          </cell>
          <cell r="C244">
            <v>8</v>
          </cell>
          <cell r="D244">
            <v>16973</v>
          </cell>
          <cell r="E244">
            <v>8486</v>
          </cell>
          <cell r="F244">
            <v>0</v>
          </cell>
          <cell r="G244">
            <v>15023</v>
          </cell>
          <cell r="H244">
            <v>-5663</v>
          </cell>
          <cell r="I244">
            <v>-15638</v>
          </cell>
          <cell r="K244">
            <v>0</v>
          </cell>
          <cell r="L244">
            <v>82370</v>
          </cell>
          <cell r="M244">
            <v>70089</v>
          </cell>
          <cell r="N244">
            <v>0</v>
          </cell>
          <cell r="O244">
            <v>0</v>
          </cell>
          <cell r="P244">
            <v>0</v>
          </cell>
          <cell r="Q244">
            <v>0</v>
          </cell>
          <cell r="R244">
            <v>0</v>
          </cell>
          <cell r="S244">
            <v>0</v>
          </cell>
          <cell r="T244">
            <v>0</v>
          </cell>
          <cell r="U244">
            <v>0</v>
          </cell>
          <cell r="V244">
            <v>0</v>
          </cell>
          <cell r="W244">
            <v>87664</v>
          </cell>
          <cell r="X244">
            <v>0</v>
          </cell>
          <cell r="Z244">
            <v>0</v>
          </cell>
          <cell r="AA244">
            <v>0</v>
          </cell>
          <cell r="AB244">
            <v>0</v>
          </cell>
          <cell r="AD244">
            <v>0</v>
          </cell>
          <cell r="AE244">
            <v>0</v>
          </cell>
          <cell r="AF244">
            <v>0</v>
          </cell>
          <cell r="AG244">
            <v>0</v>
          </cell>
          <cell r="AH244">
            <v>0</v>
          </cell>
          <cell r="AI244">
            <v>0</v>
          </cell>
          <cell r="AJ244">
            <v>0</v>
          </cell>
          <cell r="AK244">
            <v>0</v>
          </cell>
          <cell r="AM244">
            <v>0</v>
          </cell>
          <cell r="AN244">
            <v>0</v>
          </cell>
          <cell r="AO244">
            <v>0</v>
          </cell>
          <cell r="AP244">
            <v>0</v>
          </cell>
          <cell r="AQ244">
            <v>0</v>
          </cell>
          <cell r="AR244">
            <v>0</v>
          </cell>
          <cell r="AS244">
            <v>0</v>
          </cell>
          <cell r="AT244">
            <v>0</v>
          </cell>
          <cell r="AU244">
            <v>0</v>
          </cell>
          <cell r="AV244">
            <v>0</v>
          </cell>
          <cell r="AW244">
            <v>0</v>
          </cell>
          <cell r="AX244">
            <v>0</v>
          </cell>
          <cell r="BA244">
            <v>0</v>
          </cell>
          <cell r="BC244">
            <v>0</v>
          </cell>
          <cell r="BD244">
            <v>45382</v>
          </cell>
          <cell r="BF244">
            <v>0</v>
          </cell>
          <cell r="BG244">
            <v>0</v>
          </cell>
          <cell r="BH244">
            <v>0</v>
          </cell>
          <cell r="BI244">
            <v>33310</v>
          </cell>
          <cell r="BJ244">
            <v>27419</v>
          </cell>
          <cell r="BK244">
            <v>27419</v>
          </cell>
          <cell r="BL244">
            <v>0</v>
          </cell>
          <cell r="BM244">
            <v>0</v>
          </cell>
          <cell r="BN244">
            <v>0</v>
          </cell>
          <cell r="BO244">
            <v>12161</v>
          </cell>
          <cell r="BP244">
            <v>0</v>
          </cell>
          <cell r="BQ244">
            <v>0</v>
          </cell>
          <cell r="BR244">
            <v>0</v>
          </cell>
          <cell r="BS244">
            <v>0</v>
          </cell>
          <cell r="BT244">
            <v>35073</v>
          </cell>
          <cell r="BY244">
            <v>0</v>
          </cell>
          <cell r="BZ244">
            <v>0</v>
          </cell>
          <cell r="CA244">
            <v>0</v>
          </cell>
          <cell r="CB244">
            <v>0</v>
          </cell>
          <cell r="CC244">
            <v>2022503</v>
          </cell>
          <cell r="CD244">
            <v>8889487</v>
          </cell>
          <cell r="CE244">
            <v>1281245</v>
          </cell>
          <cell r="CF244">
            <v>-25244</v>
          </cell>
          <cell r="CG244">
            <v>1281245</v>
          </cell>
          <cell r="CH244">
            <v>1281245</v>
          </cell>
          <cell r="CI244">
            <v>1281245</v>
          </cell>
          <cell r="CJ244">
            <v>1281245</v>
          </cell>
          <cell r="CK244">
            <v>0</v>
          </cell>
          <cell r="CL244">
            <v>0</v>
          </cell>
          <cell r="CM244">
            <v>0</v>
          </cell>
          <cell r="CN244">
            <v>0</v>
          </cell>
          <cell r="CO244">
            <v>0</v>
          </cell>
          <cell r="CP244">
            <v>-1897</v>
          </cell>
          <cell r="CQ244">
            <v>1683441</v>
          </cell>
          <cell r="CR244">
            <v>1635914</v>
          </cell>
          <cell r="CS244">
            <v>1563745</v>
          </cell>
          <cell r="CT244">
            <v>1495883</v>
          </cell>
          <cell r="CU244">
            <v>1471473</v>
          </cell>
          <cell r="CV244">
            <v>34396</v>
          </cell>
          <cell r="CW244">
            <v>0</v>
          </cell>
          <cell r="CX244">
            <v>0</v>
          </cell>
          <cell r="CY244">
            <v>0</v>
          </cell>
          <cell r="CZ244">
            <v>0</v>
          </cell>
          <cell r="DA244">
            <v>0</v>
          </cell>
          <cell r="DC244">
            <v>0</v>
          </cell>
          <cell r="DD244">
            <v>0</v>
          </cell>
          <cell r="DE244">
            <v>0</v>
          </cell>
          <cell r="DF244">
            <v>0</v>
          </cell>
          <cell r="DG244">
            <v>0</v>
          </cell>
          <cell r="DH244">
            <v>0</v>
          </cell>
          <cell r="DI244">
            <v>0</v>
          </cell>
          <cell r="DJ244">
            <v>0</v>
          </cell>
          <cell r="DK244">
            <v>0</v>
          </cell>
          <cell r="DL244">
            <v>0</v>
          </cell>
        </row>
        <row r="245">
          <cell r="A245">
            <v>576</v>
          </cell>
          <cell r="B245" t="str">
            <v>Noordwijkerhout</v>
          </cell>
          <cell r="C245">
            <v>8</v>
          </cell>
          <cell r="D245">
            <v>-32691</v>
          </cell>
          <cell r="E245">
            <v>-16345</v>
          </cell>
          <cell r="F245">
            <v>0</v>
          </cell>
          <cell r="G245">
            <v>0</v>
          </cell>
          <cell r="H245">
            <v>-3524</v>
          </cell>
          <cell r="I245">
            <v>-2298</v>
          </cell>
          <cell r="K245">
            <v>0</v>
          </cell>
          <cell r="L245">
            <v>60484</v>
          </cell>
          <cell r="M245">
            <v>61709</v>
          </cell>
          <cell r="N245">
            <v>0</v>
          </cell>
          <cell r="O245">
            <v>0</v>
          </cell>
          <cell r="P245">
            <v>0</v>
          </cell>
          <cell r="Q245">
            <v>0</v>
          </cell>
          <cell r="R245">
            <v>0</v>
          </cell>
          <cell r="S245">
            <v>0</v>
          </cell>
          <cell r="T245">
            <v>0</v>
          </cell>
          <cell r="U245">
            <v>0</v>
          </cell>
          <cell r="V245">
            <v>3000</v>
          </cell>
          <cell r="W245">
            <v>45660</v>
          </cell>
          <cell r="X245">
            <v>0</v>
          </cell>
          <cell r="Z245">
            <v>0</v>
          </cell>
          <cell r="AA245">
            <v>0</v>
          </cell>
          <cell r="AB245">
            <v>0</v>
          </cell>
          <cell r="AD245">
            <v>0</v>
          </cell>
          <cell r="AE245">
            <v>0</v>
          </cell>
          <cell r="AF245">
            <v>0</v>
          </cell>
          <cell r="AG245">
            <v>0</v>
          </cell>
          <cell r="AH245">
            <v>0</v>
          </cell>
          <cell r="AI245">
            <v>0</v>
          </cell>
          <cell r="AJ245">
            <v>0</v>
          </cell>
          <cell r="AK245">
            <v>0</v>
          </cell>
          <cell r="AM245">
            <v>0</v>
          </cell>
          <cell r="AN245">
            <v>0</v>
          </cell>
          <cell r="AO245">
            <v>0</v>
          </cell>
          <cell r="AP245">
            <v>0</v>
          </cell>
          <cell r="AQ245">
            <v>0</v>
          </cell>
          <cell r="AR245">
            <v>0</v>
          </cell>
          <cell r="AS245">
            <v>0</v>
          </cell>
          <cell r="AT245">
            <v>0</v>
          </cell>
          <cell r="AU245">
            <v>0</v>
          </cell>
          <cell r="AV245">
            <v>0</v>
          </cell>
          <cell r="AW245">
            <v>0</v>
          </cell>
          <cell r="AX245">
            <v>0</v>
          </cell>
          <cell r="BA245">
            <v>0</v>
          </cell>
          <cell r="BC245">
            <v>0</v>
          </cell>
          <cell r="BD245">
            <v>28629</v>
          </cell>
          <cell r="BF245">
            <v>0</v>
          </cell>
          <cell r="BG245">
            <v>0</v>
          </cell>
          <cell r="BH245">
            <v>0</v>
          </cell>
          <cell r="BI245">
            <v>20302</v>
          </cell>
          <cell r="BJ245">
            <v>16712</v>
          </cell>
          <cell r="BK245">
            <v>16712</v>
          </cell>
          <cell r="BL245">
            <v>0</v>
          </cell>
          <cell r="BM245">
            <v>0</v>
          </cell>
          <cell r="BN245">
            <v>0</v>
          </cell>
          <cell r="BO245">
            <v>24321</v>
          </cell>
          <cell r="BP245">
            <v>0</v>
          </cell>
          <cell r="BQ245">
            <v>0</v>
          </cell>
          <cell r="BR245">
            <v>0</v>
          </cell>
          <cell r="BS245">
            <v>0</v>
          </cell>
          <cell r="BT245">
            <v>26756</v>
          </cell>
          <cell r="BY245">
            <v>0</v>
          </cell>
          <cell r="BZ245">
            <v>0</v>
          </cell>
          <cell r="CA245">
            <v>0</v>
          </cell>
          <cell r="CB245">
            <v>0</v>
          </cell>
          <cell r="CC245">
            <v>1216806</v>
          </cell>
          <cell r="CD245">
            <v>5929358</v>
          </cell>
          <cell r="CE245">
            <v>231744</v>
          </cell>
          <cell r="CF245">
            <v>0</v>
          </cell>
          <cell r="CG245">
            <v>231744</v>
          </cell>
          <cell r="CH245">
            <v>231744</v>
          </cell>
          <cell r="CI245">
            <v>231744</v>
          </cell>
          <cell r="CJ245">
            <v>231744</v>
          </cell>
          <cell r="CK245">
            <v>0</v>
          </cell>
          <cell r="CL245">
            <v>0</v>
          </cell>
          <cell r="CM245">
            <v>0</v>
          </cell>
          <cell r="CN245">
            <v>0</v>
          </cell>
          <cell r="CO245">
            <v>0</v>
          </cell>
          <cell r="CP245">
            <v>-825</v>
          </cell>
          <cell r="CQ245">
            <v>960100</v>
          </cell>
          <cell r="CR245">
            <v>940614</v>
          </cell>
          <cell r="CS245">
            <v>922671</v>
          </cell>
          <cell r="CT245">
            <v>927249</v>
          </cell>
          <cell r="CU245">
            <v>923092</v>
          </cell>
          <cell r="CV245">
            <v>71751</v>
          </cell>
          <cell r="CW245">
            <v>0</v>
          </cell>
          <cell r="CX245">
            <v>0</v>
          </cell>
          <cell r="CY245">
            <v>0</v>
          </cell>
          <cell r="CZ245">
            <v>0</v>
          </cell>
          <cell r="DA245">
            <v>0</v>
          </cell>
          <cell r="DC245">
            <v>0</v>
          </cell>
          <cell r="DD245">
            <v>0</v>
          </cell>
          <cell r="DE245">
            <v>0</v>
          </cell>
          <cell r="DF245">
            <v>0</v>
          </cell>
          <cell r="DG245">
            <v>0</v>
          </cell>
          <cell r="DH245">
            <v>0</v>
          </cell>
          <cell r="DI245">
            <v>0</v>
          </cell>
          <cell r="DJ245">
            <v>0</v>
          </cell>
          <cell r="DK245">
            <v>0</v>
          </cell>
          <cell r="DL245">
            <v>0</v>
          </cell>
        </row>
        <row r="246">
          <cell r="A246">
            <v>579</v>
          </cell>
          <cell r="B246" t="str">
            <v>Oegstgeest</v>
          </cell>
          <cell r="C246">
            <v>8</v>
          </cell>
          <cell r="D246">
            <v>-17273</v>
          </cell>
          <cell r="E246">
            <v>-8636</v>
          </cell>
          <cell r="F246">
            <v>0</v>
          </cell>
          <cell r="G246">
            <v>0</v>
          </cell>
          <cell r="H246">
            <v>124660</v>
          </cell>
          <cell r="I246">
            <v>78666</v>
          </cell>
          <cell r="K246">
            <v>0</v>
          </cell>
          <cell r="L246">
            <v>60444</v>
          </cell>
          <cell r="M246">
            <v>48995</v>
          </cell>
          <cell r="N246">
            <v>0</v>
          </cell>
          <cell r="O246">
            <v>0</v>
          </cell>
          <cell r="P246">
            <v>0</v>
          </cell>
          <cell r="Q246">
            <v>0</v>
          </cell>
          <cell r="R246">
            <v>0</v>
          </cell>
          <cell r="S246">
            <v>0</v>
          </cell>
          <cell r="T246">
            <v>0</v>
          </cell>
          <cell r="U246">
            <v>0</v>
          </cell>
          <cell r="V246">
            <v>0</v>
          </cell>
          <cell r="W246">
            <v>0</v>
          </cell>
          <cell r="X246">
            <v>0</v>
          </cell>
          <cell r="Z246">
            <v>0</v>
          </cell>
          <cell r="AA246">
            <v>0</v>
          </cell>
          <cell r="AB246">
            <v>0</v>
          </cell>
          <cell r="AD246">
            <v>0</v>
          </cell>
          <cell r="AE246">
            <v>0</v>
          </cell>
          <cell r="AF246">
            <v>0</v>
          </cell>
          <cell r="AG246">
            <v>0</v>
          </cell>
          <cell r="AH246">
            <v>0</v>
          </cell>
          <cell r="AI246">
            <v>0</v>
          </cell>
          <cell r="AJ246">
            <v>0</v>
          </cell>
          <cell r="AK246">
            <v>0</v>
          </cell>
          <cell r="AM246">
            <v>0</v>
          </cell>
          <cell r="AN246">
            <v>0</v>
          </cell>
          <cell r="AO246">
            <v>0</v>
          </cell>
          <cell r="AP246">
            <v>0</v>
          </cell>
          <cell r="AQ246">
            <v>0</v>
          </cell>
          <cell r="AR246">
            <v>0</v>
          </cell>
          <cell r="AS246">
            <v>0</v>
          </cell>
          <cell r="AT246">
            <v>0</v>
          </cell>
          <cell r="AU246">
            <v>0</v>
          </cell>
          <cell r="AV246">
            <v>0</v>
          </cell>
          <cell r="AW246">
            <v>0</v>
          </cell>
          <cell r="AX246">
            <v>0</v>
          </cell>
          <cell r="BA246">
            <v>0</v>
          </cell>
          <cell r="BC246">
            <v>0</v>
          </cell>
          <cell r="BD246">
            <v>8287</v>
          </cell>
          <cell r="BF246">
            <v>0</v>
          </cell>
          <cell r="BG246">
            <v>0</v>
          </cell>
          <cell r="BH246">
            <v>0</v>
          </cell>
          <cell r="BI246">
            <v>18455</v>
          </cell>
          <cell r="BJ246">
            <v>15191</v>
          </cell>
          <cell r="BK246">
            <v>15191</v>
          </cell>
          <cell r="BL246">
            <v>0</v>
          </cell>
          <cell r="BM246">
            <v>0</v>
          </cell>
          <cell r="BN246">
            <v>0</v>
          </cell>
          <cell r="BO246">
            <v>10215</v>
          </cell>
          <cell r="BP246">
            <v>3162.8</v>
          </cell>
          <cell r="BQ246">
            <v>5697.6744186046499</v>
          </cell>
          <cell r="BR246">
            <v>0</v>
          </cell>
          <cell r="BS246">
            <v>0</v>
          </cell>
          <cell r="BT246">
            <v>33824</v>
          </cell>
          <cell r="BY246">
            <v>0</v>
          </cell>
          <cell r="BZ246">
            <v>0</v>
          </cell>
          <cell r="CA246">
            <v>0</v>
          </cell>
          <cell r="CB246">
            <v>0</v>
          </cell>
          <cell r="CC246">
            <v>1258269</v>
          </cell>
          <cell r="CD246">
            <v>6389468</v>
          </cell>
          <cell r="CE246">
            <v>306101</v>
          </cell>
          <cell r="CF246">
            <v>0</v>
          </cell>
          <cell r="CG246">
            <v>306101</v>
          </cell>
          <cell r="CH246">
            <v>306101</v>
          </cell>
          <cell r="CI246">
            <v>306101</v>
          </cell>
          <cell r="CJ246">
            <v>306101</v>
          </cell>
          <cell r="CK246">
            <v>0</v>
          </cell>
          <cell r="CL246">
            <v>0</v>
          </cell>
          <cell r="CM246">
            <v>0</v>
          </cell>
          <cell r="CN246">
            <v>0</v>
          </cell>
          <cell r="CO246">
            <v>0</v>
          </cell>
          <cell r="CP246">
            <v>0</v>
          </cell>
          <cell r="CQ246">
            <v>686564</v>
          </cell>
          <cell r="CR246">
            <v>657859</v>
          </cell>
          <cell r="CS246">
            <v>643755</v>
          </cell>
          <cell r="CT246">
            <v>638046</v>
          </cell>
          <cell r="CU246">
            <v>626638</v>
          </cell>
          <cell r="CV246">
            <v>-13967</v>
          </cell>
          <cell r="CW246">
            <v>0</v>
          </cell>
          <cell r="CX246">
            <v>0</v>
          </cell>
          <cell r="CY246">
            <v>0</v>
          </cell>
          <cell r="CZ246">
            <v>0</v>
          </cell>
          <cell r="DA246">
            <v>0</v>
          </cell>
          <cell r="DC246">
            <v>0</v>
          </cell>
          <cell r="DD246">
            <v>0</v>
          </cell>
          <cell r="DE246">
            <v>0</v>
          </cell>
          <cell r="DF246">
            <v>0</v>
          </cell>
          <cell r="DG246">
            <v>0</v>
          </cell>
          <cell r="DH246">
            <v>0</v>
          </cell>
          <cell r="DI246">
            <v>0</v>
          </cell>
          <cell r="DJ246">
            <v>0</v>
          </cell>
          <cell r="DK246">
            <v>0</v>
          </cell>
          <cell r="DL246">
            <v>0</v>
          </cell>
        </row>
        <row r="247">
          <cell r="A247">
            <v>584</v>
          </cell>
          <cell r="B247" t="str">
            <v>Oud-Beijerland</v>
          </cell>
          <cell r="C247">
            <v>8</v>
          </cell>
          <cell r="D247">
            <v>56452</v>
          </cell>
          <cell r="E247">
            <v>28226</v>
          </cell>
          <cell r="F247">
            <v>0</v>
          </cell>
          <cell r="G247">
            <v>0</v>
          </cell>
          <cell r="H247">
            <v>-2863</v>
          </cell>
          <cell r="I247">
            <v>-11141</v>
          </cell>
          <cell r="K247">
            <v>0</v>
          </cell>
          <cell r="L247">
            <v>71029</v>
          </cell>
          <cell r="M247">
            <v>57066</v>
          </cell>
          <cell r="N247">
            <v>0</v>
          </cell>
          <cell r="O247">
            <v>0</v>
          </cell>
          <cell r="P247">
            <v>0</v>
          </cell>
          <cell r="Q247">
            <v>0</v>
          </cell>
          <cell r="R247">
            <v>0</v>
          </cell>
          <cell r="S247">
            <v>0</v>
          </cell>
          <cell r="T247">
            <v>0</v>
          </cell>
          <cell r="U247">
            <v>0</v>
          </cell>
          <cell r="V247">
            <v>3000</v>
          </cell>
          <cell r="W247">
            <v>92331</v>
          </cell>
          <cell r="X247">
            <v>0</v>
          </cell>
          <cell r="Z247">
            <v>0</v>
          </cell>
          <cell r="AA247">
            <v>0</v>
          </cell>
          <cell r="AB247">
            <v>0</v>
          </cell>
          <cell r="AD247">
            <v>0</v>
          </cell>
          <cell r="AE247">
            <v>0</v>
          </cell>
          <cell r="AF247">
            <v>0</v>
          </cell>
          <cell r="AG247">
            <v>0</v>
          </cell>
          <cell r="AH247">
            <v>0</v>
          </cell>
          <cell r="AI247">
            <v>0</v>
          </cell>
          <cell r="AJ247">
            <v>0</v>
          </cell>
          <cell r="AK247">
            <v>0</v>
          </cell>
          <cell r="AM247">
            <v>14244</v>
          </cell>
          <cell r="AN247">
            <v>14572</v>
          </cell>
          <cell r="AO247">
            <v>14907</v>
          </cell>
          <cell r="AP247">
            <v>15250</v>
          </cell>
          <cell r="AQ247">
            <v>15601</v>
          </cell>
          <cell r="AR247">
            <v>15959</v>
          </cell>
          <cell r="AS247">
            <v>0</v>
          </cell>
          <cell r="AT247">
            <v>0</v>
          </cell>
          <cell r="AU247">
            <v>0</v>
          </cell>
          <cell r="AV247">
            <v>0</v>
          </cell>
          <cell r="AW247">
            <v>0</v>
          </cell>
          <cell r="AX247">
            <v>0</v>
          </cell>
          <cell r="BA247">
            <v>0</v>
          </cell>
          <cell r="BC247">
            <v>0</v>
          </cell>
          <cell r="BD247">
            <v>42133</v>
          </cell>
          <cell r="BF247">
            <v>0</v>
          </cell>
          <cell r="BG247">
            <v>0</v>
          </cell>
          <cell r="BH247">
            <v>0</v>
          </cell>
          <cell r="BI247">
            <v>24688</v>
          </cell>
          <cell r="BJ247">
            <v>20322</v>
          </cell>
          <cell r="BK247">
            <v>20322</v>
          </cell>
          <cell r="BL247">
            <v>0</v>
          </cell>
          <cell r="BM247">
            <v>0</v>
          </cell>
          <cell r="BN247">
            <v>0</v>
          </cell>
          <cell r="BO247">
            <v>22376</v>
          </cell>
          <cell r="BP247">
            <v>0</v>
          </cell>
          <cell r="BQ247">
            <v>0</v>
          </cell>
          <cell r="BR247">
            <v>0</v>
          </cell>
          <cell r="BS247">
            <v>0</v>
          </cell>
          <cell r="BT247">
            <v>35471</v>
          </cell>
          <cell r="BY247">
            <v>0</v>
          </cell>
          <cell r="BZ247">
            <v>0</v>
          </cell>
          <cell r="CA247">
            <v>0</v>
          </cell>
          <cell r="CB247">
            <v>0</v>
          </cell>
          <cell r="CC247">
            <v>1735313</v>
          </cell>
          <cell r="CD247">
            <v>8770013</v>
          </cell>
          <cell r="CE247">
            <v>566822</v>
          </cell>
          <cell r="CF247">
            <v>0</v>
          </cell>
          <cell r="CG247">
            <v>566822</v>
          </cell>
          <cell r="CH247">
            <v>566822</v>
          </cell>
          <cell r="CI247">
            <v>566822</v>
          </cell>
          <cell r="CJ247">
            <v>566822</v>
          </cell>
          <cell r="CK247">
            <v>0</v>
          </cell>
          <cell r="CL247">
            <v>0</v>
          </cell>
          <cell r="CM247">
            <v>0</v>
          </cell>
          <cell r="CN247">
            <v>0</v>
          </cell>
          <cell r="CO247">
            <v>0</v>
          </cell>
          <cell r="CP247">
            <v>-4027</v>
          </cell>
          <cell r="CQ247">
            <v>1475446</v>
          </cell>
          <cell r="CR247">
            <v>1439004</v>
          </cell>
          <cell r="CS247">
            <v>1439485</v>
          </cell>
          <cell r="CT247">
            <v>1445053</v>
          </cell>
          <cell r="CU247">
            <v>1449034</v>
          </cell>
          <cell r="CV247">
            <v>63338</v>
          </cell>
          <cell r="CW247">
            <v>0</v>
          </cell>
          <cell r="CX247">
            <v>0</v>
          </cell>
          <cell r="CY247">
            <v>0</v>
          </cell>
          <cell r="CZ247">
            <v>0</v>
          </cell>
          <cell r="DA247">
            <v>0</v>
          </cell>
          <cell r="DC247">
            <v>0</v>
          </cell>
          <cell r="DD247">
            <v>0</v>
          </cell>
          <cell r="DE247">
            <v>0</v>
          </cell>
          <cell r="DF247">
            <v>0</v>
          </cell>
          <cell r="DG247">
            <v>0</v>
          </cell>
          <cell r="DH247">
            <v>0</v>
          </cell>
          <cell r="DI247">
            <v>0</v>
          </cell>
          <cell r="DJ247">
            <v>0</v>
          </cell>
          <cell r="DK247">
            <v>0</v>
          </cell>
          <cell r="DL247">
            <v>0</v>
          </cell>
        </row>
        <row r="248">
          <cell r="A248">
            <v>590</v>
          </cell>
          <cell r="B248" t="str">
            <v>Papendrecht</v>
          </cell>
          <cell r="C248">
            <v>8</v>
          </cell>
          <cell r="D248">
            <v>-4702</v>
          </cell>
          <cell r="E248">
            <v>-2351</v>
          </cell>
          <cell r="F248">
            <v>0</v>
          </cell>
          <cell r="G248">
            <v>0</v>
          </cell>
          <cell r="H248">
            <v>0</v>
          </cell>
          <cell r="I248">
            <v>-11183</v>
          </cell>
          <cell r="K248">
            <v>0</v>
          </cell>
          <cell r="L248">
            <v>122122</v>
          </cell>
          <cell r="M248">
            <v>120989</v>
          </cell>
          <cell r="N248">
            <v>0</v>
          </cell>
          <cell r="O248">
            <v>0</v>
          </cell>
          <cell r="P248">
            <v>0</v>
          </cell>
          <cell r="Q248">
            <v>0</v>
          </cell>
          <cell r="R248">
            <v>0</v>
          </cell>
          <cell r="S248">
            <v>0</v>
          </cell>
          <cell r="T248">
            <v>0</v>
          </cell>
          <cell r="U248">
            <v>0</v>
          </cell>
          <cell r="V248">
            <v>0</v>
          </cell>
          <cell r="W248">
            <v>0</v>
          </cell>
          <cell r="X248">
            <v>0</v>
          </cell>
          <cell r="Z248">
            <v>0</v>
          </cell>
          <cell r="AA248">
            <v>0</v>
          </cell>
          <cell r="AB248">
            <v>0</v>
          </cell>
          <cell r="AD248">
            <v>0</v>
          </cell>
          <cell r="AE248">
            <v>0</v>
          </cell>
          <cell r="AF248">
            <v>0</v>
          </cell>
          <cell r="AG248">
            <v>0</v>
          </cell>
          <cell r="AH248">
            <v>0</v>
          </cell>
          <cell r="AI248">
            <v>0</v>
          </cell>
          <cell r="AJ248">
            <v>0</v>
          </cell>
          <cell r="AK248">
            <v>0</v>
          </cell>
          <cell r="AM248">
            <v>2235</v>
          </cell>
          <cell r="AN248">
            <v>2286</v>
          </cell>
          <cell r="AO248">
            <v>2339</v>
          </cell>
          <cell r="AP248">
            <v>2393</v>
          </cell>
          <cell r="AQ248">
            <v>2448</v>
          </cell>
          <cell r="AR248">
            <v>2504</v>
          </cell>
          <cell r="AS248">
            <v>0</v>
          </cell>
          <cell r="AT248">
            <v>0</v>
          </cell>
          <cell r="AU248">
            <v>0</v>
          </cell>
          <cell r="AV248">
            <v>0</v>
          </cell>
          <cell r="AW248">
            <v>0</v>
          </cell>
          <cell r="AX248">
            <v>0</v>
          </cell>
          <cell r="BA248">
            <v>0</v>
          </cell>
          <cell r="BC248">
            <v>0</v>
          </cell>
          <cell r="BD248">
            <v>11336</v>
          </cell>
          <cell r="BF248">
            <v>0</v>
          </cell>
          <cell r="BG248">
            <v>0</v>
          </cell>
          <cell r="BH248">
            <v>0</v>
          </cell>
          <cell r="BI248">
            <v>37586</v>
          </cell>
          <cell r="BJ248">
            <v>30939</v>
          </cell>
          <cell r="BK248">
            <v>30939</v>
          </cell>
          <cell r="BL248">
            <v>0</v>
          </cell>
          <cell r="BM248">
            <v>0</v>
          </cell>
          <cell r="BN248">
            <v>0</v>
          </cell>
          <cell r="BO248">
            <v>177060</v>
          </cell>
          <cell r="BP248">
            <v>6325.6</v>
          </cell>
          <cell r="BQ248">
            <v>11395.3488372093</v>
          </cell>
          <cell r="BR248">
            <v>0</v>
          </cell>
          <cell r="BS248">
            <v>0</v>
          </cell>
          <cell r="BT248">
            <v>47470</v>
          </cell>
          <cell r="BY248">
            <v>0</v>
          </cell>
          <cell r="BZ248">
            <v>0</v>
          </cell>
          <cell r="CA248">
            <v>0</v>
          </cell>
          <cell r="CB248">
            <v>0</v>
          </cell>
          <cell r="CC248">
            <v>2481494</v>
          </cell>
          <cell r="CD248">
            <v>12575689</v>
          </cell>
          <cell r="CE248">
            <v>758696</v>
          </cell>
          <cell r="CF248">
            <v>0</v>
          </cell>
          <cell r="CG248">
            <v>758696</v>
          </cell>
          <cell r="CH248">
            <v>758696</v>
          </cell>
          <cell r="CI248">
            <v>758696</v>
          </cell>
          <cell r="CJ248">
            <v>758696</v>
          </cell>
          <cell r="CK248">
            <v>0</v>
          </cell>
          <cell r="CL248">
            <v>0</v>
          </cell>
          <cell r="CM248">
            <v>0</v>
          </cell>
          <cell r="CN248">
            <v>0</v>
          </cell>
          <cell r="CO248">
            <v>0</v>
          </cell>
          <cell r="CP248">
            <v>-4031</v>
          </cell>
          <cell r="CQ248">
            <v>1992092</v>
          </cell>
          <cell r="CR248">
            <v>1903440</v>
          </cell>
          <cell r="CS248">
            <v>1854259</v>
          </cell>
          <cell r="CT248">
            <v>1814291</v>
          </cell>
          <cell r="CU248">
            <v>1776156</v>
          </cell>
          <cell r="CV248">
            <v>46061</v>
          </cell>
          <cell r="CW248">
            <v>0</v>
          </cell>
          <cell r="CX248">
            <v>0</v>
          </cell>
          <cell r="CY248">
            <v>0</v>
          </cell>
          <cell r="CZ248">
            <v>0</v>
          </cell>
          <cell r="DA248">
            <v>0</v>
          </cell>
          <cell r="DC248">
            <v>0</v>
          </cell>
          <cell r="DD248">
            <v>0</v>
          </cell>
          <cell r="DE248">
            <v>0</v>
          </cell>
          <cell r="DF248">
            <v>0</v>
          </cell>
          <cell r="DG248">
            <v>0</v>
          </cell>
          <cell r="DH248">
            <v>0</v>
          </cell>
          <cell r="DI248">
            <v>0</v>
          </cell>
          <cell r="DJ248">
            <v>0</v>
          </cell>
          <cell r="DK248">
            <v>0</v>
          </cell>
          <cell r="DL248">
            <v>0</v>
          </cell>
        </row>
        <row r="249">
          <cell r="A249">
            <v>1926</v>
          </cell>
          <cell r="B249" t="str">
            <v>Pijnacker-Nootdorp</v>
          </cell>
          <cell r="C249">
            <v>8</v>
          </cell>
          <cell r="D249">
            <v>13598</v>
          </cell>
          <cell r="E249">
            <v>6799</v>
          </cell>
          <cell r="F249">
            <v>0</v>
          </cell>
          <cell r="G249">
            <v>0</v>
          </cell>
          <cell r="H249">
            <v>-63988</v>
          </cell>
          <cell r="I249">
            <v>-73935</v>
          </cell>
          <cell r="K249">
            <v>0</v>
          </cell>
          <cell r="L249">
            <v>188814</v>
          </cell>
          <cell r="M249">
            <v>170222</v>
          </cell>
          <cell r="N249">
            <v>0</v>
          </cell>
          <cell r="O249">
            <v>0</v>
          </cell>
          <cell r="P249">
            <v>0</v>
          </cell>
          <cell r="Q249">
            <v>0</v>
          </cell>
          <cell r="R249">
            <v>0</v>
          </cell>
          <cell r="S249">
            <v>0</v>
          </cell>
          <cell r="T249">
            <v>0</v>
          </cell>
          <cell r="U249">
            <v>0</v>
          </cell>
          <cell r="V249">
            <v>0</v>
          </cell>
          <cell r="W249">
            <v>192338</v>
          </cell>
          <cell r="X249">
            <v>0</v>
          </cell>
          <cell r="Z249">
            <v>0</v>
          </cell>
          <cell r="AA249">
            <v>0</v>
          </cell>
          <cell r="AB249">
            <v>0</v>
          </cell>
          <cell r="AD249">
            <v>0</v>
          </cell>
          <cell r="AE249">
            <v>0</v>
          </cell>
          <cell r="AF249">
            <v>0</v>
          </cell>
          <cell r="AG249">
            <v>0</v>
          </cell>
          <cell r="AH249">
            <v>0</v>
          </cell>
          <cell r="AI249">
            <v>0</v>
          </cell>
          <cell r="AJ249">
            <v>0</v>
          </cell>
          <cell r="AK249">
            <v>0</v>
          </cell>
          <cell r="AM249">
            <v>0</v>
          </cell>
          <cell r="AN249">
            <v>0</v>
          </cell>
          <cell r="AO249">
            <v>0</v>
          </cell>
          <cell r="AP249">
            <v>0</v>
          </cell>
          <cell r="AQ249">
            <v>0</v>
          </cell>
          <cell r="AR249">
            <v>0</v>
          </cell>
          <cell r="AS249">
            <v>0</v>
          </cell>
          <cell r="AT249">
            <v>0</v>
          </cell>
          <cell r="AU249">
            <v>4740</v>
          </cell>
          <cell r="AV249">
            <v>0</v>
          </cell>
          <cell r="AW249">
            <v>0</v>
          </cell>
          <cell r="AX249">
            <v>0</v>
          </cell>
          <cell r="BA249">
            <v>0</v>
          </cell>
          <cell r="BC249">
            <v>0</v>
          </cell>
          <cell r="BD249">
            <v>18484</v>
          </cell>
          <cell r="BF249">
            <v>0</v>
          </cell>
          <cell r="BG249">
            <v>0</v>
          </cell>
          <cell r="BH249">
            <v>0</v>
          </cell>
          <cell r="BI249">
            <v>31650</v>
          </cell>
          <cell r="BJ249">
            <v>26053</v>
          </cell>
          <cell r="BK249">
            <v>26053</v>
          </cell>
          <cell r="BL249">
            <v>0</v>
          </cell>
          <cell r="BM249">
            <v>13164</v>
          </cell>
          <cell r="BN249">
            <v>0</v>
          </cell>
          <cell r="BO249">
            <v>31131</v>
          </cell>
          <cell r="BP249">
            <v>20558.2</v>
          </cell>
          <cell r="BQ249">
            <v>37034.8837209302</v>
          </cell>
          <cell r="BR249">
            <v>0</v>
          </cell>
          <cell r="BS249">
            <v>0</v>
          </cell>
          <cell r="BT249">
            <v>90833</v>
          </cell>
          <cell r="BY249">
            <v>0</v>
          </cell>
          <cell r="BZ249">
            <v>0</v>
          </cell>
          <cell r="CA249">
            <v>0</v>
          </cell>
          <cell r="CB249">
            <v>0</v>
          </cell>
          <cell r="CC249">
            <v>2498202</v>
          </cell>
          <cell r="CD249">
            <v>14613022</v>
          </cell>
          <cell r="CE249">
            <v>1523518</v>
          </cell>
          <cell r="CF249">
            <v>-150546</v>
          </cell>
          <cell r="CG249">
            <v>1523518</v>
          </cell>
          <cell r="CH249">
            <v>1523518</v>
          </cell>
          <cell r="CI249">
            <v>1523518</v>
          </cell>
          <cell r="CJ249">
            <v>1523518</v>
          </cell>
          <cell r="CK249">
            <v>0</v>
          </cell>
          <cell r="CL249">
            <v>0</v>
          </cell>
          <cell r="CM249">
            <v>0</v>
          </cell>
          <cell r="CN249">
            <v>0</v>
          </cell>
          <cell r="CO249">
            <v>0</v>
          </cell>
          <cell r="CP249">
            <v>-4148</v>
          </cell>
          <cell r="CQ249">
            <v>224376</v>
          </cell>
          <cell r="CR249">
            <v>248659</v>
          </cell>
          <cell r="CS249">
            <v>257149</v>
          </cell>
          <cell r="CT249">
            <v>279318</v>
          </cell>
          <cell r="CU249">
            <v>301378</v>
          </cell>
          <cell r="CV249">
            <v>84100</v>
          </cell>
          <cell r="CW249">
            <v>0</v>
          </cell>
          <cell r="CX249">
            <v>0</v>
          </cell>
          <cell r="CY249">
            <v>0</v>
          </cell>
          <cell r="CZ249">
            <v>0</v>
          </cell>
          <cell r="DA249">
            <v>0</v>
          </cell>
          <cell r="DC249">
            <v>0</v>
          </cell>
          <cell r="DD249">
            <v>0</v>
          </cell>
          <cell r="DE249">
            <v>0</v>
          </cell>
          <cell r="DF249">
            <v>0</v>
          </cell>
          <cell r="DG249">
            <v>0</v>
          </cell>
          <cell r="DH249">
            <v>0</v>
          </cell>
          <cell r="DI249">
            <v>0</v>
          </cell>
          <cell r="DJ249">
            <v>0</v>
          </cell>
          <cell r="DK249">
            <v>0</v>
          </cell>
          <cell r="DL249">
            <v>0</v>
          </cell>
        </row>
        <row r="250">
          <cell r="A250">
            <v>597</v>
          </cell>
          <cell r="B250" t="str">
            <v>Ridderkerk</v>
          </cell>
          <cell r="C250">
            <v>8</v>
          </cell>
          <cell r="D250">
            <v>-2425</v>
          </cell>
          <cell r="E250">
            <v>-1212</v>
          </cell>
          <cell r="F250">
            <v>0</v>
          </cell>
          <cell r="G250">
            <v>462277</v>
          </cell>
          <cell r="H250">
            <v>-45831</v>
          </cell>
          <cell r="I250">
            <v>-52331</v>
          </cell>
          <cell r="K250">
            <v>0</v>
          </cell>
          <cell r="L250">
            <v>172261</v>
          </cell>
          <cell r="M250">
            <v>163152</v>
          </cell>
          <cell r="N250">
            <v>3400</v>
          </cell>
          <cell r="O250">
            <v>1700</v>
          </cell>
          <cell r="P250">
            <v>0</v>
          </cell>
          <cell r="Q250">
            <v>0</v>
          </cell>
          <cell r="R250">
            <v>0</v>
          </cell>
          <cell r="S250">
            <v>0</v>
          </cell>
          <cell r="T250">
            <v>0</v>
          </cell>
          <cell r="U250">
            <v>0</v>
          </cell>
          <cell r="V250">
            <v>3000</v>
          </cell>
          <cell r="W250">
            <v>153364</v>
          </cell>
          <cell r="X250">
            <v>0</v>
          </cell>
          <cell r="Z250">
            <v>0</v>
          </cell>
          <cell r="AA250">
            <v>0</v>
          </cell>
          <cell r="AB250">
            <v>0</v>
          </cell>
          <cell r="AD250">
            <v>28356</v>
          </cell>
          <cell r="AE250">
            <v>0</v>
          </cell>
          <cell r="AF250">
            <v>0</v>
          </cell>
          <cell r="AG250">
            <v>0</v>
          </cell>
          <cell r="AH250">
            <v>0</v>
          </cell>
          <cell r="AI250">
            <v>0</v>
          </cell>
          <cell r="AJ250">
            <v>0</v>
          </cell>
          <cell r="AK250">
            <v>0</v>
          </cell>
          <cell r="AM250">
            <v>17509</v>
          </cell>
          <cell r="AN250">
            <v>17911</v>
          </cell>
          <cell r="AO250">
            <v>18323</v>
          </cell>
          <cell r="AP250">
            <v>18745</v>
          </cell>
          <cell r="AQ250">
            <v>19176</v>
          </cell>
          <cell r="AR250">
            <v>19617</v>
          </cell>
          <cell r="AS250">
            <v>0</v>
          </cell>
          <cell r="AT250">
            <v>0</v>
          </cell>
          <cell r="AU250">
            <v>4740</v>
          </cell>
          <cell r="AV250">
            <v>0</v>
          </cell>
          <cell r="AW250">
            <v>0</v>
          </cell>
          <cell r="AX250">
            <v>0</v>
          </cell>
          <cell r="BA250">
            <v>0</v>
          </cell>
          <cell r="BC250">
            <v>0</v>
          </cell>
          <cell r="BD250">
            <v>15940</v>
          </cell>
          <cell r="BF250">
            <v>0</v>
          </cell>
          <cell r="BG250">
            <v>0</v>
          </cell>
          <cell r="BH250">
            <v>0</v>
          </cell>
          <cell r="BI250">
            <v>74218</v>
          </cell>
          <cell r="BJ250">
            <v>61092</v>
          </cell>
          <cell r="BK250">
            <v>61092</v>
          </cell>
          <cell r="BL250">
            <v>0</v>
          </cell>
          <cell r="BM250">
            <v>0</v>
          </cell>
          <cell r="BN250">
            <v>0</v>
          </cell>
          <cell r="BO250">
            <v>28213</v>
          </cell>
          <cell r="BP250">
            <v>25302.400000000001</v>
          </cell>
          <cell r="BQ250">
            <v>45581.395348837199</v>
          </cell>
          <cell r="BR250">
            <v>0</v>
          </cell>
          <cell r="BS250">
            <v>0</v>
          </cell>
          <cell r="BT250">
            <v>60019</v>
          </cell>
          <cell r="BY250">
            <v>0</v>
          </cell>
          <cell r="BZ250">
            <v>0</v>
          </cell>
          <cell r="CA250">
            <v>0</v>
          </cell>
          <cell r="CB250">
            <v>0</v>
          </cell>
          <cell r="CC250">
            <v>4396629</v>
          </cell>
          <cell r="CD250">
            <v>14195370</v>
          </cell>
          <cell r="CE250">
            <v>1043797</v>
          </cell>
          <cell r="CF250">
            <v>-41850</v>
          </cell>
          <cell r="CG250">
            <v>1043797</v>
          </cell>
          <cell r="CH250">
            <v>1043797</v>
          </cell>
          <cell r="CI250">
            <v>1043797</v>
          </cell>
          <cell r="CJ250">
            <v>1043797</v>
          </cell>
          <cell r="CK250">
            <v>0</v>
          </cell>
          <cell r="CL250">
            <v>0</v>
          </cell>
          <cell r="CM250">
            <v>0</v>
          </cell>
          <cell r="CN250">
            <v>0</v>
          </cell>
          <cell r="CO250">
            <v>0</v>
          </cell>
          <cell r="CP250">
            <v>-12696</v>
          </cell>
          <cell r="CQ250">
            <v>260282</v>
          </cell>
          <cell r="CR250">
            <v>288066</v>
          </cell>
          <cell r="CS250">
            <v>298000</v>
          </cell>
          <cell r="CT250">
            <v>323395</v>
          </cell>
          <cell r="CU250">
            <v>348661</v>
          </cell>
          <cell r="CV250">
            <v>-32835</v>
          </cell>
          <cell r="CW250">
            <v>0</v>
          </cell>
          <cell r="CX250">
            <v>0</v>
          </cell>
          <cell r="CY250">
            <v>0</v>
          </cell>
          <cell r="CZ250">
            <v>0</v>
          </cell>
          <cell r="DA250">
            <v>0</v>
          </cell>
          <cell r="DC250">
            <v>0</v>
          </cell>
          <cell r="DD250">
            <v>0</v>
          </cell>
          <cell r="DE250">
            <v>0</v>
          </cell>
          <cell r="DF250">
            <v>0</v>
          </cell>
          <cell r="DG250">
            <v>0</v>
          </cell>
          <cell r="DH250">
            <v>0</v>
          </cell>
          <cell r="DI250">
            <v>0</v>
          </cell>
          <cell r="DJ250">
            <v>0</v>
          </cell>
          <cell r="DK250">
            <v>0</v>
          </cell>
          <cell r="DL250">
            <v>0</v>
          </cell>
        </row>
        <row r="251">
          <cell r="A251">
            <v>603</v>
          </cell>
          <cell r="B251" t="str">
            <v>Rijswijk</v>
          </cell>
          <cell r="C251">
            <v>8</v>
          </cell>
          <cell r="D251">
            <v>25712</v>
          </cell>
          <cell r="E251">
            <v>12856</v>
          </cell>
          <cell r="F251">
            <v>0</v>
          </cell>
          <cell r="G251">
            <v>196531</v>
          </cell>
          <cell r="H251">
            <v>0</v>
          </cell>
          <cell r="I251">
            <v>0</v>
          </cell>
          <cell r="K251">
            <v>0</v>
          </cell>
          <cell r="L251">
            <v>270667</v>
          </cell>
          <cell r="M251">
            <v>274975</v>
          </cell>
          <cell r="N251">
            <v>11100</v>
          </cell>
          <cell r="O251">
            <v>5500</v>
          </cell>
          <cell r="P251">
            <v>0</v>
          </cell>
          <cell r="Q251">
            <v>0</v>
          </cell>
          <cell r="R251">
            <v>0</v>
          </cell>
          <cell r="S251">
            <v>0</v>
          </cell>
          <cell r="T251">
            <v>0</v>
          </cell>
          <cell r="U251">
            <v>0</v>
          </cell>
          <cell r="V251">
            <v>9000</v>
          </cell>
          <cell r="W251">
            <v>140730</v>
          </cell>
          <cell r="X251">
            <v>0</v>
          </cell>
          <cell r="Z251">
            <v>0</v>
          </cell>
          <cell r="AA251">
            <v>0</v>
          </cell>
          <cell r="AB251">
            <v>0</v>
          </cell>
          <cell r="AD251">
            <v>0</v>
          </cell>
          <cell r="AE251">
            <v>0</v>
          </cell>
          <cell r="AF251">
            <v>0</v>
          </cell>
          <cell r="AG251">
            <v>0</v>
          </cell>
          <cell r="AH251">
            <v>0</v>
          </cell>
          <cell r="AI251">
            <v>0</v>
          </cell>
          <cell r="AJ251">
            <v>0</v>
          </cell>
          <cell r="AK251">
            <v>0</v>
          </cell>
          <cell r="AM251">
            <v>0</v>
          </cell>
          <cell r="AN251">
            <v>0</v>
          </cell>
          <cell r="AO251">
            <v>0</v>
          </cell>
          <cell r="AP251">
            <v>0</v>
          </cell>
          <cell r="AQ251">
            <v>0</v>
          </cell>
          <cell r="AR251">
            <v>0</v>
          </cell>
          <cell r="AS251">
            <v>0</v>
          </cell>
          <cell r="AT251">
            <v>0</v>
          </cell>
          <cell r="AU251">
            <v>4740</v>
          </cell>
          <cell r="AV251">
            <v>0</v>
          </cell>
          <cell r="AW251">
            <v>0</v>
          </cell>
          <cell r="AX251">
            <v>0</v>
          </cell>
          <cell r="BA251">
            <v>0</v>
          </cell>
          <cell r="BC251">
            <v>0</v>
          </cell>
          <cell r="BD251">
            <v>17912</v>
          </cell>
          <cell r="BF251">
            <v>0</v>
          </cell>
          <cell r="BG251">
            <v>0</v>
          </cell>
          <cell r="BH251">
            <v>0</v>
          </cell>
          <cell r="BI251">
            <v>102919</v>
          </cell>
          <cell r="BJ251">
            <v>84718</v>
          </cell>
          <cell r="BK251">
            <v>84718</v>
          </cell>
          <cell r="BL251">
            <v>0</v>
          </cell>
          <cell r="BM251">
            <v>0</v>
          </cell>
          <cell r="BN251">
            <v>0</v>
          </cell>
          <cell r="BO251">
            <v>36969</v>
          </cell>
          <cell r="BP251">
            <v>6325.6</v>
          </cell>
          <cell r="BQ251">
            <v>11395.3488372093</v>
          </cell>
          <cell r="BR251">
            <v>0</v>
          </cell>
          <cell r="BS251">
            <v>0</v>
          </cell>
          <cell r="BT251">
            <v>71273</v>
          </cell>
          <cell r="BY251">
            <v>0</v>
          </cell>
          <cell r="BZ251">
            <v>0</v>
          </cell>
          <cell r="CA251">
            <v>0</v>
          </cell>
          <cell r="CB251">
            <v>0</v>
          </cell>
          <cell r="CC251">
            <v>5035809</v>
          </cell>
          <cell r="CD251">
            <v>20315020</v>
          </cell>
          <cell r="CE251">
            <v>1182325</v>
          </cell>
          <cell r="CF251">
            <v>0</v>
          </cell>
          <cell r="CG251">
            <v>1182325</v>
          </cell>
          <cell r="CH251">
            <v>1182325</v>
          </cell>
          <cell r="CI251">
            <v>1182325</v>
          </cell>
          <cell r="CJ251">
            <v>1182325</v>
          </cell>
          <cell r="CK251">
            <v>0</v>
          </cell>
          <cell r="CL251">
            <v>0</v>
          </cell>
          <cell r="CM251">
            <v>0</v>
          </cell>
          <cell r="CN251">
            <v>0</v>
          </cell>
          <cell r="CO251">
            <v>0</v>
          </cell>
          <cell r="CP251">
            <v>0</v>
          </cell>
          <cell r="CQ251">
            <v>2266409</v>
          </cell>
          <cell r="CR251">
            <v>2187009</v>
          </cell>
          <cell r="CS251">
            <v>2124882</v>
          </cell>
          <cell r="CT251">
            <v>2096316</v>
          </cell>
          <cell r="CU251">
            <v>2105015</v>
          </cell>
          <cell r="CV251">
            <v>35248</v>
          </cell>
          <cell r="CW251">
            <v>0</v>
          </cell>
          <cell r="CX251">
            <v>0</v>
          </cell>
          <cell r="CY251">
            <v>0</v>
          </cell>
          <cell r="CZ251">
            <v>0</v>
          </cell>
          <cell r="DA251">
            <v>0</v>
          </cell>
          <cell r="DC251">
            <v>0</v>
          </cell>
          <cell r="DD251">
            <v>0</v>
          </cell>
          <cell r="DE251">
            <v>0</v>
          </cell>
          <cell r="DF251">
            <v>0</v>
          </cell>
          <cell r="DG251">
            <v>0</v>
          </cell>
          <cell r="DH251">
            <v>0</v>
          </cell>
          <cell r="DI251">
            <v>0</v>
          </cell>
          <cell r="DJ251">
            <v>0</v>
          </cell>
          <cell r="DK251">
            <v>0</v>
          </cell>
          <cell r="DL251">
            <v>0</v>
          </cell>
        </row>
        <row r="252">
          <cell r="A252">
            <v>599</v>
          </cell>
          <cell r="B252" t="str">
            <v>Rotterdam</v>
          </cell>
          <cell r="C252">
            <v>8</v>
          </cell>
          <cell r="D252">
            <v>1647030</v>
          </cell>
          <cell r="E252">
            <v>823515</v>
          </cell>
          <cell r="F252">
            <v>0</v>
          </cell>
          <cell r="G252">
            <v>2113294</v>
          </cell>
          <cell r="H252">
            <v>-707280</v>
          </cell>
          <cell r="I252">
            <v>-417431</v>
          </cell>
          <cell r="K252">
            <v>0</v>
          </cell>
          <cell r="L252">
            <v>6167186</v>
          </cell>
          <cell r="M252">
            <v>6627528</v>
          </cell>
          <cell r="N252">
            <v>235300</v>
          </cell>
          <cell r="O252">
            <v>117500</v>
          </cell>
          <cell r="P252">
            <v>2111492</v>
          </cell>
          <cell r="Q252">
            <v>0</v>
          </cell>
          <cell r="R252">
            <v>0</v>
          </cell>
          <cell r="S252">
            <v>9259554</v>
          </cell>
          <cell r="T252">
            <v>9020433</v>
          </cell>
          <cell r="U252">
            <v>8980580</v>
          </cell>
          <cell r="V252">
            <v>75000</v>
          </cell>
          <cell r="W252">
            <v>2194528</v>
          </cell>
          <cell r="X252">
            <v>0</v>
          </cell>
          <cell r="Z252">
            <v>0</v>
          </cell>
          <cell r="AA252">
            <v>30000</v>
          </cell>
          <cell r="AB252">
            <v>0</v>
          </cell>
          <cell r="AD252">
            <v>1949733</v>
          </cell>
          <cell r="AE252">
            <v>0</v>
          </cell>
          <cell r="AF252">
            <v>0</v>
          </cell>
          <cell r="AG252">
            <v>0</v>
          </cell>
          <cell r="AH252">
            <v>0</v>
          </cell>
          <cell r="AI252">
            <v>0</v>
          </cell>
          <cell r="AJ252">
            <v>0</v>
          </cell>
          <cell r="AK252">
            <v>4407313</v>
          </cell>
          <cell r="AM252">
            <v>4372</v>
          </cell>
          <cell r="AN252">
            <v>4472</v>
          </cell>
          <cell r="AO252">
            <v>4575</v>
          </cell>
          <cell r="AP252">
            <v>4681</v>
          </cell>
          <cell r="AQ252">
            <v>4788</v>
          </cell>
          <cell r="AR252">
            <v>4898</v>
          </cell>
          <cell r="AS252">
            <v>0</v>
          </cell>
          <cell r="AT252">
            <v>50000</v>
          </cell>
          <cell r="AU252">
            <v>26070</v>
          </cell>
          <cell r="AV252">
            <v>43072377.8062758</v>
          </cell>
          <cell r="AW252">
            <v>237716</v>
          </cell>
          <cell r="AX252">
            <v>333333</v>
          </cell>
          <cell r="BA252">
            <v>0</v>
          </cell>
          <cell r="BC252">
            <v>0</v>
          </cell>
          <cell r="BD252">
            <v>222788</v>
          </cell>
          <cell r="BF252">
            <v>0</v>
          </cell>
          <cell r="BG252">
            <v>0</v>
          </cell>
          <cell r="BH252">
            <v>0</v>
          </cell>
          <cell r="BI252">
            <v>1535187</v>
          </cell>
          <cell r="BJ252">
            <v>1263687</v>
          </cell>
          <cell r="BK252">
            <v>1263687</v>
          </cell>
          <cell r="BL252">
            <v>0</v>
          </cell>
          <cell r="BM252">
            <v>158665</v>
          </cell>
          <cell r="BN252">
            <v>773850</v>
          </cell>
          <cell r="BO252">
            <v>2249243</v>
          </cell>
          <cell r="BP252">
            <v>254605.4</v>
          </cell>
          <cell r="BQ252">
            <v>458662.79069767398</v>
          </cell>
          <cell r="BR252">
            <v>644760</v>
          </cell>
          <cell r="BS252">
            <v>0</v>
          </cell>
          <cell r="BT252">
            <v>1416569</v>
          </cell>
          <cell r="BY252">
            <v>10758560.249068599</v>
          </cell>
          <cell r="BZ252">
            <v>12395945.472114099</v>
          </cell>
          <cell r="CA252">
            <v>12535822.601721</v>
          </cell>
          <cell r="CB252">
            <v>12930769.7911993</v>
          </cell>
          <cell r="CC252">
            <v>51963423</v>
          </cell>
          <cell r="CD252">
            <v>470009961</v>
          </cell>
          <cell r="CE252">
            <v>29968754</v>
          </cell>
          <cell r="CF252">
            <v>-1000745</v>
          </cell>
          <cell r="CG252">
            <v>29968754</v>
          </cell>
          <cell r="CH252">
            <v>29968754</v>
          </cell>
          <cell r="CI252">
            <v>29968754</v>
          </cell>
          <cell r="CJ252">
            <v>29968754</v>
          </cell>
          <cell r="CK252">
            <v>110162014</v>
          </cell>
          <cell r="CL252">
            <v>110106724</v>
          </cell>
          <cell r="CM252">
            <v>110105829</v>
          </cell>
          <cell r="CN252">
            <v>110103863</v>
          </cell>
          <cell r="CO252">
            <v>110106589</v>
          </cell>
          <cell r="CP252">
            <v>0</v>
          </cell>
          <cell r="CQ252">
            <v>53407895</v>
          </cell>
          <cell r="CR252">
            <v>50700144</v>
          </cell>
          <cell r="CS252">
            <v>49310149</v>
          </cell>
          <cell r="CT252">
            <v>48007455</v>
          </cell>
          <cell r="CU252">
            <v>46688892</v>
          </cell>
          <cell r="CV252">
            <v>-1153241</v>
          </cell>
          <cell r="CW252">
            <v>0</v>
          </cell>
          <cell r="CX252">
            <v>0</v>
          </cell>
          <cell r="CY252">
            <v>0</v>
          </cell>
          <cell r="CZ252">
            <v>250000</v>
          </cell>
          <cell r="DA252">
            <v>0</v>
          </cell>
          <cell r="DC252">
            <v>0</v>
          </cell>
          <cell r="DD252">
            <v>0</v>
          </cell>
          <cell r="DE252">
            <v>0</v>
          </cell>
          <cell r="DF252">
            <v>0</v>
          </cell>
          <cell r="DG252">
            <v>0</v>
          </cell>
          <cell r="DH252">
            <v>0</v>
          </cell>
          <cell r="DI252">
            <v>0</v>
          </cell>
          <cell r="DJ252">
            <v>0</v>
          </cell>
          <cell r="DK252">
            <v>0</v>
          </cell>
          <cell r="DL252">
            <v>0</v>
          </cell>
        </row>
        <row r="253">
          <cell r="A253">
            <v>606</v>
          </cell>
          <cell r="B253" t="str">
            <v>Schiedam</v>
          </cell>
          <cell r="C253">
            <v>8</v>
          </cell>
          <cell r="D253">
            <v>43902</v>
          </cell>
          <cell r="E253">
            <v>21951</v>
          </cell>
          <cell r="F253">
            <v>0</v>
          </cell>
          <cell r="G253">
            <v>177799</v>
          </cell>
          <cell r="H253">
            <v>-17693</v>
          </cell>
          <cell r="I253">
            <v>-62924</v>
          </cell>
          <cell r="K253">
            <v>0</v>
          </cell>
          <cell r="L253">
            <v>597362</v>
          </cell>
          <cell r="M253">
            <v>612205</v>
          </cell>
          <cell r="N253">
            <v>0</v>
          </cell>
          <cell r="O253">
            <v>0</v>
          </cell>
          <cell r="P253">
            <v>0</v>
          </cell>
          <cell r="Q253">
            <v>0</v>
          </cell>
          <cell r="R253">
            <v>0</v>
          </cell>
          <cell r="S253">
            <v>494975</v>
          </cell>
          <cell r="T253">
            <v>494975</v>
          </cell>
          <cell r="U253">
            <v>494975</v>
          </cell>
          <cell r="V253">
            <v>9000</v>
          </cell>
          <cell r="W253">
            <v>281848</v>
          </cell>
          <cell r="X253">
            <v>0</v>
          </cell>
          <cell r="Z253">
            <v>0</v>
          </cell>
          <cell r="AA253">
            <v>0</v>
          </cell>
          <cell r="AB253">
            <v>0</v>
          </cell>
          <cell r="AD253">
            <v>109513</v>
          </cell>
          <cell r="AE253">
            <v>0</v>
          </cell>
          <cell r="AF253">
            <v>0</v>
          </cell>
          <cell r="AG253">
            <v>0</v>
          </cell>
          <cell r="AH253">
            <v>0</v>
          </cell>
          <cell r="AI253">
            <v>0</v>
          </cell>
          <cell r="AJ253">
            <v>0</v>
          </cell>
          <cell r="AK253">
            <v>316901</v>
          </cell>
          <cell r="AM253">
            <v>0</v>
          </cell>
          <cell r="AN253">
            <v>0</v>
          </cell>
          <cell r="AO253">
            <v>0</v>
          </cell>
          <cell r="AP253">
            <v>0</v>
          </cell>
          <cell r="AQ253">
            <v>0</v>
          </cell>
          <cell r="AR253">
            <v>0</v>
          </cell>
          <cell r="AS253">
            <v>0</v>
          </cell>
          <cell r="AT253">
            <v>20000</v>
          </cell>
          <cell r="AU253">
            <v>4740</v>
          </cell>
          <cell r="AV253">
            <v>0</v>
          </cell>
          <cell r="AW253">
            <v>0</v>
          </cell>
          <cell r="AX253">
            <v>0</v>
          </cell>
          <cell r="BA253">
            <v>0</v>
          </cell>
          <cell r="BC253">
            <v>0</v>
          </cell>
          <cell r="BD253">
            <v>27324</v>
          </cell>
          <cell r="BF253">
            <v>0</v>
          </cell>
          <cell r="BG253">
            <v>0</v>
          </cell>
          <cell r="BH253">
            <v>0</v>
          </cell>
          <cell r="BI253">
            <v>166610</v>
          </cell>
          <cell r="BJ253">
            <v>137145</v>
          </cell>
          <cell r="BK253">
            <v>137145</v>
          </cell>
          <cell r="BL253">
            <v>0</v>
          </cell>
          <cell r="BM253">
            <v>0</v>
          </cell>
          <cell r="BN253">
            <v>0</v>
          </cell>
          <cell r="BO253">
            <v>138632</v>
          </cell>
          <cell r="BP253">
            <v>9488.4</v>
          </cell>
          <cell r="BQ253">
            <v>17093.023255814001</v>
          </cell>
          <cell r="BR253">
            <v>155000</v>
          </cell>
          <cell r="BS253">
            <v>0</v>
          </cell>
          <cell r="BT253">
            <v>133174</v>
          </cell>
          <cell r="BY253">
            <v>0</v>
          </cell>
          <cell r="BZ253">
            <v>0</v>
          </cell>
          <cell r="CA253">
            <v>0</v>
          </cell>
          <cell r="CB253">
            <v>0</v>
          </cell>
          <cell r="CC253">
            <v>6413141</v>
          </cell>
          <cell r="CD253">
            <v>42240612</v>
          </cell>
          <cell r="CE253">
            <v>2001777</v>
          </cell>
          <cell r="CF253">
            <v>-79538</v>
          </cell>
          <cell r="CG253">
            <v>2001777</v>
          </cell>
          <cell r="CH253">
            <v>2001777</v>
          </cell>
          <cell r="CI253">
            <v>2001777</v>
          </cell>
          <cell r="CJ253">
            <v>2001777</v>
          </cell>
          <cell r="CK253">
            <v>0</v>
          </cell>
          <cell r="CL253">
            <v>0</v>
          </cell>
          <cell r="CM253">
            <v>0</v>
          </cell>
          <cell r="CN253">
            <v>0</v>
          </cell>
          <cell r="CO253">
            <v>0</v>
          </cell>
          <cell r="CP253">
            <v>-10724</v>
          </cell>
          <cell r="CQ253">
            <v>10971086</v>
          </cell>
          <cell r="CR253">
            <v>10526195</v>
          </cell>
          <cell r="CS253">
            <v>10282854</v>
          </cell>
          <cell r="CT253">
            <v>10037191</v>
          </cell>
          <cell r="CU253">
            <v>9689206</v>
          </cell>
          <cell r="CV253">
            <v>-33818</v>
          </cell>
          <cell r="CW253">
            <v>0</v>
          </cell>
          <cell r="CX253">
            <v>0</v>
          </cell>
          <cell r="CY253">
            <v>0</v>
          </cell>
          <cell r="CZ253">
            <v>0</v>
          </cell>
          <cell r="DA253">
            <v>0</v>
          </cell>
          <cell r="DC253">
            <v>0</v>
          </cell>
          <cell r="DD253">
            <v>0</v>
          </cell>
          <cell r="DE253">
            <v>0</v>
          </cell>
          <cell r="DF253">
            <v>0</v>
          </cell>
          <cell r="DG253">
            <v>0</v>
          </cell>
          <cell r="DH253">
            <v>0</v>
          </cell>
          <cell r="DI253">
            <v>0</v>
          </cell>
          <cell r="DJ253">
            <v>0</v>
          </cell>
          <cell r="DK253">
            <v>0</v>
          </cell>
          <cell r="DL253">
            <v>0</v>
          </cell>
        </row>
        <row r="254">
          <cell r="A254">
            <v>518</v>
          </cell>
          <cell r="B254" t="str">
            <v>'s-Gravenhage</v>
          </cell>
          <cell r="C254">
            <v>8</v>
          </cell>
          <cell r="D254">
            <v>328493</v>
          </cell>
          <cell r="E254">
            <v>164247</v>
          </cell>
          <cell r="F254">
            <v>0</v>
          </cell>
          <cell r="G254">
            <v>300822</v>
          </cell>
          <cell r="H254">
            <v>-649117</v>
          </cell>
          <cell r="I254">
            <v>-356921</v>
          </cell>
          <cell r="K254">
            <v>7500</v>
          </cell>
          <cell r="L254">
            <v>4477347</v>
          </cell>
          <cell r="M254">
            <v>4510820</v>
          </cell>
          <cell r="N254">
            <v>75900</v>
          </cell>
          <cell r="O254">
            <v>37900</v>
          </cell>
          <cell r="P254">
            <v>1654253</v>
          </cell>
          <cell r="Q254">
            <v>0</v>
          </cell>
          <cell r="R254">
            <v>0</v>
          </cell>
          <cell r="S254">
            <v>1537435</v>
          </cell>
          <cell r="T254">
            <v>1537435</v>
          </cell>
          <cell r="U254">
            <v>1537435</v>
          </cell>
          <cell r="V254">
            <v>373250</v>
          </cell>
          <cell r="W254">
            <v>1788472</v>
          </cell>
          <cell r="X254">
            <v>0</v>
          </cell>
          <cell r="Z254">
            <v>0</v>
          </cell>
          <cell r="AA254">
            <v>40000</v>
          </cell>
          <cell r="AB254">
            <v>0</v>
          </cell>
          <cell r="AD254">
            <v>766595</v>
          </cell>
          <cell r="AE254">
            <v>0</v>
          </cell>
          <cell r="AF254">
            <v>0</v>
          </cell>
          <cell r="AG254">
            <v>0</v>
          </cell>
          <cell r="AH254">
            <v>0</v>
          </cell>
          <cell r="AI254">
            <v>0</v>
          </cell>
          <cell r="AJ254">
            <v>0</v>
          </cell>
          <cell r="AK254">
            <v>2139274</v>
          </cell>
          <cell r="AM254">
            <v>0</v>
          </cell>
          <cell r="AN254">
            <v>0</v>
          </cell>
          <cell r="AO254">
            <v>0</v>
          </cell>
          <cell r="AP254">
            <v>0</v>
          </cell>
          <cell r="AQ254">
            <v>0</v>
          </cell>
          <cell r="AR254">
            <v>0</v>
          </cell>
          <cell r="AS254">
            <v>0</v>
          </cell>
          <cell r="AT254">
            <v>50000</v>
          </cell>
          <cell r="AU254">
            <v>40290</v>
          </cell>
          <cell r="AV254">
            <v>30927456.724216599</v>
          </cell>
          <cell r="AW254">
            <v>63086</v>
          </cell>
          <cell r="AX254">
            <v>0</v>
          </cell>
          <cell r="BA254">
            <v>4376</v>
          </cell>
          <cell r="BC254">
            <v>0</v>
          </cell>
          <cell r="BD254">
            <v>184252</v>
          </cell>
          <cell r="BF254">
            <v>0</v>
          </cell>
          <cell r="BG254">
            <v>0</v>
          </cell>
          <cell r="BH254">
            <v>0</v>
          </cell>
          <cell r="BI254">
            <v>1061820</v>
          </cell>
          <cell r="BJ254">
            <v>874035</v>
          </cell>
          <cell r="BK254">
            <v>874035</v>
          </cell>
          <cell r="BL254">
            <v>0</v>
          </cell>
          <cell r="BM254">
            <v>131221</v>
          </cell>
          <cell r="BN254">
            <v>585200</v>
          </cell>
          <cell r="BO254">
            <v>305963</v>
          </cell>
          <cell r="BP254">
            <v>270419.40000000002</v>
          </cell>
          <cell r="BQ254">
            <v>487151.162790698</v>
          </cell>
          <cell r="BR254">
            <v>1142770</v>
          </cell>
          <cell r="BS254">
            <v>0</v>
          </cell>
          <cell r="BT254">
            <v>1055189</v>
          </cell>
          <cell r="BY254">
            <v>9961140.2722748108</v>
          </cell>
          <cell r="BZ254">
            <v>11408407.6255688</v>
          </cell>
          <cell r="CA254">
            <v>11532043.5301215</v>
          </cell>
          <cell r="CB254">
            <v>11881133.1429764</v>
          </cell>
          <cell r="CC254">
            <v>36964959</v>
          </cell>
          <cell r="CD254">
            <v>344795852</v>
          </cell>
          <cell r="CE254">
            <v>16581150</v>
          </cell>
          <cell r="CF254">
            <v>-853082</v>
          </cell>
          <cell r="CG254">
            <v>16441150</v>
          </cell>
          <cell r="CH254">
            <v>16441150</v>
          </cell>
          <cell r="CI254">
            <v>16441150</v>
          </cell>
          <cell r="CJ254">
            <v>16441150</v>
          </cell>
          <cell r="CK254">
            <v>81457502</v>
          </cell>
          <cell r="CL254">
            <v>81416618</v>
          </cell>
          <cell r="CM254">
            <v>81415957</v>
          </cell>
          <cell r="CN254">
            <v>81414502</v>
          </cell>
          <cell r="CO254">
            <v>81416518</v>
          </cell>
          <cell r="CP254">
            <v>0</v>
          </cell>
          <cell r="CQ254">
            <v>44044289</v>
          </cell>
          <cell r="CR254">
            <v>41948269</v>
          </cell>
          <cell r="CS254">
            <v>40514075</v>
          </cell>
          <cell r="CT254">
            <v>39433871</v>
          </cell>
          <cell r="CU254">
            <v>38469868</v>
          </cell>
          <cell r="CV254">
            <v>-1217832</v>
          </cell>
          <cell r="CW254">
            <v>0</v>
          </cell>
          <cell r="CX254">
            <v>0</v>
          </cell>
          <cell r="CY254">
            <v>0</v>
          </cell>
          <cell r="CZ254">
            <v>0</v>
          </cell>
          <cell r="DA254">
            <v>0</v>
          </cell>
          <cell r="DC254">
            <v>300000</v>
          </cell>
          <cell r="DD254">
            <v>0</v>
          </cell>
          <cell r="DE254">
            <v>0</v>
          </cell>
          <cell r="DF254">
            <v>0</v>
          </cell>
          <cell r="DG254">
            <v>0</v>
          </cell>
          <cell r="DH254">
            <v>0</v>
          </cell>
          <cell r="DI254">
            <v>0</v>
          </cell>
          <cell r="DJ254">
            <v>0</v>
          </cell>
          <cell r="DK254">
            <v>0</v>
          </cell>
          <cell r="DL254">
            <v>0</v>
          </cell>
        </row>
        <row r="255">
          <cell r="A255">
            <v>610</v>
          </cell>
          <cell r="B255" t="str">
            <v>Sliedrecht</v>
          </cell>
          <cell r="C255">
            <v>8</v>
          </cell>
          <cell r="D255">
            <v>-16896</v>
          </cell>
          <cell r="E255">
            <v>-8448</v>
          </cell>
          <cell r="F255">
            <v>0</v>
          </cell>
          <cell r="G255">
            <v>0</v>
          </cell>
          <cell r="H255">
            <v>-57637</v>
          </cell>
          <cell r="I255">
            <v>-52772</v>
          </cell>
          <cell r="K255">
            <v>0</v>
          </cell>
          <cell r="L255">
            <v>106504</v>
          </cell>
          <cell r="M255">
            <v>104728</v>
          </cell>
          <cell r="N255">
            <v>0</v>
          </cell>
          <cell r="O255">
            <v>0</v>
          </cell>
          <cell r="P255">
            <v>0</v>
          </cell>
          <cell r="Q255">
            <v>0</v>
          </cell>
          <cell r="R255">
            <v>0</v>
          </cell>
          <cell r="S255">
            <v>0</v>
          </cell>
          <cell r="T255">
            <v>0</v>
          </cell>
          <cell r="U255">
            <v>0</v>
          </cell>
          <cell r="V255">
            <v>3000</v>
          </cell>
          <cell r="W255">
            <v>71925</v>
          </cell>
          <cell r="X255">
            <v>0</v>
          </cell>
          <cell r="Z255">
            <v>0</v>
          </cell>
          <cell r="AA255">
            <v>0</v>
          </cell>
          <cell r="AB255">
            <v>0</v>
          </cell>
          <cell r="AD255">
            <v>0</v>
          </cell>
          <cell r="AE255">
            <v>0</v>
          </cell>
          <cell r="AF255">
            <v>0</v>
          </cell>
          <cell r="AG255">
            <v>0</v>
          </cell>
          <cell r="AH255">
            <v>0</v>
          </cell>
          <cell r="AI255">
            <v>0</v>
          </cell>
          <cell r="AJ255">
            <v>0</v>
          </cell>
          <cell r="AK255">
            <v>0</v>
          </cell>
          <cell r="AM255">
            <v>10350</v>
          </cell>
          <cell r="AN255">
            <v>10588</v>
          </cell>
          <cell r="AO255">
            <v>10831</v>
          </cell>
          <cell r="AP255">
            <v>11081</v>
          </cell>
          <cell r="AQ255">
            <v>11335</v>
          </cell>
          <cell r="AR255">
            <v>11596</v>
          </cell>
          <cell r="AS255">
            <v>0</v>
          </cell>
          <cell r="AT255">
            <v>0</v>
          </cell>
          <cell r="AU255">
            <v>0</v>
          </cell>
          <cell r="AV255">
            <v>0</v>
          </cell>
          <cell r="AW255">
            <v>0</v>
          </cell>
          <cell r="AX255">
            <v>0</v>
          </cell>
          <cell r="BA255">
            <v>0</v>
          </cell>
          <cell r="BC255">
            <v>0</v>
          </cell>
          <cell r="BD255">
            <v>8780</v>
          </cell>
          <cell r="BF255">
            <v>0</v>
          </cell>
          <cell r="BG255">
            <v>0</v>
          </cell>
          <cell r="BH255">
            <v>0</v>
          </cell>
          <cell r="BI255">
            <v>37802</v>
          </cell>
          <cell r="BJ255">
            <v>31117</v>
          </cell>
          <cell r="BK255">
            <v>31117</v>
          </cell>
          <cell r="BL255">
            <v>0</v>
          </cell>
          <cell r="BM255">
            <v>0</v>
          </cell>
          <cell r="BN255">
            <v>0</v>
          </cell>
          <cell r="BO255">
            <v>148361</v>
          </cell>
          <cell r="BP255">
            <v>0</v>
          </cell>
          <cell r="BQ255">
            <v>0</v>
          </cell>
          <cell r="BR255">
            <v>0</v>
          </cell>
          <cell r="BS255">
            <v>0</v>
          </cell>
          <cell r="BT255">
            <v>38160</v>
          </cell>
          <cell r="BY255">
            <v>0</v>
          </cell>
          <cell r="BZ255">
            <v>0</v>
          </cell>
          <cell r="CA255">
            <v>0</v>
          </cell>
          <cell r="CB255">
            <v>0</v>
          </cell>
          <cell r="CC255">
            <v>2320195</v>
          </cell>
          <cell r="CD255">
            <v>13026516</v>
          </cell>
          <cell r="CE255">
            <v>738295</v>
          </cell>
          <cell r="CF255">
            <v>-60962</v>
          </cell>
          <cell r="CG255">
            <v>738295</v>
          </cell>
          <cell r="CH255">
            <v>738295</v>
          </cell>
          <cell r="CI255">
            <v>738295</v>
          </cell>
          <cell r="CJ255">
            <v>738295</v>
          </cell>
          <cell r="CK255">
            <v>0</v>
          </cell>
          <cell r="CL255">
            <v>0</v>
          </cell>
          <cell r="CM255">
            <v>0</v>
          </cell>
          <cell r="CN255">
            <v>0</v>
          </cell>
          <cell r="CO255">
            <v>0</v>
          </cell>
          <cell r="CP255">
            <v>-9779</v>
          </cell>
          <cell r="CQ255">
            <v>2354196</v>
          </cell>
          <cell r="CR255">
            <v>2268764</v>
          </cell>
          <cell r="CS255">
            <v>2166500</v>
          </cell>
          <cell r="CT255">
            <v>2096732</v>
          </cell>
          <cell r="CU255">
            <v>2012333</v>
          </cell>
          <cell r="CV255">
            <v>2529</v>
          </cell>
          <cell r="CW255">
            <v>0</v>
          </cell>
          <cell r="CX255">
            <v>0</v>
          </cell>
          <cell r="CY255">
            <v>0</v>
          </cell>
          <cell r="CZ255">
            <v>0</v>
          </cell>
          <cell r="DA255">
            <v>0</v>
          </cell>
          <cell r="DC255">
            <v>0</v>
          </cell>
          <cell r="DD255">
            <v>0</v>
          </cell>
          <cell r="DE255">
            <v>0</v>
          </cell>
          <cell r="DF255">
            <v>0</v>
          </cell>
          <cell r="DG255">
            <v>0</v>
          </cell>
          <cell r="DH255">
            <v>0</v>
          </cell>
          <cell r="DI255">
            <v>0</v>
          </cell>
          <cell r="DJ255">
            <v>0</v>
          </cell>
          <cell r="DK255">
            <v>0</v>
          </cell>
          <cell r="DL255">
            <v>0</v>
          </cell>
        </row>
        <row r="256">
          <cell r="A256">
            <v>617</v>
          </cell>
          <cell r="B256" t="str">
            <v>Strijen</v>
          </cell>
          <cell r="C256">
            <v>8</v>
          </cell>
          <cell r="D256">
            <v>-6918</v>
          </cell>
          <cell r="E256">
            <v>-3459</v>
          </cell>
          <cell r="F256">
            <v>0</v>
          </cell>
          <cell r="G256">
            <v>0</v>
          </cell>
          <cell r="H256">
            <v>-196</v>
          </cell>
          <cell r="I256">
            <v>0</v>
          </cell>
          <cell r="K256">
            <v>0</v>
          </cell>
          <cell r="L256">
            <v>19100</v>
          </cell>
          <cell r="M256">
            <v>19998</v>
          </cell>
          <cell r="N256">
            <v>0</v>
          </cell>
          <cell r="O256">
            <v>0</v>
          </cell>
          <cell r="P256">
            <v>0</v>
          </cell>
          <cell r="Q256">
            <v>0</v>
          </cell>
          <cell r="R256">
            <v>0</v>
          </cell>
          <cell r="S256">
            <v>0</v>
          </cell>
          <cell r="T256">
            <v>0</v>
          </cell>
          <cell r="U256">
            <v>0</v>
          </cell>
          <cell r="V256">
            <v>0</v>
          </cell>
          <cell r="W256">
            <v>32730</v>
          </cell>
          <cell r="X256">
            <v>0</v>
          </cell>
          <cell r="Z256">
            <v>0</v>
          </cell>
          <cell r="AA256">
            <v>0</v>
          </cell>
          <cell r="AB256">
            <v>0</v>
          </cell>
          <cell r="AD256">
            <v>0</v>
          </cell>
          <cell r="AE256">
            <v>0</v>
          </cell>
          <cell r="AF256">
            <v>0</v>
          </cell>
          <cell r="AG256">
            <v>0</v>
          </cell>
          <cell r="AH256">
            <v>0</v>
          </cell>
          <cell r="AI256">
            <v>0</v>
          </cell>
          <cell r="AJ256">
            <v>0</v>
          </cell>
          <cell r="AK256">
            <v>0</v>
          </cell>
          <cell r="AM256">
            <v>45907</v>
          </cell>
          <cell r="AN256">
            <v>46962</v>
          </cell>
          <cell r="AO256">
            <v>48043</v>
          </cell>
          <cell r="AP256">
            <v>49148</v>
          </cell>
          <cell r="AQ256">
            <v>50278</v>
          </cell>
          <cell r="AR256">
            <v>51434</v>
          </cell>
          <cell r="AS256">
            <v>0</v>
          </cell>
          <cell r="AT256">
            <v>0</v>
          </cell>
          <cell r="AU256">
            <v>2370</v>
          </cell>
          <cell r="AV256">
            <v>0</v>
          </cell>
          <cell r="AW256">
            <v>0</v>
          </cell>
          <cell r="AX256">
            <v>0</v>
          </cell>
          <cell r="BA256">
            <v>0</v>
          </cell>
          <cell r="BC256">
            <v>0</v>
          </cell>
          <cell r="BD256">
            <v>15413</v>
          </cell>
          <cell r="BF256">
            <v>0</v>
          </cell>
          <cell r="BG256">
            <v>0</v>
          </cell>
          <cell r="BH256">
            <v>0</v>
          </cell>
          <cell r="BI256">
            <v>10767</v>
          </cell>
          <cell r="BJ256">
            <v>8863</v>
          </cell>
          <cell r="BK256">
            <v>8863</v>
          </cell>
          <cell r="BL256">
            <v>0</v>
          </cell>
          <cell r="BM256">
            <v>0</v>
          </cell>
          <cell r="BN256">
            <v>0</v>
          </cell>
          <cell r="BO256">
            <v>41346</v>
          </cell>
          <cell r="BP256">
            <v>11069.8</v>
          </cell>
          <cell r="BQ256">
            <v>19941.8604651163</v>
          </cell>
          <cell r="BR256">
            <v>0</v>
          </cell>
          <cell r="BS256">
            <v>0</v>
          </cell>
          <cell r="BT256">
            <v>14807</v>
          </cell>
          <cell r="BY256">
            <v>0</v>
          </cell>
          <cell r="BZ256">
            <v>0</v>
          </cell>
          <cell r="CA256">
            <v>0</v>
          </cell>
          <cell r="CB256">
            <v>0</v>
          </cell>
          <cell r="CC256">
            <v>641484</v>
          </cell>
          <cell r="CD256">
            <v>3479105</v>
          </cell>
          <cell r="CE256">
            <v>611494</v>
          </cell>
          <cell r="CF256">
            <v>0</v>
          </cell>
          <cell r="CG256">
            <v>611494</v>
          </cell>
          <cell r="CH256">
            <v>611494</v>
          </cell>
          <cell r="CI256">
            <v>611494</v>
          </cell>
          <cell r="CJ256">
            <v>611494</v>
          </cell>
          <cell r="CK256">
            <v>0</v>
          </cell>
          <cell r="CL256">
            <v>0</v>
          </cell>
          <cell r="CM256">
            <v>0</v>
          </cell>
          <cell r="CN256">
            <v>0</v>
          </cell>
          <cell r="CO256">
            <v>0</v>
          </cell>
          <cell r="CP256">
            <v>0</v>
          </cell>
          <cell r="CQ256">
            <v>569301</v>
          </cell>
          <cell r="CR256">
            <v>542338</v>
          </cell>
          <cell r="CS256">
            <v>524328</v>
          </cell>
          <cell r="CT256">
            <v>526874</v>
          </cell>
          <cell r="CU256">
            <v>521670</v>
          </cell>
          <cell r="CV256">
            <v>16132</v>
          </cell>
          <cell r="CW256">
            <v>0</v>
          </cell>
          <cell r="CX256">
            <v>0</v>
          </cell>
          <cell r="CY256">
            <v>0</v>
          </cell>
          <cell r="CZ256">
            <v>0</v>
          </cell>
          <cell r="DA256">
            <v>0</v>
          </cell>
          <cell r="DC256">
            <v>0</v>
          </cell>
          <cell r="DD256">
            <v>0</v>
          </cell>
          <cell r="DE256">
            <v>0</v>
          </cell>
          <cell r="DF256">
            <v>0</v>
          </cell>
          <cell r="DG256">
            <v>0</v>
          </cell>
          <cell r="DH256">
            <v>0</v>
          </cell>
          <cell r="DI256">
            <v>0</v>
          </cell>
          <cell r="DJ256">
            <v>0</v>
          </cell>
          <cell r="DK256">
            <v>0</v>
          </cell>
          <cell r="DL256">
            <v>0</v>
          </cell>
        </row>
        <row r="257">
          <cell r="A257">
            <v>1525</v>
          </cell>
          <cell r="B257" t="str">
            <v>Teylingen</v>
          </cell>
          <cell r="C257">
            <v>8</v>
          </cell>
          <cell r="D257">
            <v>-48101</v>
          </cell>
          <cell r="E257">
            <v>-24051</v>
          </cell>
          <cell r="F257">
            <v>0</v>
          </cell>
          <cell r="G257">
            <v>11369</v>
          </cell>
          <cell r="H257">
            <v>0</v>
          </cell>
          <cell r="I257">
            <v>0</v>
          </cell>
          <cell r="K257">
            <v>0</v>
          </cell>
          <cell r="L257">
            <v>86190</v>
          </cell>
          <cell r="M257">
            <v>78826</v>
          </cell>
          <cell r="N257">
            <v>0</v>
          </cell>
          <cell r="O257">
            <v>0</v>
          </cell>
          <cell r="P257">
            <v>0</v>
          </cell>
          <cell r="Q257">
            <v>0</v>
          </cell>
          <cell r="R257">
            <v>0</v>
          </cell>
          <cell r="S257">
            <v>0</v>
          </cell>
          <cell r="T257">
            <v>0</v>
          </cell>
          <cell r="U257">
            <v>0</v>
          </cell>
          <cell r="V257">
            <v>9000</v>
          </cell>
          <cell r="W257">
            <v>70713</v>
          </cell>
          <cell r="X257">
            <v>0</v>
          </cell>
          <cell r="Z257">
            <v>0</v>
          </cell>
          <cell r="AA257">
            <v>0</v>
          </cell>
          <cell r="AB257">
            <v>0</v>
          </cell>
          <cell r="AD257">
            <v>0</v>
          </cell>
          <cell r="AE257">
            <v>0</v>
          </cell>
          <cell r="AF257">
            <v>0</v>
          </cell>
          <cell r="AG257">
            <v>0</v>
          </cell>
          <cell r="AH257">
            <v>0</v>
          </cell>
          <cell r="AI257">
            <v>0</v>
          </cell>
          <cell r="AJ257">
            <v>0</v>
          </cell>
          <cell r="AK257">
            <v>0</v>
          </cell>
          <cell r="AM257">
            <v>0</v>
          </cell>
          <cell r="AN257">
            <v>0</v>
          </cell>
          <cell r="AO257">
            <v>0</v>
          </cell>
          <cell r="AP257">
            <v>0</v>
          </cell>
          <cell r="AQ257">
            <v>0</v>
          </cell>
          <cell r="AR257">
            <v>0</v>
          </cell>
          <cell r="AS257">
            <v>0</v>
          </cell>
          <cell r="AT257">
            <v>0</v>
          </cell>
          <cell r="AU257">
            <v>9480</v>
          </cell>
          <cell r="AV257">
            <v>0</v>
          </cell>
          <cell r="AW257">
            <v>0</v>
          </cell>
          <cell r="AX257">
            <v>0</v>
          </cell>
          <cell r="BA257">
            <v>0</v>
          </cell>
          <cell r="BC257">
            <v>0</v>
          </cell>
          <cell r="BD257">
            <v>12670</v>
          </cell>
          <cell r="BF257">
            <v>0</v>
          </cell>
          <cell r="BG257">
            <v>0</v>
          </cell>
          <cell r="BH257">
            <v>0</v>
          </cell>
          <cell r="BI257">
            <v>36372</v>
          </cell>
          <cell r="BJ257">
            <v>29940</v>
          </cell>
          <cell r="BK257">
            <v>29940</v>
          </cell>
          <cell r="BL257">
            <v>0</v>
          </cell>
          <cell r="BM257">
            <v>0</v>
          </cell>
          <cell r="BN257">
            <v>0</v>
          </cell>
          <cell r="BO257">
            <v>57885</v>
          </cell>
          <cell r="BP257">
            <v>41116.400000000001</v>
          </cell>
          <cell r="BQ257">
            <v>74069.767441860502</v>
          </cell>
          <cell r="BR257">
            <v>0</v>
          </cell>
          <cell r="BS257">
            <v>0</v>
          </cell>
          <cell r="BT257">
            <v>55944</v>
          </cell>
          <cell r="BY257">
            <v>0</v>
          </cell>
          <cell r="BZ257">
            <v>0</v>
          </cell>
          <cell r="CA257">
            <v>0</v>
          </cell>
          <cell r="CB257">
            <v>0</v>
          </cell>
          <cell r="CC257">
            <v>2087675</v>
          </cell>
          <cell r="CD257">
            <v>13156836</v>
          </cell>
          <cell r="CE257">
            <v>1337343</v>
          </cell>
          <cell r="CF257">
            <v>0</v>
          </cell>
          <cell r="CG257">
            <v>1337343</v>
          </cell>
          <cell r="CH257">
            <v>1337343</v>
          </cell>
          <cell r="CI257">
            <v>1337343</v>
          </cell>
          <cell r="CJ257">
            <v>1337343</v>
          </cell>
          <cell r="CK257">
            <v>0</v>
          </cell>
          <cell r="CL257">
            <v>0</v>
          </cell>
          <cell r="CM257">
            <v>0</v>
          </cell>
          <cell r="CN257">
            <v>0</v>
          </cell>
          <cell r="CO257">
            <v>0</v>
          </cell>
          <cell r="CP257">
            <v>0</v>
          </cell>
          <cell r="CQ257">
            <v>2753973</v>
          </cell>
          <cell r="CR257">
            <v>2638765</v>
          </cell>
          <cell r="CS257">
            <v>2551249</v>
          </cell>
          <cell r="CT257">
            <v>2465043</v>
          </cell>
          <cell r="CU257">
            <v>2417987</v>
          </cell>
          <cell r="CV257">
            <v>73093</v>
          </cell>
          <cell r="CW257">
            <v>0</v>
          </cell>
          <cell r="CX257">
            <v>0</v>
          </cell>
          <cell r="CY257">
            <v>0</v>
          </cell>
          <cell r="CZ257">
            <v>0</v>
          </cell>
          <cell r="DA257">
            <v>0</v>
          </cell>
          <cell r="DC257">
            <v>0</v>
          </cell>
          <cell r="DD257">
            <v>0</v>
          </cell>
          <cell r="DE257">
            <v>0</v>
          </cell>
          <cell r="DF257">
            <v>0</v>
          </cell>
          <cell r="DG257">
            <v>0</v>
          </cell>
          <cell r="DH257">
            <v>0</v>
          </cell>
          <cell r="DI257">
            <v>0</v>
          </cell>
          <cell r="DJ257">
            <v>0</v>
          </cell>
          <cell r="DK257">
            <v>0</v>
          </cell>
          <cell r="DL257">
            <v>0</v>
          </cell>
        </row>
        <row r="258">
          <cell r="A258">
            <v>622</v>
          </cell>
          <cell r="B258" t="str">
            <v>Vlaardingen</v>
          </cell>
          <cell r="C258">
            <v>8</v>
          </cell>
          <cell r="D258">
            <v>124146</v>
          </cell>
          <cell r="E258">
            <v>62073</v>
          </cell>
          <cell r="F258">
            <v>0</v>
          </cell>
          <cell r="G258">
            <v>93439</v>
          </cell>
          <cell r="H258">
            <v>0</v>
          </cell>
          <cell r="I258">
            <v>-8785</v>
          </cell>
          <cell r="K258">
            <v>0</v>
          </cell>
          <cell r="L258">
            <v>515469</v>
          </cell>
          <cell r="M258">
            <v>539379</v>
          </cell>
          <cell r="N258">
            <v>8500</v>
          </cell>
          <cell r="O258">
            <v>4300</v>
          </cell>
          <cell r="P258">
            <v>0</v>
          </cell>
          <cell r="Q258">
            <v>0</v>
          </cell>
          <cell r="R258">
            <v>0</v>
          </cell>
          <cell r="S258">
            <v>0</v>
          </cell>
          <cell r="T258">
            <v>0</v>
          </cell>
          <cell r="U258">
            <v>0</v>
          </cell>
          <cell r="V258">
            <v>12000</v>
          </cell>
          <cell r="W258">
            <v>254441</v>
          </cell>
          <cell r="X258">
            <v>0</v>
          </cell>
          <cell r="Z258">
            <v>0</v>
          </cell>
          <cell r="AA258">
            <v>0</v>
          </cell>
          <cell r="AB258">
            <v>0</v>
          </cell>
          <cell r="AD258">
            <v>111469</v>
          </cell>
          <cell r="AE258">
            <v>0</v>
          </cell>
          <cell r="AF258">
            <v>0</v>
          </cell>
          <cell r="AG258">
            <v>0</v>
          </cell>
          <cell r="AH258">
            <v>0</v>
          </cell>
          <cell r="AI258">
            <v>0</v>
          </cell>
          <cell r="AJ258">
            <v>0</v>
          </cell>
          <cell r="AK258">
            <v>0</v>
          </cell>
          <cell r="AM258">
            <v>0</v>
          </cell>
          <cell r="AN258">
            <v>0</v>
          </cell>
          <cell r="AO258">
            <v>0</v>
          </cell>
          <cell r="AP258">
            <v>0</v>
          </cell>
          <cell r="AQ258">
            <v>0</v>
          </cell>
          <cell r="AR258">
            <v>0</v>
          </cell>
          <cell r="AS258">
            <v>0</v>
          </cell>
          <cell r="AT258">
            <v>0</v>
          </cell>
          <cell r="AU258">
            <v>11850</v>
          </cell>
          <cell r="AV258">
            <v>2419041.9524798701</v>
          </cell>
          <cell r="AW258">
            <v>0</v>
          </cell>
          <cell r="AX258">
            <v>0</v>
          </cell>
          <cell r="BA258">
            <v>0</v>
          </cell>
          <cell r="BC258">
            <v>0</v>
          </cell>
          <cell r="BD258">
            <v>25274</v>
          </cell>
          <cell r="BF258">
            <v>0</v>
          </cell>
          <cell r="BG258">
            <v>0</v>
          </cell>
          <cell r="BH258">
            <v>0</v>
          </cell>
          <cell r="BI258">
            <v>150738</v>
          </cell>
          <cell r="BJ258">
            <v>124080</v>
          </cell>
          <cell r="BK258">
            <v>124080</v>
          </cell>
          <cell r="BL258">
            <v>0</v>
          </cell>
          <cell r="BM258">
            <v>0</v>
          </cell>
          <cell r="BN258">
            <v>0</v>
          </cell>
          <cell r="BO258">
            <v>134741</v>
          </cell>
          <cell r="BP258">
            <v>30046.6</v>
          </cell>
          <cell r="BQ258">
            <v>54127.906976744198</v>
          </cell>
          <cell r="BR258">
            <v>0</v>
          </cell>
          <cell r="BS258">
            <v>0</v>
          </cell>
          <cell r="BT258">
            <v>118755</v>
          </cell>
          <cell r="BY258">
            <v>1696757.22222229</v>
          </cell>
          <cell r="BZ258">
            <v>1966937.92264691</v>
          </cell>
          <cell r="CA258">
            <v>1990018.6859997599</v>
          </cell>
          <cell r="CB258">
            <v>2055187.90017253</v>
          </cell>
          <cell r="CC258">
            <v>6802968</v>
          </cell>
          <cell r="CD258">
            <v>53286075</v>
          </cell>
          <cell r="CE258">
            <v>1383904</v>
          </cell>
          <cell r="CF258">
            <v>0</v>
          </cell>
          <cell r="CG258">
            <v>1383904</v>
          </cell>
          <cell r="CH258">
            <v>1383904</v>
          </cell>
          <cell r="CI258">
            <v>1383904</v>
          </cell>
          <cell r="CJ258">
            <v>1383904</v>
          </cell>
          <cell r="CK258">
            <v>17376648</v>
          </cell>
          <cell r="CL258">
            <v>17367926</v>
          </cell>
          <cell r="CM258">
            <v>17367785</v>
          </cell>
          <cell r="CN258">
            <v>17367475</v>
          </cell>
          <cell r="CO258">
            <v>17367905</v>
          </cell>
          <cell r="CP258">
            <v>-3144</v>
          </cell>
          <cell r="CQ258">
            <v>7972488</v>
          </cell>
          <cell r="CR258">
            <v>7578204</v>
          </cell>
          <cell r="CS258">
            <v>7414055</v>
          </cell>
          <cell r="CT258">
            <v>7328852</v>
          </cell>
          <cell r="CU258">
            <v>7208317</v>
          </cell>
          <cell r="CV258">
            <v>-176483</v>
          </cell>
          <cell r="CW258">
            <v>0</v>
          </cell>
          <cell r="CX258">
            <v>0</v>
          </cell>
          <cell r="CY258">
            <v>0</v>
          </cell>
          <cell r="CZ258">
            <v>0</v>
          </cell>
          <cell r="DA258">
            <v>0</v>
          </cell>
          <cell r="DC258">
            <v>0</v>
          </cell>
          <cell r="DD258">
            <v>0</v>
          </cell>
          <cell r="DE258">
            <v>0</v>
          </cell>
          <cell r="DF258">
            <v>0</v>
          </cell>
          <cell r="DG258">
            <v>0</v>
          </cell>
          <cell r="DH258">
            <v>0</v>
          </cell>
          <cell r="DI258">
            <v>0</v>
          </cell>
          <cell r="DJ258">
            <v>0</v>
          </cell>
          <cell r="DK258">
            <v>0</v>
          </cell>
          <cell r="DL258">
            <v>0</v>
          </cell>
        </row>
        <row r="259">
          <cell r="A259">
            <v>626</v>
          </cell>
          <cell r="B259" t="str">
            <v>Voorschoten</v>
          </cell>
          <cell r="C259">
            <v>8</v>
          </cell>
          <cell r="D259">
            <v>24150</v>
          </cell>
          <cell r="E259">
            <v>12075</v>
          </cell>
          <cell r="F259">
            <v>0</v>
          </cell>
          <cell r="G259">
            <v>0</v>
          </cell>
          <cell r="H259">
            <v>-4802</v>
          </cell>
          <cell r="I259">
            <v>-5140</v>
          </cell>
          <cell r="K259">
            <v>0</v>
          </cell>
          <cell r="L259">
            <v>94546</v>
          </cell>
          <cell r="M259">
            <v>89992</v>
          </cell>
          <cell r="N259">
            <v>0</v>
          </cell>
          <cell r="O259">
            <v>0</v>
          </cell>
          <cell r="P259">
            <v>0</v>
          </cell>
          <cell r="Q259">
            <v>0</v>
          </cell>
          <cell r="R259">
            <v>0</v>
          </cell>
          <cell r="S259">
            <v>0</v>
          </cell>
          <cell r="T259">
            <v>0</v>
          </cell>
          <cell r="U259">
            <v>0</v>
          </cell>
          <cell r="V259">
            <v>0</v>
          </cell>
          <cell r="W259">
            <v>0</v>
          </cell>
          <cell r="X259">
            <v>0</v>
          </cell>
          <cell r="Z259">
            <v>0</v>
          </cell>
          <cell r="AA259">
            <v>0</v>
          </cell>
          <cell r="AB259">
            <v>0</v>
          </cell>
          <cell r="AD259">
            <v>0</v>
          </cell>
          <cell r="AE259">
            <v>0</v>
          </cell>
          <cell r="AF259">
            <v>0</v>
          </cell>
          <cell r="AG259">
            <v>0</v>
          </cell>
          <cell r="AH259">
            <v>0</v>
          </cell>
          <cell r="AI259">
            <v>0</v>
          </cell>
          <cell r="AJ259">
            <v>0</v>
          </cell>
          <cell r="AK259">
            <v>0</v>
          </cell>
          <cell r="AM259">
            <v>0</v>
          </cell>
          <cell r="AN259">
            <v>0</v>
          </cell>
          <cell r="AO259">
            <v>0</v>
          </cell>
          <cell r="AP259">
            <v>0</v>
          </cell>
          <cell r="AQ259">
            <v>0</v>
          </cell>
          <cell r="AR259">
            <v>0</v>
          </cell>
          <cell r="AS259">
            <v>0</v>
          </cell>
          <cell r="AT259">
            <v>0</v>
          </cell>
          <cell r="AU259">
            <v>0</v>
          </cell>
          <cell r="AV259">
            <v>0</v>
          </cell>
          <cell r="AW259">
            <v>0</v>
          </cell>
          <cell r="AX259">
            <v>0</v>
          </cell>
          <cell r="BA259">
            <v>0</v>
          </cell>
          <cell r="BC259">
            <v>0</v>
          </cell>
          <cell r="BD259">
            <v>8886</v>
          </cell>
          <cell r="BF259">
            <v>0</v>
          </cell>
          <cell r="BG259">
            <v>0</v>
          </cell>
          <cell r="BH259">
            <v>0</v>
          </cell>
          <cell r="BI259">
            <v>25595</v>
          </cell>
          <cell r="BJ259">
            <v>21068</v>
          </cell>
          <cell r="BK259">
            <v>21068</v>
          </cell>
          <cell r="BL259">
            <v>0</v>
          </cell>
          <cell r="BM259">
            <v>0</v>
          </cell>
          <cell r="BN259">
            <v>0</v>
          </cell>
          <cell r="BO259">
            <v>10215</v>
          </cell>
          <cell r="BP259">
            <v>0</v>
          </cell>
          <cell r="BQ259">
            <v>0</v>
          </cell>
          <cell r="BR259">
            <v>0</v>
          </cell>
          <cell r="BS259">
            <v>0</v>
          </cell>
          <cell r="BT259">
            <v>37757</v>
          </cell>
          <cell r="BY259">
            <v>0</v>
          </cell>
          <cell r="BZ259">
            <v>0</v>
          </cell>
          <cell r="CA259">
            <v>0</v>
          </cell>
          <cell r="CB259">
            <v>0</v>
          </cell>
          <cell r="CC259">
            <v>1626212</v>
          </cell>
          <cell r="CD259">
            <v>6818456</v>
          </cell>
          <cell r="CE259">
            <v>481850</v>
          </cell>
          <cell r="CF259">
            <v>0</v>
          </cell>
          <cell r="CG259">
            <v>481850</v>
          </cell>
          <cell r="CH259">
            <v>481850</v>
          </cell>
          <cell r="CI259">
            <v>481850</v>
          </cell>
          <cell r="CJ259">
            <v>481850</v>
          </cell>
          <cell r="CK259">
            <v>0</v>
          </cell>
          <cell r="CL259">
            <v>0</v>
          </cell>
          <cell r="CM259">
            <v>0</v>
          </cell>
          <cell r="CN259">
            <v>0</v>
          </cell>
          <cell r="CO259">
            <v>0</v>
          </cell>
          <cell r="CP259">
            <v>-1842</v>
          </cell>
          <cell r="CQ259">
            <v>123861</v>
          </cell>
          <cell r="CR259">
            <v>137679</v>
          </cell>
          <cell r="CS259">
            <v>142276</v>
          </cell>
          <cell r="CT259">
            <v>154858</v>
          </cell>
          <cell r="CU259">
            <v>167385</v>
          </cell>
          <cell r="CV259">
            <v>-8692</v>
          </cell>
          <cell r="CW259">
            <v>0</v>
          </cell>
          <cell r="CX259">
            <v>0</v>
          </cell>
          <cell r="CY259">
            <v>0</v>
          </cell>
          <cell r="CZ259">
            <v>0</v>
          </cell>
          <cell r="DA259">
            <v>0</v>
          </cell>
          <cell r="DC259">
            <v>0</v>
          </cell>
          <cell r="DD259">
            <v>0</v>
          </cell>
          <cell r="DE259">
            <v>0</v>
          </cell>
          <cell r="DF259">
            <v>0</v>
          </cell>
          <cell r="DG259">
            <v>0</v>
          </cell>
          <cell r="DH259">
            <v>0</v>
          </cell>
          <cell r="DI259">
            <v>0</v>
          </cell>
          <cell r="DJ259">
            <v>0</v>
          </cell>
          <cell r="DK259">
            <v>0</v>
          </cell>
          <cell r="DL259">
            <v>0</v>
          </cell>
        </row>
        <row r="260">
          <cell r="A260">
            <v>627</v>
          </cell>
          <cell r="B260" t="str">
            <v>Waddinxveen</v>
          </cell>
          <cell r="C260">
            <v>8</v>
          </cell>
          <cell r="D260">
            <v>11000</v>
          </cell>
          <cell r="E260">
            <v>5500</v>
          </cell>
          <cell r="F260">
            <v>0</v>
          </cell>
          <cell r="G260">
            <v>0</v>
          </cell>
          <cell r="H260">
            <v>0</v>
          </cell>
          <cell r="I260">
            <v>0</v>
          </cell>
          <cell r="K260">
            <v>0</v>
          </cell>
          <cell r="L260">
            <v>83305</v>
          </cell>
          <cell r="M260">
            <v>75707</v>
          </cell>
          <cell r="N260">
            <v>0</v>
          </cell>
          <cell r="O260">
            <v>0</v>
          </cell>
          <cell r="P260">
            <v>0</v>
          </cell>
          <cell r="Q260">
            <v>0</v>
          </cell>
          <cell r="R260">
            <v>0</v>
          </cell>
          <cell r="S260">
            <v>0</v>
          </cell>
          <cell r="T260">
            <v>0</v>
          </cell>
          <cell r="U260">
            <v>0</v>
          </cell>
          <cell r="V260">
            <v>6000</v>
          </cell>
          <cell r="W260">
            <v>97381</v>
          </cell>
          <cell r="X260">
            <v>0</v>
          </cell>
          <cell r="Z260">
            <v>0</v>
          </cell>
          <cell r="AA260">
            <v>0</v>
          </cell>
          <cell r="AB260">
            <v>0</v>
          </cell>
          <cell r="AD260">
            <v>0</v>
          </cell>
          <cell r="AE260">
            <v>0</v>
          </cell>
          <cell r="AF260">
            <v>0</v>
          </cell>
          <cell r="AG260">
            <v>0</v>
          </cell>
          <cell r="AH260">
            <v>0</v>
          </cell>
          <cell r="AI260">
            <v>0</v>
          </cell>
          <cell r="AJ260">
            <v>0</v>
          </cell>
          <cell r="AK260">
            <v>0</v>
          </cell>
          <cell r="AM260">
            <v>0</v>
          </cell>
          <cell r="AN260">
            <v>0</v>
          </cell>
          <cell r="AO260">
            <v>0</v>
          </cell>
          <cell r="AP260">
            <v>0</v>
          </cell>
          <cell r="AQ260">
            <v>0</v>
          </cell>
          <cell r="AR260">
            <v>0</v>
          </cell>
          <cell r="AS260">
            <v>0</v>
          </cell>
          <cell r="AT260">
            <v>0</v>
          </cell>
          <cell r="AU260">
            <v>0</v>
          </cell>
          <cell r="AV260">
            <v>0</v>
          </cell>
          <cell r="AW260">
            <v>0</v>
          </cell>
          <cell r="AX260">
            <v>0</v>
          </cell>
          <cell r="BA260">
            <v>0</v>
          </cell>
          <cell r="BC260">
            <v>0</v>
          </cell>
          <cell r="BD260">
            <v>9315</v>
          </cell>
          <cell r="BF260">
            <v>0</v>
          </cell>
          <cell r="BG260">
            <v>0</v>
          </cell>
          <cell r="BH260">
            <v>0</v>
          </cell>
          <cell r="BI260">
            <v>29588</v>
          </cell>
          <cell r="BJ260">
            <v>24356</v>
          </cell>
          <cell r="BK260">
            <v>24356</v>
          </cell>
          <cell r="BL260">
            <v>0</v>
          </cell>
          <cell r="BM260">
            <v>0</v>
          </cell>
          <cell r="BN260">
            <v>0</v>
          </cell>
          <cell r="BO260">
            <v>32591</v>
          </cell>
          <cell r="BP260">
            <v>3162.8</v>
          </cell>
          <cell r="BQ260">
            <v>5697.6744186046499</v>
          </cell>
          <cell r="BR260">
            <v>0</v>
          </cell>
          <cell r="BS260">
            <v>0</v>
          </cell>
          <cell r="BT260">
            <v>38469</v>
          </cell>
          <cell r="BY260">
            <v>0</v>
          </cell>
          <cell r="BZ260">
            <v>0</v>
          </cell>
          <cell r="CA260">
            <v>0</v>
          </cell>
          <cell r="CB260">
            <v>0</v>
          </cell>
          <cell r="CC260">
            <v>1961883</v>
          </cell>
          <cell r="CD260">
            <v>9733726</v>
          </cell>
          <cell r="CE260">
            <v>1020950</v>
          </cell>
          <cell r="CF260">
            <v>0</v>
          </cell>
          <cell r="CG260">
            <v>1020950</v>
          </cell>
          <cell r="CH260">
            <v>1020950</v>
          </cell>
          <cell r="CI260">
            <v>1020950</v>
          </cell>
          <cell r="CJ260">
            <v>1020950</v>
          </cell>
          <cell r="CK260">
            <v>0</v>
          </cell>
          <cell r="CL260">
            <v>0</v>
          </cell>
          <cell r="CM260">
            <v>0</v>
          </cell>
          <cell r="CN260">
            <v>0</v>
          </cell>
          <cell r="CO260">
            <v>0</v>
          </cell>
          <cell r="CP260">
            <v>-3578</v>
          </cell>
          <cell r="CQ260">
            <v>2220994</v>
          </cell>
          <cell r="CR260">
            <v>2141936</v>
          </cell>
          <cell r="CS260">
            <v>2078155</v>
          </cell>
          <cell r="CT260">
            <v>2051719</v>
          </cell>
          <cell r="CU260">
            <v>2023552</v>
          </cell>
          <cell r="CV260">
            <v>-57438</v>
          </cell>
          <cell r="CW260">
            <v>0</v>
          </cell>
          <cell r="CX260">
            <v>0</v>
          </cell>
          <cell r="CY260">
            <v>0</v>
          </cell>
          <cell r="CZ260">
            <v>0</v>
          </cell>
          <cell r="DA260">
            <v>0</v>
          </cell>
          <cell r="DC260">
            <v>0</v>
          </cell>
          <cell r="DD260">
            <v>0</v>
          </cell>
          <cell r="DE260">
            <v>0</v>
          </cell>
          <cell r="DF260">
            <v>0</v>
          </cell>
          <cell r="DG260">
            <v>0</v>
          </cell>
          <cell r="DH260">
            <v>0</v>
          </cell>
          <cell r="DI260">
            <v>0</v>
          </cell>
          <cell r="DJ260">
            <v>0</v>
          </cell>
          <cell r="DK260">
            <v>0</v>
          </cell>
          <cell r="DL260">
            <v>0</v>
          </cell>
        </row>
        <row r="261">
          <cell r="A261">
            <v>629</v>
          </cell>
          <cell r="B261" t="str">
            <v>Wassenaar</v>
          </cell>
          <cell r="C261">
            <v>8</v>
          </cell>
          <cell r="D261">
            <v>32413</v>
          </cell>
          <cell r="E261">
            <v>16207</v>
          </cell>
          <cell r="F261">
            <v>0</v>
          </cell>
          <cell r="G261">
            <v>0</v>
          </cell>
          <cell r="H261">
            <v>-107</v>
          </cell>
          <cell r="I261">
            <v>-9841</v>
          </cell>
          <cell r="K261">
            <v>0</v>
          </cell>
          <cell r="L261">
            <v>101470</v>
          </cell>
          <cell r="M261">
            <v>100276</v>
          </cell>
          <cell r="N261">
            <v>3200</v>
          </cell>
          <cell r="O261">
            <v>1700</v>
          </cell>
          <cell r="P261">
            <v>0</v>
          </cell>
          <cell r="Q261">
            <v>0</v>
          </cell>
          <cell r="R261">
            <v>0</v>
          </cell>
          <cell r="S261">
            <v>0</v>
          </cell>
          <cell r="T261">
            <v>0</v>
          </cell>
          <cell r="U261">
            <v>0</v>
          </cell>
          <cell r="V261">
            <v>3000</v>
          </cell>
          <cell r="W261">
            <v>61823</v>
          </cell>
          <cell r="X261">
            <v>0</v>
          </cell>
          <cell r="Z261">
            <v>0</v>
          </cell>
          <cell r="AA261">
            <v>0</v>
          </cell>
          <cell r="AB261">
            <v>0</v>
          </cell>
          <cell r="AD261">
            <v>0</v>
          </cell>
          <cell r="AE261">
            <v>0</v>
          </cell>
          <cell r="AF261">
            <v>0</v>
          </cell>
          <cell r="AG261">
            <v>0</v>
          </cell>
          <cell r="AH261">
            <v>0</v>
          </cell>
          <cell r="AI261">
            <v>0</v>
          </cell>
          <cell r="AJ261">
            <v>0</v>
          </cell>
          <cell r="AK261">
            <v>0</v>
          </cell>
          <cell r="AM261">
            <v>0</v>
          </cell>
          <cell r="AN261">
            <v>0</v>
          </cell>
          <cell r="AO261">
            <v>0</v>
          </cell>
          <cell r="AP261">
            <v>0</v>
          </cell>
          <cell r="AQ261">
            <v>0</v>
          </cell>
          <cell r="AR261">
            <v>0</v>
          </cell>
          <cell r="AS261">
            <v>0</v>
          </cell>
          <cell r="AT261">
            <v>0</v>
          </cell>
          <cell r="AU261">
            <v>0</v>
          </cell>
          <cell r="AV261">
            <v>0</v>
          </cell>
          <cell r="AW261">
            <v>0</v>
          </cell>
          <cell r="AX261">
            <v>0</v>
          </cell>
          <cell r="BA261">
            <v>0</v>
          </cell>
          <cell r="BC261">
            <v>0</v>
          </cell>
          <cell r="BD261">
            <v>9146</v>
          </cell>
          <cell r="BF261">
            <v>0</v>
          </cell>
          <cell r="BG261">
            <v>0</v>
          </cell>
          <cell r="BH261">
            <v>0</v>
          </cell>
          <cell r="BI261">
            <v>25755</v>
          </cell>
          <cell r="BJ261">
            <v>21200</v>
          </cell>
          <cell r="BK261">
            <v>21200</v>
          </cell>
          <cell r="BL261">
            <v>0</v>
          </cell>
          <cell r="BM261">
            <v>0</v>
          </cell>
          <cell r="BN261">
            <v>0</v>
          </cell>
          <cell r="BO261">
            <v>57885</v>
          </cell>
          <cell r="BP261">
            <v>9488.4</v>
          </cell>
          <cell r="BQ261">
            <v>17093.023255814001</v>
          </cell>
          <cell r="BR261">
            <v>0</v>
          </cell>
          <cell r="BS261">
            <v>0</v>
          </cell>
          <cell r="BT261">
            <v>39392</v>
          </cell>
          <cell r="BY261">
            <v>0</v>
          </cell>
          <cell r="BZ261">
            <v>0</v>
          </cell>
          <cell r="CA261">
            <v>0</v>
          </cell>
          <cell r="CB261">
            <v>0</v>
          </cell>
          <cell r="CC261">
            <v>1462115</v>
          </cell>
          <cell r="CD261">
            <v>7221253</v>
          </cell>
          <cell r="CE261">
            <v>327546</v>
          </cell>
          <cell r="CF261">
            <v>-23744</v>
          </cell>
          <cell r="CG261">
            <v>327546</v>
          </cell>
          <cell r="CH261">
            <v>327546</v>
          </cell>
          <cell r="CI261">
            <v>327546</v>
          </cell>
          <cell r="CJ261">
            <v>327546</v>
          </cell>
          <cell r="CK261">
            <v>0</v>
          </cell>
          <cell r="CL261">
            <v>0</v>
          </cell>
          <cell r="CM261">
            <v>0</v>
          </cell>
          <cell r="CN261">
            <v>0</v>
          </cell>
          <cell r="CO261">
            <v>0</v>
          </cell>
          <cell r="CP261">
            <v>0</v>
          </cell>
          <cell r="CQ261">
            <v>988506</v>
          </cell>
          <cell r="CR261">
            <v>967059</v>
          </cell>
          <cell r="CS261">
            <v>961639</v>
          </cell>
          <cell r="CT261">
            <v>960965</v>
          </cell>
          <cell r="CU261">
            <v>945129</v>
          </cell>
          <cell r="CV261">
            <v>-17911</v>
          </cell>
          <cell r="CW261">
            <v>0</v>
          </cell>
          <cell r="CX261">
            <v>0</v>
          </cell>
          <cell r="CY261">
            <v>0</v>
          </cell>
          <cell r="CZ261">
            <v>0</v>
          </cell>
          <cell r="DA261">
            <v>0</v>
          </cell>
          <cell r="DC261">
            <v>0</v>
          </cell>
          <cell r="DD261">
            <v>0</v>
          </cell>
          <cell r="DE261">
            <v>0</v>
          </cell>
          <cell r="DF261">
            <v>0</v>
          </cell>
          <cell r="DG261">
            <v>0</v>
          </cell>
          <cell r="DH261">
            <v>0</v>
          </cell>
          <cell r="DI261">
            <v>0</v>
          </cell>
          <cell r="DJ261">
            <v>0</v>
          </cell>
          <cell r="DK261">
            <v>0</v>
          </cell>
          <cell r="DL261">
            <v>0</v>
          </cell>
        </row>
        <row r="262">
          <cell r="A262">
            <v>1783</v>
          </cell>
          <cell r="B262" t="str">
            <v>Westland</v>
          </cell>
          <cell r="C262">
            <v>8</v>
          </cell>
          <cell r="D262">
            <v>2993</v>
          </cell>
          <cell r="E262">
            <v>1496</v>
          </cell>
          <cell r="F262">
            <v>0</v>
          </cell>
          <cell r="G262">
            <v>0</v>
          </cell>
          <cell r="H262">
            <v>-38331</v>
          </cell>
          <cell r="I262">
            <v>-49027</v>
          </cell>
          <cell r="K262">
            <v>0</v>
          </cell>
          <cell r="L262">
            <v>386224</v>
          </cell>
          <cell r="M262">
            <v>358348</v>
          </cell>
          <cell r="N262">
            <v>0</v>
          </cell>
          <cell r="O262">
            <v>0</v>
          </cell>
          <cell r="P262">
            <v>150000</v>
          </cell>
          <cell r="Q262">
            <v>0</v>
          </cell>
          <cell r="R262">
            <v>0</v>
          </cell>
          <cell r="S262">
            <v>0</v>
          </cell>
          <cell r="T262">
            <v>0</v>
          </cell>
          <cell r="U262">
            <v>0</v>
          </cell>
          <cell r="V262">
            <v>21750</v>
          </cell>
          <cell r="W262">
            <v>191126</v>
          </cell>
          <cell r="X262">
            <v>0</v>
          </cell>
          <cell r="Z262">
            <v>0</v>
          </cell>
          <cell r="AA262">
            <v>0</v>
          </cell>
          <cell r="AB262">
            <v>0</v>
          </cell>
          <cell r="AD262">
            <v>0</v>
          </cell>
          <cell r="AE262">
            <v>0</v>
          </cell>
          <cell r="AF262">
            <v>0</v>
          </cell>
          <cell r="AG262">
            <v>0</v>
          </cell>
          <cell r="AH262">
            <v>0</v>
          </cell>
          <cell r="AI262">
            <v>0</v>
          </cell>
          <cell r="AJ262">
            <v>0</v>
          </cell>
          <cell r="AK262">
            <v>0</v>
          </cell>
          <cell r="AM262">
            <v>0</v>
          </cell>
          <cell r="AN262">
            <v>0</v>
          </cell>
          <cell r="AO262">
            <v>0</v>
          </cell>
          <cell r="AP262">
            <v>0</v>
          </cell>
          <cell r="AQ262">
            <v>0</v>
          </cell>
          <cell r="AR262">
            <v>0</v>
          </cell>
          <cell r="AS262">
            <v>0</v>
          </cell>
          <cell r="AT262">
            <v>20000</v>
          </cell>
          <cell r="AU262">
            <v>7110</v>
          </cell>
          <cell r="AV262">
            <v>0</v>
          </cell>
          <cell r="AW262">
            <v>0</v>
          </cell>
          <cell r="AX262">
            <v>0</v>
          </cell>
          <cell r="BA262">
            <v>0</v>
          </cell>
          <cell r="BC262">
            <v>0</v>
          </cell>
          <cell r="BD262">
            <v>37081</v>
          </cell>
          <cell r="BF262">
            <v>0</v>
          </cell>
          <cell r="BG262">
            <v>0</v>
          </cell>
          <cell r="BH262">
            <v>0</v>
          </cell>
          <cell r="BI262">
            <v>123871</v>
          </cell>
          <cell r="BJ262">
            <v>101964</v>
          </cell>
          <cell r="BK262">
            <v>101964</v>
          </cell>
          <cell r="BL262">
            <v>0</v>
          </cell>
          <cell r="BM262">
            <v>0</v>
          </cell>
          <cell r="BN262">
            <v>0</v>
          </cell>
          <cell r="BO262">
            <v>151279</v>
          </cell>
          <cell r="BP262">
            <v>44279.199999999997</v>
          </cell>
          <cell r="BQ262">
            <v>79767.4418604651</v>
          </cell>
          <cell r="BR262">
            <v>0</v>
          </cell>
          <cell r="BS262">
            <v>0</v>
          </cell>
          <cell r="BT262">
            <v>148090</v>
          </cell>
          <cell r="BY262">
            <v>0</v>
          </cell>
          <cell r="BZ262">
            <v>0</v>
          </cell>
          <cell r="CA262">
            <v>0</v>
          </cell>
          <cell r="CB262">
            <v>0</v>
          </cell>
          <cell r="CC262">
            <v>7269526</v>
          </cell>
          <cell r="CD262">
            <v>35694150</v>
          </cell>
          <cell r="CE262">
            <v>1897684</v>
          </cell>
          <cell r="CF262">
            <v>0</v>
          </cell>
          <cell r="CG262">
            <v>1897684</v>
          </cell>
          <cell r="CH262">
            <v>1897684</v>
          </cell>
          <cell r="CI262">
            <v>1897684</v>
          </cell>
          <cell r="CJ262">
            <v>1897684</v>
          </cell>
          <cell r="CK262">
            <v>0</v>
          </cell>
          <cell r="CL262">
            <v>0</v>
          </cell>
          <cell r="CM262">
            <v>0</v>
          </cell>
          <cell r="CN262">
            <v>0</v>
          </cell>
          <cell r="CO262">
            <v>0</v>
          </cell>
          <cell r="CP262">
            <v>-17531</v>
          </cell>
          <cell r="CQ262">
            <v>6912388</v>
          </cell>
          <cell r="CR262">
            <v>6683035</v>
          </cell>
          <cell r="CS262">
            <v>6589102</v>
          </cell>
          <cell r="CT262">
            <v>6518826</v>
          </cell>
          <cell r="CU262">
            <v>6373096</v>
          </cell>
          <cell r="CV262">
            <v>46029</v>
          </cell>
          <cell r="CW262">
            <v>0</v>
          </cell>
          <cell r="CX262">
            <v>0</v>
          </cell>
          <cell r="CY262">
            <v>0</v>
          </cell>
          <cell r="CZ262">
            <v>0</v>
          </cell>
          <cell r="DA262">
            <v>0</v>
          </cell>
          <cell r="DC262">
            <v>0</v>
          </cell>
          <cell r="DD262">
            <v>0</v>
          </cell>
          <cell r="DE262">
            <v>0</v>
          </cell>
          <cell r="DF262">
            <v>0</v>
          </cell>
          <cell r="DG262">
            <v>0</v>
          </cell>
          <cell r="DH262">
            <v>0</v>
          </cell>
          <cell r="DI262">
            <v>0</v>
          </cell>
          <cell r="DJ262">
            <v>0</v>
          </cell>
          <cell r="DK262">
            <v>0</v>
          </cell>
          <cell r="DL262">
            <v>0</v>
          </cell>
        </row>
        <row r="263">
          <cell r="A263">
            <v>614</v>
          </cell>
          <cell r="B263" t="str">
            <v>Westvoorne</v>
          </cell>
          <cell r="C263">
            <v>8</v>
          </cell>
          <cell r="D263">
            <v>-18594</v>
          </cell>
          <cell r="E263">
            <v>-9297</v>
          </cell>
          <cell r="F263">
            <v>0</v>
          </cell>
          <cell r="G263">
            <v>0</v>
          </cell>
          <cell r="H263">
            <v>-7610</v>
          </cell>
          <cell r="I263">
            <v>-9786</v>
          </cell>
          <cell r="K263">
            <v>0</v>
          </cell>
          <cell r="L263">
            <v>39812</v>
          </cell>
          <cell r="M263">
            <v>43425</v>
          </cell>
          <cell r="N263">
            <v>2400</v>
          </cell>
          <cell r="O263">
            <v>1200</v>
          </cell>
          <cell r="P263">
            <v>0</v>
          </cell>
          <cell r="Q263">
            <v>0</v>
          </cell>
          <cell r="R263">
            <v>0</v>
          </cell>
          <cell r="S263">
            <v>0</v>
          </cell>
          <cell r="T263">
            <v>0</v>
          </cell>
          <cell r="U263">
            <v>0</v>
          </cell>
          <cell r="V263">
            <v>0</v>
          </cell>
          <cell r="W263">
            <v>51899</v>
          </cell>
          <cell r="X263">
            <v>0</v>
          </cell>
          <cell r="Z263">
            <v>0</v>
          </cell>
          <cell r="AA263">
            <v>0</v>
          </cell>
          <cell r="AB263">
            <v>0</v>
          </cell>
          <cell r="AD263">
            <v>0</v>
          </cell>
          <cell r="AE263">
            <v>0</v>
          </cell>
          <cell r="AF263">
            <v>0</v>
          </cell>
          <cell r="AG263">
            <v>0</v>
          </cell>
          <cell r="AH263">
            <v>0</v>
          </cell>
          <cell r="AI263">
            <v>0</v>
          </cell>
          <cell r="AJ263">
            <v>0</v>
          </cell>
          <cell r="AK263">
            <v>0</v>
          </cell>
          <cell r="AM263">
            <v>47097</v>
          </cell>
          <cell r="AN263">
            <v>48180</v>
          </cell>
          <cell r="AO263">
            <v>49288</v>
          </cell>
          <cell r="AP263">
            <v>50422</v>
          </cell>
          <cell r="AQ263">
            <v>51582</v>
          </cell>
          <cell r="AR263">
            <v>52768</v>
          </cell>
          <cell r="AS263">
            <v>0</v>
          </cell>
          <cell r="AT263">
            <v>0</v>
          </cell>
          <cell r="AU263">
            <v>2370</v>
          </cell>
          <cell r="AV263">
            <v>0</v>
          </cell>
          <cell r="AW263">
            <v>0</v>
          </cell>
          <cell r="AX263">
            <v>0</v>
          </cell>
          <cell r="BA263">
            <v>0</v>
          </cell>
          <cell r="BC263">
            <v>0</v>
          </cell>
          <cell r="BD263">
            <v>5005</v>
          </cell>
          <cell r="BF263">
            <v>0</v>
          </cell>
          <cell r="BG263">
            <v>0</v>
          </cell>
          <cell r="BH263">
            <v>0</v>
          </cell>
          <cell r="BI263">
            <v>14029</v>
          </cell>
          <cell r="BJ263">
            <v>11548</v>
          </cell>
          <cell r="BK263">
            <v>11548</v>
          </cell>
          <cell r="BL263">
            <v>0</v>
          </cell>
          <cell r="BM263">
            <v>0</v>
          </cell>
          <cell r="BN263">
            <v>0</v>
          </cell>
          <cell r="BO263">
            <v>21889</v>
          </cell>
          <cell r="BP263">
            <v>11069.8</v>
          </cell>
          <cell r="BQ263">
            <v>19941.8604651163</v>
          </cell>
          <cell r="BR263">
            <v>0</v>
          </cell>
          <cell r="BS263">
            <v>0</v>
          </cell>
          <cell r="BT263">
            <v>22396</v>
          </cell>
          <cell r="BY263">
            <v>0</v>
          </cell>
          <cell r="BZ263">
            <v>0</v>
          </cell>
          <cell r="CA263">
            <v>0</v>
          </cell>
          <cell r="CB263">
            <v>0</v>
          </cell>
          <cell r="CC263">
            <v>1036569</v>
          </cell>
          <cell r="CD263">
            <v>3840415</v>
          </cell>
          <cell r="CE263">
            <v>1149834</v>
          </cell>
          <cell r="CF263">
            <v>0</v>
          </cell>
          <cell r="CG263">
            <v>1149834</v>
          </cell>
          <cell r="CH263">
            <v>1149834</v>
          </cell>
          <cell r="CI263">
            <v>1149834</v>
          </cell>
          <cell r="CJ263">
            <v>1149834</v>
          </cell>
          <cell r="CK263">
            <v>0</v>
          </cell>
          <cell r="CL263">
            <v>0</v>
          </cell>
          <cell r="CM263">
            <v>0</v>
          </cell>
          <cell r="CN263">
            <v>0</v>
          </cell>
          <cell r="CO263">
            <v>0</v>
          </cell>
          <cell r="CP263">
            <v>-3505</v>
          </cell>
          <cell r="CQ263">
            <v>49100</v>
          </cell>
          <cell r="CR263">
            <v>54770</v>
          </cell>
          <cell r="CS263">
            <v>56550</v>
          </cell>
          <cell r="CT263">
            <v>61698</v>
          </cell>
          <cell r="CU263">
            <v>66827</v>
          </cell>
          <cell r="CV263">
            <v>28410</v>
          </cell>
          <cell r="CW263">
            <v>0</v>
          </cell>
          <cell r="CX263">
            <v>0</v>
          </cell>
          <cell r="CY263">
            <v>0</v>
          </cell>
          <cell r="CZ263">
            <v>0</v>
          </cell>
          <cell r="DA263">
            <v>0</v>
          </cell>
          <cell r="DC263">
            <v>0</v>
          </cell>
          <cell r="DD263">
            <v>0</v>
          </cell>
          <cell r="DE263">
            <v>0</v>
          </cell>
          <cell r="DF263">
            <v>0</v>
          </cell>
          <cell r="DG263">
            <v>0</v>
          </cell>
          <cell r="DH263">
            <v>0</v>
          </cell>
          <cell r="DI263">
            <v>0</v>
          </cell>
          <cell r="DJ263">
            <v>0</v>
          </cell>
          <cell r="DK263">
            <v>0</v>
          </cell>
          <cell r="DL263">
            <v>0</v>
          </cell>
        </row>
        <row r="264">
          <cell r="A264">
            <v>707</v>
          </cell>
          <cell r="B264" t="str">
            <v>Zederik</v>
          </cell>
          <cell r="C264">
            <v>8</v>
          </cell>
          <cell r="D264">
            <v>-10974</v>
          </cell>
          <cell r="E264">
            <v>-5487</v>
          </cell>
          <cell r="F264">
            <v>0</v>
          </cell>
          <cell r="G264">
            <v>0</v>
          </cell>
          <cell r="H264">
            <v>-19968</v>
          </cell>
          <cell r="I264">
            <v>-15126</v>
          </cell>
          <cell r="K264">
            <v>0</v>
          </cell>
          <cell r="L264">
            <v>28989</v>
          </cell>
          <cell r="M264">
            <v>33949</v>
          </cell>
          <cell r="N264">
            <v>0</v>
          </cell>
          <cell r="O264">
            <v>0</v>
          </cell>
          <cell r="P264">
            <v>0</v>
          </cell>
          <cell r="Q264">
            <v>0</v>
          </cell>
          <cell r="R264">
            <v>0</v>
          </cell>
          <cell r="S264">
            <v>0</v>
          </cell>
          <cell r="T264">
            <v>0</v>
          </cell>
          <cell r="U264">
            <v>0</v>
          </cell>
          <cell r="V264">
            <v>0</v>
          </cell>
          <cell r="W264">
            <v>62201</v>
          </cell>
          <cell r="X264">
            <v>0</v>
          </cell>
          <cell r="Z264">
            <v>0</v>
          </cell>
          <cell r="AA264">
            <v>0</v>
          </cell>
          <cell r="AB264">
            <v>0</v>
          </cell>
          <cell r="AD264">
            <v>20000</v>
          </cell>
          <cell r="AE264">
            <v>0</v>
          </cell>
          <cell r="AF264">
            <v>0</v>
          </cell>
          <cell r="AG264">
            <v>0</v>
          </cell>
          <cell r="AH264">
            <v>0</v>
          </cell>
          <cell r="AI264">
            <v>0</v>
          </cell>
          <cell r="AJ264">
            <v>0</v>
          </cell>
          <cell r="AK264">
            <v>0</v>
          </cell>
          <cell r="AM264">
            <v>58692</v>
          </cell>
          <cell r="AN264">
            <v>60041</v>
          </cell>
          <cell r="AO264">
            <v>61422</v>
          </cell>
          <cell r="AP264">
            <v>62835</v>
          </cell>
          <cell r="AQ264">
            <v>64280</v>
          </cell>
          <cell r="AR264">
            <v>65759</v>
          </cell>
          <cell r="AS264">
            <v>0</v>
          </cell>
          <cell r="AT264">
            <v>0</v>
          </cell>
          <cell r="AU264">
            <v>0</v>
          </cell>
          <cell r="AV264">
            <v>0</v>
          </cell>
          <cell r="AW264">
            <v>0</v>
          </cell>
          <cell r="AX264">
            <v>0</v>
          </cell>
          <cell r="BA264">
            <v>0</v>
          </cell>
          <cell r="BC264">
            <v>0</v>
          </cell>
          <cell r="BD264">
            <v>24285</v>
          </cell>
          <cell r="BF264">
            <v>0</v>
          </cell>
          <cell r="BG264">
            <v>0</v>
          </cell>
          <cell r="BH264">
            <v>0</v>
          </cell>
          <cell r="BI264">
            <v>12968</v>
          </cell>
          <cell r="BJ264">
            <v>10675</v>
          </cell>
          <cell r="BK264">
            <v>10675</v>
          </cell>
          <cell r="BL264">
            <v>0</v>
          </cell>
          <cell r="BM264">
            <v>0</v>
          </cell>
          <cell r="BN264">
            <v>0</v>
          </cell>
          <cell r="BO264">
            <v>32104</v>
          </cell>
          <cell r="BP264">
            <v>0</v>
          </cell>
          <cell r="BQ264">
            <v>0</v>
          </cell>
          <cell r="BR264">
            <v>0</v>
          </cell>
          <cell r="BS264">
            <v>0</v>
          </cell>
          <cell r="BT264">
            <v>28302</v>
          </cell>
          <cell r="BY264">
            <v>0</v>
          </cell>
          <cell r="BZ264">
            <v>0</v>
          </cell>
          <cell r="CA264">
            <v>0</v>
          </cell>
          <cell r="CB264">
            <v>0</v>
          </cell>
          <cell r="CC264">
            <v>882958</v>
          </cell>
          <cell r="CD264">
            <v>4382139</v>
          </cell>
          <cell r="CE264">
            <v>433995</v>
          </cell>
          <cell r="CF264">
            <v>-32362</v>
          </cell>
          <cell r="CG264">
            <v>433995</v>
          </cell>
          <cell r="CH264">
            <v>433995</v>
          </cell>
          <cell r="CI264">
            <v>433995</v>
          </cell>
          <cell r="CJ264">
            <v>433995</v>
          </cell>
          <cell r="CK264">
            <v>0</v>
          </cell>
          <cell r="CL264">
            <v>0</v>
          </cell>
          <cell r="CM264">
            <v>0</v>
          </cell>
          <cell r="CN264">
            <v>0</v>
          </cell>
          <cell r="CO264">
            <v>0</v>
          </cell>
          <cell r="CP264">
            <v>-605</v>
          </cell>
          <cell r="CQ264">
            <v>610977</v>
          </cell>
          <cell r="CR264">
            <v>597299</v>
          </cell>
          <cell r="CS264">
            <v>585039</v>
          </cell>
          <cell r="CT264">
            <v>583672</v>
          </cell>
          <cell r="CU264">
            <v>566042</v>
          </cell>
          <cell r="CV264">
            <v>-10880</v>
          </cell>
          <cell r="CW264">
            <v>0</v>
          </cell>
          <cell r="CX264">
            <v>0</v>
          </cell>
          <cell r="CY264">
            <v>0</v>
          </cell>
          <cell r="CZ264">
            <v>0</v>
          </cell>
          <cell r="DA264">
            <v>0</v>
          </cell>
          <cell r="DC264">
            <v>0</v>
          </cell>
          <cell r="DD264">
            <v>0</v>
          </cell>
          <cell r="DE264">
            <v>0</v>
          </cell>
          <cell r="DF264">
            <v>0</v>
          </cell>
          <cell r="DG264">
            <v>0</v>
          </cell>
          <cell r="DH264">
            <v>0</v>
          </cell>
          <cell r="DI264">
            <v>0</v>
          </cell>
          <cell r="DJ264">
            <v>0</v>
          </cell>
          <cell r="DK264">
            <v>0</v>
          </cell>
          <cell r="DL264">
            <v>0</v>
          </cell>
        </row>
        <row r="265">
          <cell r="A265">
            <v>637</v>
          </cell>
          <cell r="B265" t="str">
            <v>Zoetermeer</v>
          </cell>
          <cell r="C265">
            <v>8</v>
          </cell>
          <cell r="D265">
            <v>515418</v>
          </cell>
          <cell r="E265">
            <v>257709</v>
          </cell>
          <cell r="F265">
            <v>0</v>
          </cell>
          <cell r="G265">
            <v>0</v>
          </cell>
          <cell r="H265">
            <v>0</v>
          </cell>
          <cell r="I265">
            <v>-17743</v>
          </cell>
          <cell r="K265">
            <v>7500</v>
          </cell>
          <cell r="L265">
            <v>825610</v>
          </cell>
          <cell r="M265">
            <v>832494</v>
          </cell>
          <cell r="N265">
            <v>0</v>
          </cell>
          <cell r="O265">
            <v>0</v>
          </cell>
          <cell r="P265">
            <v>150000</v>
          </cell>
          <cell r="Q265">
            <v>0</v>
          </cell>
          <cell r="R265">
            <v>0</v>
          </cell>
          <cell r="S265">
            <v>0</v>
          </cell>
          <cell r="T265">
            <v>0</v>
          </cell>
          <cell r="U265">
            <v>0</v>
          </cell>
          <cell r="V265">
            <v>44500</v>
          </cell>
          <cell r="W265">
            <v>357604</v>
          </cell>
          <cell r="X265">
            <v>0</v>
          </cell>
          <cell r="Z265">
            <v>0</v>
          </cell>
          <cell r="AA265">
            <v>13000</v>
          </cell>
          <cell r="AB265">
            <v>0</v>
          </cell>
          <cell r="AD265">
            <v>28356</v>
          </cell>
          <cell r="AE265">
            <v>0</v>
          </cell>
          <cell r="AF265">
            <v>0</v>
          </cell>
          <cell r="AG265">
            <v>0</v>
          </cell>
          <cell r="AH265">
            <v>0</v>
          </cell>
          <cell r="AI265">
            <v>0</v>
          </cell>
          <cell r="AJ265">
            <v>0</v>
          </cell>
          <cell r="AK265">
            <v>104477</v>
          </cell>
          <cell r="AM265">
            <v>0</v>
          </cell>
          <cell r="AN265">
            <v>0</v>
          </cell>
          <cell r="AO265">
            <v>0</v>
          </cell>
          <cell r="AP265">
            <v>0</v>
          </cell>
          <cell r="AQ265">
            <v>0</v>
          </cell>
          <cell r="AR265">
            <v>0</v>
          </cell>
          <cell r="AS265">
            <v>0</v>
          </cell>
          <cell r="AT265">
            <v>20000</v>
          </cell>
          <cell r="AU265">
            <v>7110</v>
          </cell>
          <cell r="AV265">
            <v>0</v>
          </cell>
          <cell r="AW265">
            <v>0</v>
          </cell>
          <cell r="AX265">
            <v>0</v>
          </cell>
          <cell r="BA265">
            <v>0</v>
          </cell>
          <cell r="BC265">
            <v>0</v>
          </cell>
          <cell r="BD265">
            <v>43796</v>
          </cell>
          <cell r="BF265">
            <v>0</v>
          </cell>
          <cell r="BG265">
            <v>0</v>
          </cell>
          <cell r="BH265">
            <v>0</v>
          </cell>
          <cell r="BI265">
            <v>169762</v>
          </cell>
          <cell r="BJ265">
            <v>139739</v>
          </cell>
          <cell r="BK265">
            <v>139739</v>
          </cell>
          <cell r="BL265">
            <v>0</v>
          </cell>
          <cell r="BM265">
            <v>31191</v>
          </cell>
          <cell r="BN265">
            <v>0</v>
          </cell>
          <cell r="BO265">
            <v>89503</v>
          </cell>
          <cell r="BP265">
            <v>28465.200000000001</v>
          </cell>
          <cell r="BQ265">
            <v>51279.069767441899</v>
          </cell>
          <cell r="BR265">
            <v>245000</v>
          </cell>
          <cell r="BS265">
            <v>0</v>
          </cell>
          <cell r="BT265">
            <v>202347</v>
          </cell>
          <cell r="BY265">
            <v>0</v>
          </cell>
          <cell r="BZ265">
            <v>0</v>
          </cell>
          <cell r="CA265">
            <v>0</v>
          </cell>
          <cell r="CB265">
            <v>0</v>
          </cell>
          <cell r="CC265">
            <v>8690636</v>
          </cell>
          <cell r="CD265">
            <v>58856406</v>
          </cell>
          <cell r="CE265">
            <v>4198851</v>
          </cell>
          <cell r="CF265">
            <v>0</v>
          </cell>
          <cell r="CG265">
            <v>4198851</v>
          </cell>
          <cell r="CH265">
            <v>4198851</v>
          </cell>
          <cell r="CI265">
            <v>4198851</v>
          </cell>
          <cell r="CJ265">
            <v>4198851</v>
          </cell>
          <cell r="CK265">
            <v>0</v>
          </cell>
          <cell r="CL265">
            <v>0</v>
          </cell>
          <cell r="CM265">
            <v>0</v>
          </cell>
          <cell r="CN265">
            <v>0</v>
          </cell>
          <cell r="CO265">
            <v>0</v>
          </cell>
          <cell r="CP265">
            <v>-6386</v>
          </cell>
          <cell r="CQ265">
            <v>8198389</v>
          </cell>
          <cell r="CR265">
            <v>7975219</v>
          </cell>
          <cell r="CS265">
            <v>7847076</v>
          </cell>
          <cell r="CT265">
            <v>7759052</v>
          </cell>
          <cell r="CU265">
            <v>7628445</v>
          </cell>
          <cell r="CV265">
            <v>-32048</v>
          </cell>
          <cell r="CW265">
            <v>0</v>
          </cell>
          <cell r="CX265">
            <v>0</v>
          </cell>
          <cell r="CY265">
            <v>0</v>
          </cell>
          <cell r="CZ265">
            <v>0</v>
          </cell>
          <cell r="DA265">
            <v>0</v>
          </cell>
          <cell r="DC265">
            <v>0</v>
          </cell>
          <cell r="DD265">
            <v>0</v>
          </cell>
          <cell r="DE265">
            <v>0</v>
          </cell>
          <cell r="DF265">
            <v>0</v>
          </cell>
          <cell r="DG265">
            <v>0</v>
          </cell>
          <cell r="DH265">
            <v>0</v>
          </cell>
          <cell r="DI265">
            <v>0</v>
          </cell>
          <cell r="DJ265">
            <v>0</v>
          </cell>
          <cell r="DK265">
            <v>0</v>
          </cell>
          <cell r="DL265">
            <v>0</v>
          </cell>
        </row>
        <row r="266">
          <cell r="A266">
            <v>638</v>
          </cell>
          <cell r="B266" t="str">
            <v>Zoeterwoude</v>
          </cell>
          <cell r="C266">
            <v>8</v>
          </cell>
          <cell r="D266">
            <v>-2249</v>
          </cell>
          <cell r="E266">
            <v>-1125</v>
          </cell>
          <cell r="F266">
            <v>0</v>
          </cell>
          <cell r="G266">
            <v>0</v>
          </cell>
          <cell r="H266">
            <v>-10413</v>
          </cell>
          <cell r="I266">
            <v>-8623</v>
          </cell>
          <cell r="K266">
            <v>0</v>
          </cell>
          <cell r="L266">
            <v>17310</v>
          </cell>
          <cell r="M266">
            <v>16070</v>
          </cell>
          <cell r="N266">
            <v>0</v>
          </cell>
          <cell r="O266">
            <v>0</v>
          </cell>
          <cell r="P266">
            <v>0</v>
          </cell>
          <cell r="Q266">
            <v>0</v>
          </cell>
          <cell r="R266">
            <v>0</v>
          </cell>
          <cell r="S266">
            <v>0</v>
          </cell>
          <cell r="T266">
            <v>0</v>
          </cell>
          <cell r="U266">
            <v>0</v>
          </cell>
          <cell r="V266">
            <v>3000</v>
          </cell>
          <cell r="W266">
            <v>0</v>
          </cell>
          <cell r="X266">
            <v>0</v>
          </cell>
          <cell r="Z266">
            <v>0</v>
          </cell>
          <cell r="AA266">
            <v>0</v>
          </cell>
          <cell r="AB266">
            <v>0</v>
          </cell>
          <cell r="AD266">
            <v>0</v>
          </cell>
          <cell r="AE266">
            <v>0</v>
          </cell>
          <cell r="AF266">
            <v>0</v>
          </cell>
          <cell r="AG266">
            <v>0</v>
          </cell>
          <cell r="AH266">
            <v>0</v>
          </cell>
          <cell r="AI266">
            <v>0</v>
          </cell>
          <cell r="AJ266">
            <v>0</v>
          </cell>
          <cell r="AK266">
            <v>0</v>
          </cell>
          <cell r="AM266">
            <v>0</v>
          </cell>
          <cell r="AN266">
            <v>0</v>
          </cell>
          <cell r="AO266">
            <v>0</v>
          </cell>
          <cell r="AP266">
            <v>0</v>
          </cell>
          <cell r="AQ266">
            <v>0</v>
          </cell>
          <cell r="AR266">
            <v>0</v>
          </cell>
          <cell r="AS266">
            <v>0</v>
          </cell>
          <cell r="AT266">
            <v>0</v>
          </cell>
          <cell r="AU266">
            <v>0</v>
          </cell>
          <cell r="AV266">
            <v>0</v>
          </cell>
          <cell r="AW266">
            <v>0</v>
          </cell>
          <cell r="AX266">
            <v>0</v>
          </cell>
          <cell r="BA266">
            <v>0</v>
          </cell>
          <cell r="BC266">
            <v>0</v>
          </cell>
          <cell r="BD266">
            <v>2937</v>
          </cell>
          <cell r="BF266">
            <v>0</v>
          </cell>
          <cell r="BG266">
            <v>0</v>
          </cell>
          <cell r="BH266">
            <v>0</v>
          </cell>
          <cell r="BI266">
            <v>7724</v>
          </cell>
          <cell r="BJ266">
            <v>6358</v>
          </cell>
          <cell r="BK266">
            <v>6358</v>
          </cell>
          <cell r="BL266">
            <v>0</v>
          </cell>
          <cell r="BM266">
            <v>0</v>
          </cell>
          <cell r="BN266">
            <v>0</v>
          </cell>
          <cell r="BO266">
            <v>52048</v>
          </cell>
          <cell r="BP266">
            <v>1581.4</v>
          </cell>
          <cell r="BQ266">
            <v>2848.8372093023299</v>
          </cell>
          <cell r="BR266">
            <v>0</v>
          </cell>
          <cell r="BS266">
            <v>0</v>
          </cell>
          <cell r="BT266">
            <v>13768</v>
          </cell>
          <cell r="BY266">
            <v>0</v>
          </cell>
          <cell r="BZ266">
            <v>0</v>
          </cell>
          <cell r="CA266">
            <v>0</v>
          </cell>
          <cell r="CB266">
            <v>0</v>
          </cell>
          <cell r="CC266">
            <v>656655</v>
          </cell>
          <cell r="CD266">
            <v>2712345</v>
          </cell>
          <cell r="CE266">
            <v>85603</v>
          </cell>
          <cell r="CF266">
            <v>0</v>
          </cell>
          <cell r="CG266">
            <v>85603</v>
          </cell>
          <cell r="CH266">
            <v>85603</v>
          </cell>
          <cell r="CI266">
            <v>85603</v>
          </cell>
          <cell r="CJ266">
            <v>85603</v>
          </cell>
          <cell r="CK266">
            <v>0</v>
          </cell>
          <cell r="CL266">
            <v>0</v>
          </cell>
          <cell r="CM266">
            <v>0</v>
          </cell>
          <cell r="CN266">
            <v>0</v>
          </cell>
          <cell r="CO266">
            <v>0</v>
          </cell>
          <cell r="CP266">
            <v>-3100</v>
          </cell>
          <cell r="CQ266">
            <v>30550</v>
          </cell>
          <cell r="CR266">
            <v>33942</v>
          </cell>
          <cell r="CS266">
            <v>35079</v>
          </cell>
          <cell r="CT266">
            <v>38169</v>
          </cell>
          <cell r="CU266">
            <v>41245</v>
          </cell>
          <cell r="CV266">
            <v>1987</v>
          </cell>
          <cell r="CW266">
            <v>0</v>
          </cell>
          <cell r="CX266">
            <v>0</v>
          </cell>
          <cell r="CY266">
            <v>0</v>
          </cell>
          <cell r="CZ266">
            <v>0</v>
          </cell>
          <cell r="DA266">
            <v>0</v>
          </cell>
          <cell r="DC266">
            <v>0</v>
          </cell>
          <cell r="DD266">
            <v>0</v>
          </cell>
          <cell r="DE266">
            <v>0</v>
          </cell>
          <cell r="DF266">
            <v>0</v>
          </cell>
          <cell r="DG266">
            <v>0</v>
          </cell>
          <cell r="DH266">
            <v>0</v>
          </cell>
          <cell r="DI266">
            <v>0</v>
          </cell>
          <cell r="DJ266">
            <v>0</v>
          </cell>
          <cell r="DK266">
            <v>0</v>
          </cell>
          <cell r="DL266">
            <v>0</v>
          </cell>
        </row>
        <row r="267">
          <cell r="A267">
            <v>1892</v>
          </cell>
          <cell r="B267" t="str">
            <v>Zuidplas</v>
          </cell>
          <cell r="C267">
            <v>8</v>
          </cell>
          <cell r="D267">
            <v>33538</v>
          </cell>
          <cell r="E267">
            <v>16769</v>
          </cell>
          <cell r="F267">
            <v>0</v>
          </cell>
          <cell r="G267">
            <v>0</v>
          </cell>
          <cell r="H267">
            <v>0</v>
          </cell>
          <cell r="I267">
            <v>-21664</v>
          </cell>
          <cell r="K267">
            <v>0</v>
          </cell>
          <cell r="L267">
            <v>129564</v>
          </cell>
          <cell r="M267">
            <v>127798</v>
          </cell>
          <cell r="N267">
            <v>0</v>
          </cell>
          <cell r="O267">
            <v>0</v>
          </cell>
          <cell r="P267">
            <v>0</v>
          </cell>
          <cell r="Q267">
            <v>0</v>
          </cell>
          <cell r="R267">
            <v>0</v>
          </cell>
          <cell r="S267">
            <v>0</v>
          </cell>
          <cell r="T267">
            <v>0</v>
          </cell>
          <cell r="U267">
            <v>0</v>
          </cell>
          <cell r="V267">
            <v>12000</v>
          </cell>
          <cell r="W267">
            <v>163447</v>
          </cell>
          <cell r="X267">
            <v>0</v>
          </cell>
          <cell r="Z267">
            <v>0</v>
          </cell>
          <cell r="AA267">
            <v>0</v>
          </cell>
          <cell r="AB267">
            <v>0</v>
          </cell>
          <cell r="AD267">
            <v>0</v>
          </cell>
          <cell r="AE267">
            <v>0</v>
          </cell>
          <cell r="AF267">
            <v>0</v>
          </cell>
          <cell r="AG267">
            <v>0</v>
          </cell>
          <cell r="AH267">
            <v>0</v>
          </cell>
          <cell r="AI267">
            <v>0</v>
          </cell>
          <cell r="AJ267">
            <v>0</v>
          </cell>
          <cell r="AK267">
            <v>0</v>
          </cell>
          <cell r="AM267">
            <v>0</v>
          </cell>
          <cell r="AN267">
            <v>0</v>
          </cell>
          <cell r="AO267">
            <v>0</v>
          </cell>
          <cell r="AP267">
            <v>0</v>
          </cell>
          <cell r="AQ267">
            <v>0</v>
          </cell>
          <cell r="AR267">
            <v>0</v>
          </cell>
          <cell r="AS267">
            <v>0</v>
          </cell>
          <cell r="AT267">
            <v>0</v>
          </cell>
          <cell r="AU267">
            <v>0</v>
          </cell>
          <cell r="AV267">
            <v>0</v>
          </cell>
          <cell r="AW267">
            <v>0</v>
          </cell>
          <cell r="AX267">
            <v>0</v>
          </cell>
          <cell r="BA267">
            <v>0</v>
          </cell>
          <cell r="BC267">
            <v>0</v>
          </cell>
          <cell r="BD267">
            <v>14557</v>
          </cell>
          <cell r="BF267">
            <v>0</v>
          </cell>
          <cell r="BG267">
            <v>0</v>
          </cell>
          <cell r="BH267">
            <v>0</v>
          </cell>
          <cell r="BI267">
            <v>39649</v>
          </cell>
          <cell r="BJ267">
            <v>32637</v>
          </cell>
          <cell r="BK267">
            <v>32637</v>
          </cell>
          <cell r="BL267">
            <v>0</v>
          </cell>
          <cell r="BM267">
            <v>0</v>
          </cell>
          <cell r="BN267">
            <v>0</v>
          </cell>
          <cell r="BO267">
            <v>138146</v>
          </cell>
          <cell r="BP267">
            <v>11069.8</v>
          </cell>
          <cell r="BQ267">
            <v>19941.8604651163</v>
          </cell>
          <cell r="BR267">
            <v>0</v>
          </cell>
          <cell r="BS267">
            <v>0</v>
          </cell>
          <cell r="BT267">
            <v>71898</v>
          </cell>
          <cell r="BY267">
            <v>0</v>
          </cell>
          <cell r="BZ267">
            <v>0</v>
          </cell>
          <cell r="CA267">
            <v>0</v>
          </cell>
          <cell r="CB267">
            <v>0</v>
          </cell>
          <cell r="CC267">
            <v>2336946</v>
          </cell>
          <cell r="CD267">
            <v>13821925</v>
          </cell>
          <cell r="CE267">
            <v>6124689</v>
          </cell>
          <cell r="CF267">
            <v>0</v>
          </cell>
          <cell r="CG267">
            <v>6124689</v>
          </cell>
          <cell r="CH267">
            <v>6124689</v>
          </cell>
          <cell r="CI267">
            <v>6124689</v>
          </cell>
          <cell r="CJ267">
            <v>6124689</v>
          </cell>
          <cell r="CK267">
            <v>0</v>
          </cell>
          <cell r="CL267">
            <v>0</v>
          </cell>
          <cell r="CM267">
            <v>0</v>
          </cell>
          <cell r="CN267">
            <v>0</v>
          </cell>
          <cell r="CO267">
            <v>0</v>
          </cell>
          <cell r="CP267">
            <v>-7849</v>
          </cell>
          <cell r="CQ267">
            <v>2084672</v>
          </cell>
          <cell r="CR267">
            <v>2030347</v>
          </cell>
          <cell r="CS267">
            <v>1980128</v>
          </cell>
          <cell r="CT267">
            <v>1900874</v>
          </cell>
          <cell r="CU267">
            <v>1829791</v>
          </cell>
          <cell r="CV267">
            <v>-86383</v>
          </cell>
          <cell r="CW267">
            <v>0</v>
          </cell>
          <cell r="CX267">
            <v>0</v>
          </cell>
          <cell r="CY267">
            <v>0</v>
          </cell>
          <cell r="CZ267">
            <v>0</v>
          </cell>
          <cell r="DA267">
            <v>0</v>
          </cell>
          <cell r="DC267">
            <v>0</v>
          </cell>
          <cell r="DD267">
            <v>0</v>
          </cell>
          <cell r="DE267">
            <v>0</v>
          </cell>
          <cell r="DF267">
            <v>0</v>
          </cell>
          <cell r="DG267">
            <v>0</v>
          </cell>
          <cell r="DH267">
            <v>0</v>
          </cell>
          <cell r="DI267">
            <v>0</v>
          </cell>
          <cell r="DJ267">
            <v>0</v>
          </cell>
          <cell r="DK267">
            <v>0</v>
          </cell>
          <cell r="DL267">
            <v>0</v>
          </cell>
        </row>
        <row r="268">
          <cell r="A268">
            <v>642</v>
          </cell>
          <cell r="B268" t="str">
            <v>Zwijndrecht</v>
          </cell>
          <cell r="C268">
            <v>8</v>
          </cell>
          <cell r="D268">
            <v>50103</v>
          </cell>
          <cell r="E268">
            <v>25052</v>
          </cell>
          <cell r="F268">
            <v>0</v>
          </cell>
          <cell r="G268">
            <v>0</v>
          </cell>
          <cell r="H268">
            <v>0</v>
          </cell>
          <cell r="I268">
            <v>0</v>
          </cell>
          <cell r="K268">
            <v>0</v>
          </cell>
          <cell r="L268">
            <v>275760</v>
          </cell>
          <cell r="M268">
            <v>275974</v>
          </cell>
          <cell r="N268">
            <v>3900</v>
          </cell>
          <cell r="O268">
            <v>2000</v>
          </cell>
          <cell r="P268">
            <v>0</v>
          </cell>
          <cell r="Q268">
            <v>0</v>
          </cell>
          <cell r="R268">
            <v>0</v>
          </cell>
          <cell r="S268">
            <v>0</v>
          </cell>
          <cell r="T268">
            <v>0</v>
          </cell>
          <cell r="U268">
            <v>0</v>
          </cell>
          <cell r="V268">
            <v>3000</v>
          </cell>
          <cell r="W268">
            <v>166776</v>
          </cell>
          <cell r="X268">
            <v>0</v>
          </cell>
          <cell r="Z268">
            <v>0</v>
          </cell>
          <cell r="AA268">
            <v>0</v>
          </cell>
          <cell r="AB268">
            <v>0</v>
          </cell>
          <cell r="AD268">
            <v>45956</v>
          </cell>
          <cell r="AE268">
            <v>0</v>
          </cell>
          <cell r="AF268">
            <v>0</v>
          </cell>
          <cell r="AG268">
            <v>0</v>
          </cell>
          <cell r="AH268">
            <v>0</v>
          </cell>
          <cell r="AI268">
            <v>0</v>
          </cell>
          <cell r="AJ268">
            <v>0</v>
          </cell>
          <cell r="AK268">
            <v>0</v>
          </cell>
          <cell r="AM268">
            <v>16168</v>
          </cell>
          <cell r="AN268">
            <v>16540</v>
          </cell>
          <cell r="AO268">
            <v>16920</v>
          </cell>
          <cell r="AP268">
            <v>17309</v>
          </cell>
          <cell r="AQ268">
            <v>17708</v>
          </cell>
          <cell r="AR268">
            <v>18115</v>
          </cell>
          <cell r="AS268">
            <v>0</v>
          </cell>
          <cell r="AT268">
            <v>0</v>
          </cell>
          <cell r="AU268">
            <v>14220</v>
          </cell>
          <cell r="AV268">
            <v>0</v>
          </cell>
          <cell r="AW268">
            <v>0</v>
          </cell>
          <cell r="AX268">
            <v>0</v>
          </cell>
          <cell r="BA268">
            <v>0</v>
          </cell>
          <cell r="BC268">
            <v>0</v>
          </cell>
          <cell r="BD268">
            <v>15592</v>
          </cell>
          <cell r="BF268">
            <v>0</v>
          </cell>
          <cell r="BG268">
            <v>0</v>
          </cell>
          <cell r="BH268">
            <v>0</v>
          </cell>
          <cell r="BI268">
            <v>74697</v>
          </cell>
          <cell r="BJ268">
            <v>61487</v>
          </cell>
          <cell r="BK268">
            <v>61487</v>
          </cell>
          <cell r="BL268">
            <v>0</v>
          </cell>
          <cell r="BM268">
            <v>0</v>
          </cell>
          <cell r="BN268">
            <v>0</v>
          </cell>
          <cell r="BO268">
            <v>197490</v>
          </cell>
          <cell r="BP268">
            <v>33209.4</v>
          </cell>
          <cell r="BQ268">
            <v>59825.581395348803</v>
          </cell>
          <cell r="BR268">
            <v>0</v>
          </cell>
          <cell r="BS268">
            <v>0</v>
          </cell>
          <cell r="BT268">
            <v>69604</v>
          </cell>
          <cell r="BY268">
            <v>0</v>
          </cell>
          <cell r="BZ268">
            <v>0</v>
          </cell>
          <cell r="CA268">
            <v>0</v>
          </cell>
          <cell r="CB268">
            <v>0</v>
          </cell>
          <cell r="CC268">
            <v>4073609</v>
          </cell>
          <cell r="CD268">
            <v>21154937</v>
          </cell>
          <cell r="CE268">
            <v>1159079</v>
          </cell>
          <cell r="CF268">
            <v>0</v>
          </cell>
          <cell r="CG268">
            <v>1159079</v>
          </cell>
          <cell r="CH268">
            <v>1159079</v>
          </cell>
          <cell r="CI268">
            <v>1159079</v>
          </cell>
          <cell r="CJ268">
            <v>1159079</v>
          </cell>
          <cell r="CK268">
            <v>0</v>
          </cell>
          <cell r="CL268">
            <v>0</v>
          </cell>
          <cell r="CM268">
            <v>0</v>
          </cell>
          <cell r="CN268">
            <v>0</v>
          </cell>
          <cell r="CO268">
            <v>0</v>
          </cell>
          <cell r="CP268">
            <v>0</v>
          </cell>
          <cell r="CQ268">
            <v>3638147</v>
          </cell>
          <cell r="CR268">
            <v>3555518</v>
          </cell>
          <cell r="CS268">
            <v>3496163</v>
          </cell>
          <cell r="CT268">
            <v>3366900</v>
          </cell>
          <cell r="CU268">
            <v>3242054</v>
          </cell>
          <cell r="CV268">
            <v>43479</v>
          </cell>
          <cell r="CW268">
            <v>0</v>
          </cell>
          <cell r="CX268">
            <v>0</v>
          </cell>
          <cell r="CY268">
            <v>0</v>
          </cell>
          <cell r="CZ268">
            <v>0</v>
          </cell>
          <cell r="DA268">
            <v>0</v>
          </cell>
          <cell r="DC268">
            <v>0</v>
          </cell>
          <cell r="DD268">
            <v>0</v>
          </cell>
          <cell r="DE268">
            <v>0</v>
          </cell>
          <cell r="DF268">
            <v>0</v>
          </cell>
          <cell r="DG268">
            <v>0</v>
          </cell>
          <cell r="DH268">
            <v>0</v>
          </cell>
          <cell r="DI268">
            <v>0</v>
          </cell>
          <cell r="DJ268">
            <v>0</v>
          </cell>
          <cell r="DK268">
            <v>0</v>
          </cell>
          <cell r="DL268">
            <v>0</v>
          </cell>
        </row>
        <row r="269">
          <cell r="A269">
            <v>654</v>
          </cell>
          <cell r="B269" t="str">
            <v>Borsele</v>
          </cell>
          <cell r="C269">
            <v>9</v>
          </cell>
          <cell r="D269">
            <v>47725</v>
          </cell>
          <cell r="E269">
            <v>23862</v>
          </cell>
          <cell r="F269">
            <v>0</v>
          </cell>
          <cell r="G269">
            <v>87944</v>
          </cell>
          <cell r="H269">
            <v>0</v>
          </cell>
          <cell r="I269">
            <v>-3690</v>
          </cell>
          <cell r="K269">
            <v>0</v>
          </cell>
          <cell r="L269">
            <v>75605</v>
          </cell>
          <cell r="M269">
            <v>67851</v>
          </cell>
          <cell r="N269">
            <v>0</v>
          </cell>
          <cell r="O269">
            <v>0</v>
          </cell>
          <cell r="P269">
            <v>0</v>
          </cell>
          <cell r="Q269">
            <v>0</v>
          </cell>
          <cell r="R269">
            <v>0</v>
          </cell>
          <cell r="S269">
            <v>0</v>
          </cell>
          <cell r="T269">
            <v>0</v>
          </cell>
          <cell r="U269">
            <v>0</v>
          </cell>
          <cell r="V269">
            <v>0</v>
          </cell>
          <cell r="W269">
            <v>99910</v>
          </cell>
          <cell r="X269">
            <v>0</v>
          </cell>
          <cell r="Z269">
            <v>0</v>
          </cell>
          <cell r="AA269">
            <v>0</v>
          </cell>
          <cell r="AB269">
            <v>0</v>
          </cell>
          <cell r="AD269">
            <v>0</v>
          </cell>
          <cell r="AE269">
            <v>0</v>
          </cell>
          <cell r="AF269">
            <v>0</v>
          </cell>
          <cell r="AG269">
            <v>0</v>
          </cell>
          <cell r="AH269">
            <v>0</v>
          </cell>
          <cell r="AI269">
            <v>0</v>
          </cell>
          <cell r="AJ269">
            <v>0</v>
          </cell>
          <cell r="AK269">
            <v>0</v>
          </cell>
          <cell r="AM269">
            <v>114314</v>
          </cell>
          <cell r="AN269">
            <v>116943</v>
          </cell>
          <cell r="AO269">
            <v>119633</v>
          </cell>
          <cell r="AP269">
            <v>122385</v>
          </cell>
          <cell r="AQ269">
            <v>125199</v>
          </cell>
          <cell r="AR269">
            <v>128079</v>
          </cell>
          <cell r="AS269">
            <v>0</v>
          </cell>
          <cell r="AT269">
            <v>0</v>
          </cell>
          <cell r="AU269">
            <v>7110</v>
          </cell>
          <cell r="AV269">
            <v>0</v>
          </cell>
          <cell r="AW269">
            <v>0</v>
          </cell>
          <cell r="AX269">
            <v>0</v>
          </cell>
          <cell r="BA269">
            <v>0</v>
          </cell>
          <cell r="BC269">
            <v>0</v>
          </cell>
          <cell r="BD269">
            <v>7964</v>
          </cell>
          <cell r="BF269">
            <v>0</v>
          </cell>
          <cell r="BG269">
            <v>0</v>
          </cell>
          <cell r="BH269">
            <v>0</v>
          </cell>
          <cell r="BI269">
            <v>27942</v>
          </cell>
          <cell r="BJ269">
            <v>23001</v>
          </cell>
          <cell r="BK269">
            <v>23001</v>
          </cell>
          <cell r="BL269">
            <v>0</v>
          </cell>
          <cell r="BM269">
            <v>0</v>
          </cell>
          <cell r="BN269">
            <v>0</v>
          </cell>
          <cell r="BO269">
            <v>331744</v>
          </cell>
          <cell r="BP269">
            <v>23721</v>
          </cell>
          <cell r="BQ269">
            <v>42732.5581395349</v>
          </cell>
          <cell r="BR269">
            <v>0</v>
          </cell>
          <cell r="BS269">
            <v>0</v>
          </cell>
          <cell r="BT269">
            <v>48501</v>
          </cell>
          <cell r="BY269">
            <v>0</v>
          </cell>
          <cell r="BZ269">
            <v>0</v>
          </cell>
          <cell r="CA269">
            <v>0</v>
          </cell>
          <cell r="CB269">
            <v>0</v>
          </cell>
          <cell r="CC269">
            <v>1585640</v>
          </cell>
          <cell r="CD269">
            <v>8524570</v>
          </cell>
          <cell r="CE269">
            <v>642712</v>
          </cell>
          <cell r="CF269">
            <v>0</v>
          </cell>
          <cell r="CG269">
            <v>642712</v>
          </cell>
          <cell r="CH269">
            <v>642712</v>
          </cell>
          <cell r="CI269">
            <v>642712</v>
          </cell>
          <cell r="CJ269">
            <v>642712</v>
          </cell>
          <cell r="CK269">
            <v>0</v>
          </cell>
          <cell r="CL269">
            <v>0</v>
          </cell>
          <cell r="CM269">
            <v>0</v>
          </cell>
          <cell r="CN269">
            <v>0</v>
          </cell>
          <cell r="CO269">
            <v>0</v>
          </cell>
          <cell r="CP269">
            <v>-1334</v>
          </cell>
          <cell r="CQ269">
            <v>1577381</v>
          </cell>
          <cell r="CR269">
            <v>1513795</v>
          </cell>
          <cell r="CS269">
            <v>1492961</v>
          </cell>
          <cell r="CT269">
            <v>1460043</v>
          </cell>
          <cell r="CU269">
            <v>1464592</v>
          </cell>
          <cell r="CV269">
            <v>-18891</v>
          </cell>
          <cell r="CW269">
            <v>0</v>
          </cell>
          <cell r="CX269">
            <v>0</v>
          </cell>
          <cell r="CY269">
            <v>0</v>
          </cell>
          <cell r="CZ269">
            <v>0</v>
          </cell>
          <cell r="DA269">
            <v>0</v>
          </cell>
          <cell r="DC269">
            <v>0</v>
          </cell>
          <cell r="DD269">
            <v>0</v>
          </cell>
          <cell r="DE269">
            <v>0</v>
          </cell>
          <cell r="DF269">
            <v>0</v>
          </cell>
          <cell r="DG269">
            <v>0</v>
          </cell>
          <cell r="DH269">
            <v>0</v>
          </cell>
          <cell r="DI269">
            <v>0</v>
          </cell>
          <cell r="DJ269">
            <v>0</v>
          </cell>
          <cell r="DK269">
            <v>0</v>
          </cell>
          <cell r="DL269">
            <v>0</v>
          </cell>
        </row>
        <row r="270">
          <cell r="A270">
            <v>664</v>
          </cell>
          <cell r="B270" t="str">
            <v>Goes</v>
          </cell>
          <cell r="C270">
            <v>9</v>
          </cell>
          <cell r="D270">
            <v>133758</v>
          </cell>
          <cell r="E270">
            <v>66879</v>
          </cell>
          <cell r="F270">
            <v>0</v>
          </cell>
          <cell r="G270">
            <v>99630</v>
          </cell>
          <cell r="H270">
            <v>-9326</v>
          </cell>
          <cell r="I270">
            <v>-17105</v>
          </cell>
          <cell r="K270">
            <v>7500</v>
          </cell>
          <cell r="L270">
            <v>134637</v>
          </cell>
          <cell r="M270">
            <v>124417</v>
          </cell>
          <cell r="N270">
            <v>0</v>
          </cell>
          <cell r="O270">
            <v>0</v>
          </cell>
          <cell r="P270">
            <v>0</v>
          </cell>
          <cell r="Q270">
            <v>0</v>
          </cell>
          <cell r="R270">
            <v>0</v>
          </cell>
          <cell r="S270">
            <v>0</v>
          </cell>
          <cell r="T270">
            <v>0</v>
          </cell>
          <cell r="U270">
            <v>0</v>
          </cell>
          <cell r="V270">
            <v>4000</v>
          </cell>
          <cell r="W270">
            <v>138203</v>
          </cell>
          <cell r="X270">
            <v>0</v>
          </cell>
          <cell r="Z270">
            <v>0</v>
          </cell>
          <cell r="AA270">
            <v>37000</v>
          </cell>
          <cell r="AB270">
            <v>0</v>
          </cell>
          <cell r="AD270">
            <v>41067</v>
          </cell>
          <cell r="AE270">
            <v>0</v>
          </cell>
          <cell r="AF270">
            <v>0</v>
          </cell>
          <cell r="AG270">
            <v>0</v>
          </cell>
          <cell r="AH270">
            <v>0</v>
          </cell>
          <cell r="AI270">
            <v>0</v>
          </cell>
          <cell r="AJ270">
            <v>0</v>
          </cell>
          <cell r="AK270">
            <v>0</v>
          </cell>
          <cell r="AM270">
            <v>73376</v>
          </cell>
          <cell r="AN270">
            <v>75063</v>
          </cell>
          <cell r="AO270">
            <v>76790</v>
          </cell>
          <cell r="AP270">
            <v>78556</v>
          </cell>
          <cell r="AQ270">
            <v>80363</v>
          </cell>
          <cell r="AR270">
            <v>82211</v>
          </cell>
          <cell r="AS270">
            <v>0</v>
          </cell>
          <cell r="AT270">
            <v>20000</v>
          </cell>
          <cell r="AU270">
            <v>0</v>
          </cell>
          <cell r="AV270">
            <v>0</v>
          </cell>
          <cell r="AW270">
            <v>64160</v>
          </cell>
          <cell r="AX270">
            <v>0</v>
          </cell>
          <cell r="BA270">
            <v>0</v>
          </cell>
          <cell r="BC270">
            <v>0</v>
          </cell>
          <cell r="BD270">
            <v>13084</v>
          </cell>
          <cell r="BF270">
            <v>0</v>
          </cell>
          <cell r="BG270">
            <v>0</v>
          </cell>
          <cell r="BH270">
            <v>0</v>
          </cell>
          <cell r="BI270">
            <v>66299</v>
          </cell>
          <cell r="BJ270">
            <v>54574</v>
          </cell>
          <cell r="BK270">
            <v>54574</v>
          </cell>
          <cell r="BL270">
            <v>0</v>
          </cell>
          <cell r="BM270">
            <v>0</v>
          </cell>
          <cell r="BN270">
            <v>0</v>
          </cell>
          <cell r="BO270">
            <v>186302</v>
          </cell>
          <cell r="BP270">
            <v>1581.4</v>
          </cell>
          <cell r="BQ270">
            <v>2848.8372093023299</v>
          </cell>
          <cell r="BR270">
            <v>0</v>
          </cell>
          <cell r="BS270">
            <v>0</v>
          </cell>
          <cell r="BT270">
            <v>57614</v>
          </cell>
          <cell r="BY270">
            <v>0</v>
          </cell>
          <cell r="BZ270">
            <v>0</v>
          </cell>
          <cell r="CA270">
            <v>0</v>
          </cell>
          <cell r="CB270">
            <v>0</v>
          </cell>
          <cell r="CC270">
            <v>3742971</v>
          </cell>
          <cell r="CD270">
            <v>20556260</v>
          </cell>
          <cell r="CE270">
            <v>1131819</v>
          </cell>
          <cell r="CF270">
            <v>-19223</v>
          </cell>
          <cell r="CG270">
            <v>1131819</v>
          </cell>
          <cell r="CH270">
            <v>1131819</v>
          </cell>
          <cell r="CI270">
            <v>1131819</v>
          </cell>
          <cell r="CJ270">
            <v>1131819</v>
          </cell>
          <cell r="CK270">
            <v>0</v>
          </cell>
          <cell r="CL270">
            <v>0</v>
          </cell>
          <cell r="CM270">
            <v>0</v>
          </cell>
          <cell r="CN270">
            <v>0</v>
          </cell>
          <cell r="CO270">
            <v>0</v>
          </cell>
          <cell r="CP270">
            <v>-3274</v>
          </cell>
          <cell r="CQ270">
            <v>5867655</v>
          </cell>
          <cell r="CR270">
            <v>5521921</v>
          </cell>
          <cell r="CS270">
            <v>5439463</v>
          </cell>
          <cell r="CT270">
            <v>5365409</v>
          </cell>
          <cell r="CU270">
            <v>5254654</v>
          </cell>
          <cell r="CV270">
            <v>129332</v>
          </cell>
          <cell r="CW270">
            <v>0</v>
          </cell>
          <cell r="CX270">
            <v>0</v>
          </cell>
          <cell r="CY270">
            <v>0</v>
          </cell>
          <cell r="CZ270">
            <v>0</v>
          </cell>
          <cell r="DA270">
            <v>0</v>
          </cell>
          <cell r="DC270">
            <v>0</v>
          </cell>
          <cell r="DD270">
            <v>0</v>
          </cell>
          <cell r="DE270">
            <v>0</v>
          </cell>
          <cell r="DF270">
            <v>0</v>
          </cell>
          <cell r="DG270">
            <v>0</v>
          </cell>
          <cell r="DH270">
            <v>0</v>
          </cell>
          <cell r="DI270">
            <v>0</v>
          </cell>
          <cell r="DJ270">
            <v>0</v>
          </cell>
          <cell r="DK270">
            <v>0</v>
          </cell>
          <cell r="DL270">
            <v>0</v>
          </cell>
        </row>
        <row r="271">
          <cell r="A271">
            <v>677</v>
          </cell>
          <cell r="B271" t="str">
            <v>Hulst</v>
          </cell>
          <cell r="C271">
            <v>9</v>
          </cell>
          <cell r="D271">
            <v>2786</v>
          </cell>
          <cell r="E271">
            <v>1393</v>
          </cell>
          <cell r="F271">
            <v>0</v>
          </cell>
          <cell r="G271">
            <v>0</v>
          </cell>
          <cell r="H271">
            <v>-8077</v>
          </cell>
          <cell r="I271">
            <v>0</v>
          </cell>
          <cell r="K271">
            <v>0</v>
          </cell>
          <cell r="L271">
            <v>74431</v>
          </cell>
          <cell r="M271">
            <v>71779</v>
          </cell>
          <cell r="N271">
            <v>0</v>
          </cell>
          <cell r="O271">
            <v>0</v>
          </cell>
          <cell r="P271">
            <v>0</v>
          </cell>
          <cell r="Q271">
            <v>0</v>
          </cell>
          <cell r="R271">
            <v>0</v>
          </cell>
          <cell r="S271">
            <v>0</v>
          </cell>
          <cell r="T271">
            <v>0</v>
          </cell>
          <cell r="U271">
            <v>0</v>
          </cell>
          <cell r="V271">
            <v>15000</v>
          </cell>
          <cell r="W271">
            <v>91926</v>
          </cell>
          <cell r="X271">
            <v>0</v>
          </cell>
          <cell r="Z271">
            <v>0</v>
          </cell>
          <cell r="AA271">
            <v>0</v>
          </cell>
          <cell r="AB271">
            <v>0</v>
          </cell>
          <cell r="AD271">
            <v>62579</v>
          </cell>
          <cell r="AE271">
            <v>0</v>
          </cell>
          <cell r="AF271">
            <v>0</v>
          </cell>
          <cell r="AG271">
            <v>0</v>
          </cell>
          <cell r="AH271">
            <v>0</v>
          </cell>
          <cell r="AI271">
            <v>0</v>
          </cell>
          <cell r="AJ271">
            <v>0</v>
          </cell>
          <cell r="AK271">
            <v>0</v>
          </cell>
          <cell r="AM271">
            <v>156183</v>
          </cell>
          <cell r="AN271">
            <v>159775</v>
          </cell>
          <cell r="AO271">
            <v>163450</v>
          </cell>
          <cell r="AP271">
            <v>167209</v>
          </cell>
          <cell r="AQ271">
            <v>171055</v>
          </cell>
          <cell r="AR271">
            <v>174989</v>
          </cell>
          <cell r="AS271">
            <v>0</v>
          </cell>
          <cell r="AT271">
            <v>0</v>
          </cell>
          <cell r="AU271">
            <v>7110</v>
          </cell>
          <cell r="AV271">
            <v>0</v>
          </cell>
          <cell r="AW271">
            <v>0</v>
          </cell>
          <cell r="AX271">
            <v>0</v>
          </cell>
          <cell r="BA271">
            <v>0</v>
          </cell>
          <cell r="BC271">
            <v>0</v>
          </cell>
          <cell r="BD271">
            <v>9617</v>
          </cell>
          <cell r="BF271">
            <v>0</v>
          </cell>
          <cell r="BG271">
            <v>0</v>
          </cell>
          <cell r="BH271">
            <v>0</v>
          </cell>
          <cell r="BI271">
            <v>42131</v>
          </cell>
          <cell r="BJ271">
            <v>34680</v>
          </cell>
          <cell r="BK271">
            <v>34680</v>
          </cell>
          <cell r="BL271">
            <v>0</v>
          </cell>
          <cell r="BM271">
            <v>0</v>
          </cell>
          <cell r="BN271">
            <v>0</v>
          </cell>
          <cell r="BO271">
            <v>156630</v>
          </cell>
          <cell r="BP271">
            <v>25302.400000000001</v>
          </cell>
          <cell r="BQ271">
            <v>45581.395348837199</v>
          </cell>
          <cell r="BR271">
            <v>0</v>
          </cell>
          <cell r="BS271">
            <v>0</v>
          </cell>
          <cell r="BT271">
            <v>47288</v>
          </cell>
          <cell r="BY271">
            <v>0</v>
          </cell>
          <cell r="BZ271">
            <v>0</v>
          </cell>
          <cell r="CA271">
            <v>0</v>
          </cell>
          <cell r="CB271">
            <v>0</v>
          </cell>
          <cell r="CC271">
            <v>2451406</v>
          </cell>
          <cell r="CD271">
            <v>12974278</v>
          </cell>
          <cell r="CE271">
            <v>825802</v>
          </cell>
          <cell r="CF271">
            <v>0</v>
          </cell>
          <cell r="CG271">
            <v>825802</v>
          </cell>
          <cell r="CH271">
            <v>825802</v>
          </cell>
          <cell r="CI271">
            <v>825802</v>
          </cell>
          <cell r="CJ271">
            <v>825802</v>
          </cell>
          <cell r="CK271">
            <v>0</v>
          </cell>
          <cell r="CL271">
            <v>0</v>
          </cell>
          <cell r="CM271">
            <v>0</v>
          </cell>
          <cell r="CN271">
            <v>0</v>
          </cell>
          <cell r="CO271">
            <v>0</v>
          </cell>
          <cell r="CP271">
            <v>0</v>
          </cell>
          <cell r="CQ271">
            <v>3911901</v>
          </cell>
          <cell r="CR271">
            <v>3714255</v>
          </cell>
          <cell r="CS271">
            <v>3624775</v>
          </cell>
          <cell r="CT271">
            <v>3545388</v>
          </cell>
          <cell r="CU271">
            <v>3407574</v>
          </cell>
          <cell r="CV271">
            <v>8038</v>
          </cell>
          <cell r="CW271">
            <v>0</v>
          </cell>
          <cell r="CX271">
            <v>0</v>
          </cell>
          <cell r="CY271">
            <v>0</v>
          </cell>
          <cell r="CZ271">
            <v>0</v>
          </cell>
          <cell r="DA271">
            <v>0</v>
          </cell>
          <cell r="DC271">
            <v>0</v>
          </cell>
          <cell r="DD271">
            <v>0</v>
          </cell>
          <cell r="DE271">
            <v>0</v>
          </cell>
          <cell r="DF271">
            <v>0</v>
          </cell>
          <cell r="DG271">
            <v>0</v>
          </cell>
          <cell r="DH271">
            <v>0</v>
          </cell>
          <cell r="DI271">
            <v>0</v>
          </cell>
          <cell r="DJ271">
            <v>0</v>
          </cell>
          <cell r="DK271">
            <v>0</v>
          </cell>
          <cell r="DL271">
            <v>0</v>
          </cell>
        </row>
        <row r="272">
          <cell r="A272">
            <v>678</v>
          </cell>
          <cell r="B272" t="str">
            <v>Kapelle</v>
          </cell>
          <cell r="C272">
            <v>9</v>
          </cell>
          <cell r="D272">
            <v>4873</v>
          </cell>
          <cell r="E272">
            <v>2436</v>
          </cell>
          <cell r="F272">
            <v>0</v>
          </cell>
          <cell r="G272">
            <v>0</v>
          </cell>
          <cell r="H272">
            <v>-18661</v>
          </cell>
          <cell r="I272">
            <v>-12895</v>
          </cell>
          <cell r="K272">
            <v>0</v>
          </cell>
          <cell r="L272">
            <v>37882</v>
          </cell>
          <cell r="M272">
            <v>33140</v>
          </cell>
          <cell r="N272">
            <v>0</v>
          </cell>
          <cell r="O272">
            <v>0</v>
          </cell>
          <cell r="P272">
            <v>0</v>
          </cell>
          <cell r="Q272">
            <v>0</v>
          </cell>
          <cell r="R272">
            <v>0</v>
          </cell>
          <cell r="S272">
            <v>0</v>
          </cell>
          <cell r="T272">
            <v>0</v>
          </cell>
          <cell r="U272">
            <v>0</v>
          </cell>
          <cell r="V272">
            <v>0</v>
          </cell>
          <cell r="W272">
            <v>54620</v>
          </cell>
          <cell r="X272">
            <v>0</v>
          </cell>
          <cell r="Z272">
            <v>0</v>
          </cell>
          <cell r="AA272">
            <v>0</v>
          </cell>
          <cell r="AB272">
            <v>0</v>
          </cell>
          <cell r="AD272">
            <v>0</v>
          </cell>
          <cell r="AE272">
            <v>0</v>
          </cell>
          <cell r="AF272">
            <v>0</v>
          </cell>
          <cell r="AG272">
            <v>0</v>
          </cell>
          <cell r="AH272">
            <v>0</v>
          </cell>
          <cell r="AI272">
            <v>0</v>
          </cell>
          <cell r="AJ272">
            <v>0</v>
          </cell>
          <cell r="AK272">
            <v>0</v>
          </cell>
          <cell r="AM272">
            <v>29056</v>
          </cell>
          <cell r="AN272">
            <v>29724</v>
          </cell>
          <cell r="AO272">
            <v>30408</v>
          </cell>
          <cell r="AP272">
            <v>31107</v>
          </cell>
          <cell r="AQ272">
            <v>31823</v>
          </cell>
          <cell r="AR272">
            <v>32555</v>
          </cell>
          <cell r="AS272">
            <v>0</v>
          </cell>
          <cell r="AT272">
            <v>0</v>
          </cell>
          <cell r="AU272">
            <v>0</v>
          </cell>
          <cell r="AV272">
            <v>0</v>
          </cell>
          <cell r="AW272">
            <v>0</v>
          </cell>
          <cell r="AX272">
            <v>0</v>
          </cell>
          <cell r="BA272">
            <v>0</v>
          </cell>
          <cell r="BC272">
            <v>0</v>
          </cell>
          <cell r="BD272">
            <v>4431</v>
          </cell>
          <cell r="BF272">
            <v>0</v>
          </cell>
          <cell r="BG272">
            <v>0</v>
          </cell>
          <cell r="BH272">
            <v>0</v>
          </cell>
          <cell r="BI272">
            <v>11315</v>
          </cell>
          <cell r="BJ272">
            <v>9314</v>
          </cell>
          <cell r="BK272">
            <v>9314</v>
          </cell>
          <cell r="BL272">
            <v>0</v>
          </cell>
          <cell r="BM272">
            <v>0</v>
          </cell>
          <cell r="BN272">
            <v>0</v>
          </cell>
          <cell r="BO272">
            <v>81720</v>
          </cell>
          <cell r="BP272">
            <v>0</v>
          </cell>
          <cell r="BQ272">
            <v>0</v>
          </cell>
          <cell r="BR272">
            <v>0</v>
          </cell>
          <cell r="BS272">
            <v>0</v>
          </cell>
          <cell r="BT272">
            <v>20251</v>
          </cell>
          <cell r="BY272">
            <v>0</v>
          </cell>
          <cell r="BZ272">
            <v>0</v>
          </cell>
          <cell r="CA272">
            <v>0</v>
          </cell>
          <cell r="CB272">
            <v>0</v>
          </cell>
          <cell r="CC272">
            <v>841544</v>
          </cell>
          <cell r="CD272">
            <v>4207489</v>
          </cell>
          <cell r="CE272">
            <v>275977</v>
          </cell>
          <cell r="CF272">
            <v>-31067</v>
          </cell>
          <cell r="CG272">
            <v>275977</v>
          </cell>
          <cell r="CH272">
            <v>275977</v>
          </cell>
          <cell r="CI272">
            <v>275977</v>
          </cell>
          <cell r="CJ272">
            <v>275977</v>
          </cell>
          <cell r="CK272">
            <v>0</v>
          </cell>
          <cell r="CL272">
            <v>0</v>
          </cell>
          <cell r="CM272">
            <v>0</v>
          </cell>
          <cell r="CN272">
            <v>0</v>
          </cell>
          <cell r="CO272">
            <v>0</v>
          </cell>
          <cell r="CP272">
            <v>0</v>
          </cell>
          <cell r="CQ272">
            <v>606429</v>
          </cell>
          <cell r="CR272">
            <v>592752</v>
          </cell>
          <cell r="CS272">
            <v>536003</v>
          </cell>
          <cell r="CT272">
            <v>540396</v>
          </cell>
          <cell r="CU272">
            <v>542375</v>
          </cell>
          <cell r="CV272">
            <v>-18952</v>
          </cell>
          <cell r="CW272">
            <v>0</v>
          </cell>
          <cell r="CX272">
            <v>0</v>
          </cell>
          <cell r="CY272">
            <v>0</v>
          </cell>
          <cell r="CZ272">
            <v>0</v>
          </cell>
          <cell r="DA272">
            <v>0</v>
          </cell>
          <cell r="DC272">
            <v>0</v>
          </cell>
          <cell r="DD272">
            <v>0</v>
          </cell>
          <cell r="DE272">
            <v>0</v>
          </cell>
          <cell r="DF272">
            <v>0</v>
          </cell>
          <cell r="DG272">
            <v>0</v>
          </cell>
          <cell r="DH272">
            <v>0</v>
          </cell>
          <cell r="DI272">
            <v>0</v>
          </cell>
          <cell r="DJ272">
            <v>0</v>
          </cell>
          <cell r="DK272">
            <v>0</v>
          </cell>
          <cell r="DL272">
            <v>0</v>
          </cell>
        </row>
        <row r="273">
          <cell r="A273">
            <v>687</v>
          </cell>
          <cell r="B273" t="str">
            <v>Middelburg</v>
          </cell>
          <cell r="C273">
            <v>9</v>
          </cell>
          <cell r="D273">
            <v>37013</v>
          </cell>
          <cell r="E273">
            <v>18506</v>
          </cell>
          <cell r="F273">
            <v>0</v>
          </cell>
          <cell r="G273">
            <v>0</v>
          </cell>
          <cell r="H273">
            <v>-2586</v>
          </cell>
          <cell r="I273">
            <v>-5691</v>
          </cell>
          <cell r="K273">
            <v>0</v>
          </cell>
          <cell r="L273">
            <v>249796</v>
          </cell>
          <cell r="M273">
            <v>247977</v>
          </cell>
          <cell r="N273">
            <v>0</v>
          </cell>
          <cell r="O273">
            <v>0</v>
          </cell>
          <cell r="P273">
            <v>150000</v>
          </cell>
          <cell r="Q273">
            <v>0</v>
          </cell>
          <cell r="R273">
            <v>0</v>
          </cell>
          <cell r="S273">
            <v>0</v>
          </cell>
          <cell r="T273">
            <v>0</v>
          </cell>
          <cell r="U273">
            <v>0</v>
          </cell>
          <cell r="V273">
            <v>27000</v>
          </cell>
          <cell r="W273">
            <v>186214</v>
          </cell>
          <cell r="X273">
            <v>0</v>
          </cell>
          <cell r="Z273">
            <v>0</v>
          </cell>
          <cell r="AA273">
            <v>0</v>
          </cell>
          <cell r="AB273">
            <v>0</v>
          </cell>
          <cell r="AD273">
            <v>0</v>
          </cell>
          <cell r="AE273">
            <v>0</v>
          </cell>
          <cell r="AF273">
            <v>0</v>
          </cell>
          <cell r="AG273">
            <v>0</v>
          </cell>
          <cell r="AH273">
            <v>0</v>
          </cell>
          <cell r="AI273">
            <v>0</v>
          </cell>
          <cell r="AJ273">
            <v>0</v>
          </cell>
          <cell r="AK273">
            <v>0</v>
          </cell>
          <cell r="AM273">
            <v>40548</v>
          </cell>
          <cell r="AN273">
            <v>41480</v>
          </cell>
          <cell r="AO273">
            <v>42434</v>
          </cell>
          <cell r="AP273">
            <v>43410</v>
          </cell>
          <cell r="AQ273">
            <v>44409</v>
          </cell>
          <cell r="AR273">
            <v>45430</v>
          </cell>
          <cell r="AS273">
            <v>0</v>
          </cell>
          <cell r="AT273">
            <v>20000</v>
          </cell>
          <cell r="AU273">
            <v>9480</v>
          </cell>
          <cell r="AV273">
            <v>0</v>
          </cell>
          <cell r="AW273">
            <v>0</v>
          </cell>
          <cell r="AX273">
            <v>0</v>
          </cell>
          <cell r="BA273">
            <v>0</v>
          </cell>
          <cell r="BC273">
            <v>0</v>
          </cell>
          <cell r="BD273">
            <v>16856</v>
          </cell>
          <cell r="BF273">
            <v>0</v>
          </cell>
          <cell r="BG273">
            <v>0</v>
          </cell>
          <cell r="BH273">
            <v>0</v>
          </cell>
          <cell r="BI273">
            <v>83748</v>
          </cell>
          <cell r="BJ273">
            <v>68937</v>
          </cell>
          <cell r="BK273">
            <v>68937</v>
          </cell>
          <cell r="BL273">
            <v>0</v>
          </cell>
          <cell r="BM273">
            <v>0</v>
          </cell>
          <cell r="BN273">
            <v>161700</v>
          </cell>
          <cell r="BO273">
            <v>176087</v>
          </cell>
          <cell r="BP273">
            <v>22139.599999999999</v>
          </cell>
          <cell r="BQ273">
            <v>39883.720930232601</v>
          </cell>
          <cell r="BR273">
            <v>0</v>
          </cell>
          <cell r="BS273">
            <v>0</v>
          </cell>
          <cell r="BT273">
            <v>82110</v>
          </cell>
          <cell r="BY273">
            <v>0</v>
          </cell>
          <cell r="BZ273">
            <v>0</v>
          </cell>
          <cell r="CA273">
            <v>0</v>
          </cell>
          <cell r="CB273">
            <v>0</v>
          </cell>
          <cell r="CC273">
            <v>4165595</v>
          </cell>
          <cell r="CD273">
            <v>26376234</v>
          </cell>
          <cell r="CE273">
            <v>2095456</v>
          </cell>
          <cell r="CF273">
            <v>-13768</v>
          </cell>
          <cell r="CG273">
            <v>2095456</v>
          </cell>
          <cell r="CH273">
            <v>2095456</v>
          </cell>
          <cell r="CI273">
            <v>2095456</v>
          </cell>
          <cell r="CJ273">
            <v>2095456</v>
          </cell>
          <cell r="CK273">
            <v>0</v>
          </cell>
          <cell r="CL273">
            <v>0</v>
          </cell>
          <cell r="CM273">
            <v>0</v>
          </cell>
          <cell r="CN273">
            <v>0</v>
          </cell>
          <cell r="CO273">
            <v>0</v>
          </cell>
          <cell r="CP273">
            <v>0</v>
          </cell>
          <cell r="CQ273">
            <v>5860931</v>
          </cell>
          <cell r="CR273">
            <v>5594898</v>
          </cell>
          <cell r="CS273">
            <v>5455625</v>
          </cell>
          <cell r="CT273">
            <v>5266178</v>
          </cell>
          <cell r="CU273">
            <v>5066382</v>
          </cell>
          <cell r="CV273">
            <v>113143</v>
          </cell>
          <cell r="CW273">
            <v>0</v>
          </cell>
          <cell r="CX273">
            <v>0</v>
          </cell>
          <cell r="CY273">
            <v>0</v>
          </cell>
          <cell r="CZ273">
            <v>0</v>
          </cell>
          <cell r="DA273">
            <v>0</v>
          </cell>
          <cell r="DC273">
            <v>0</v>
          </cell>
          <cell r="DD273">
            <v>0</v>
          </cell>
          <cell r="DE273">
            <v>0</v>
          </cell>
          <cell r="DF273">
            <v>0</v>
          </cell>
          <cell r="DG273">
            <v>0</v>
          </cell>
          <cell r="DH273">
            <v>0</v>
          </cell>
          <cell r="DI273">
            <v>0</v>
          </cell>
          <cell r="DJ273">
            <v>0</v>
          </cell>
          <cell r="DK273">
            <v>0</v>
          </cell>
          <cell r="DL273">
            <v>0</v>
          </cell>
        </row>
        <row r="274">
          <cell r="A274">
            <v>1695</v>
          </cell>
          <cell r="B274" t="str">
            <v>Noord-Beveland</v>
          </cell>
          <cell r="C274">
            <v>9</v>
          </cell>
          <cell r="D274">
            <v>25539</v>
          </cell>
          <cell r="E274">
            <v>12769</v>
          </cell>
          <cell r="F274">
            <v>0</v>
          </cell>
          <cell r="G274">
            <v>0</v>
          </cell>
          <cell r="H274">
            <v>0</v>
          </cell>
          <cell r="I274">
            <v>0</v>
          </cell>
          <cell r="K274">
            <v>0</v>
          </cell>
          <cell r="L274">
            <v>24114</v>
          </cell>
          <cell r="M274">
            <v>26855</v>
          </cell>
          <cell r="N274">
            <v>0</v>
          </cell>
          <cell r="O274">
            <v>0</v>
          </cell>
          <cell r="P274">
            <v>0</v>
          </cell>
          <cell r="Q274">
            <v>0</v>
          </cell>
          <cell r="R274">
            <v>0</v>
          </cell>
          <cell r="S274">
            <v>0</v>
          </cell>
          <cell r="T274">
            <v>0</v>
          </cell>
          <cell r="U274">
            <v>0</v>
          </cell>
          <cell r="V274">
            <v>0</v>
          </cell>
          <cell r="W274">
            <v>22022</v>
          </cell>
          <cell r="X274">
            <v>0</v>
          </cell>
          <cell r="Z274">
            <v>0</v>
          </cell>
          <cell r="AA274">
            <v>0</v>
          </cell>
          <cell r="AB274">
            <v>0</v>
          </cell>
          <cell r="AD274">
            <v>0</v>
          </cell>
          <cell r="AE274">
            <v>0</v>
          </cell>
          <cell r="AF274">
            <v>0</v>
          </cell>
          <cell r="AG274">
            <v>0</v>
          </cell>
          <cell r="AH274">
            <v>0</v>
          </cell>
          <cell r="AI274">
            <v>0</v>
          </cell>
          <cell r="AJ274">
            <v>0</v>
          </cell>
          <cell r="AK274">
            <v>0</v>
          </cell>
          <cell r="AM274">
            <v>73188</v>
          </cell>
          <cell r="AN274">
            <v>74871</v>
          </cell>
          <cell r="AO274">
            <v>76593</v>
          </cell>
          <cell r="AP274">
            <v>78355</v>
          </cell>
          <cell r="AQ274">
            <v>80157</v>
          </cell>
          <cell r="AR274">
            <v>82000</v>
          </cell>
          <cell r="AS274">
            <v>0</v>
          </cell>
          <cell r="AT274">
            <v>0</v>
          </cell>
          <cell r="AU274">
            <v>0</v>
          </cell>
          <cell r="AV274">
            <v>0</v>
          </cell>
          <cell r="AW274">
            <v>0</v>
          </cell>
          <cell r="AX274">
            <v>0</v>
          </cell>
          <cell r="BA274">
            <v>0</v>
          </cell>
          <cell r="BC274">
            <v>0</v>
          </cell>
          <cell r="BD274">
            <v>2591</v>
          </cell>
          <cell r="BF274">
            <v>0</v>
          </cell>
          <cell r="BG274">
            <v>0</v>
          </cell>
          <cell r="BH274">
            <v>0</v>
          </cell>
          <cell r="BI274">
            <v>8594</v>
          </cell>
          <cell r="BJ274">
            <v>7074</v>
          </cell>
          <cell r="BK274">
            <v>7074</v>
          </cell>
          <cell r="BL274">
            <v>0</v>
          </cell>
          <cell r="BM274">
            <v>0</v>
          </cell>
          <cell r="BN274">
            <v>0</v>
          </cell>
          <cell r="BO274">
            <v>59831</v>
          </cell>
          <cell r="BP274">
            <v>7907</v>
          </cell>
          <cell r="BQ274">
            <v>14244.186046511601</v>
          </cell>
          <cell r="BR274">
            <v>0</v>
          </cell>
          <cell r="BS274">
            <v>0</v>
          </cell>
          <cell r="BT274">
            <v>20895</v>
          </cell>
          <cell r="BY274">
            <v>0</v>
          </cell>
          <cell r="BZ274">
            <v>0</v>
          </cell>
          <cell r="CA274">
            <v>0</v>
          </cell>
          <cell r="CB274">
            <v>0</v>
          </cell>
          <cell r="CC274">
            <v>611183</v>
          </cell>
          <cell r="CD274">
            <v>3166014</v>
          </cell>
          <cell r="CE274">
            <v>218159</v>
          </cell>
          <cell r="CF274">
            <v>45180</v>
          </cell>
          <cell r="CG274">
            <v>218159</v>
          </cell>
          <cell r="CH274">
            <v>218159</v>
          </cell>
          <cell r="CI274">
            <v>218159</v>
          </cell>
          <cell r="CJ274">
            <v>218159</v>
          </cell>
          <cell r="CK274">
            <v>0</v>
          </cell>
          <cell r="CL274">
            <v>0</v>
          </cell>
          <cell r="CM274">
            <v>0</v>
          </cell>
          <cell r="CN274">
            <v>0</v>
          </cell>
          <cell r="CO274">
            <v>0</v>
          </cell>
          <cell r="CP274">
            <v>-1668</v>
          </cell>
          <cell r="CQ274">
            <v>580812</v>
          </cell>
          <cell r="CR274">
            <v>569704</v>
          </cell>
          <cell r="CS274">
            <v>565442</v>
          </cell>
          <cell r="CT274">
            <v>545789</v>
          </cell>
          <cell r="CU274">
            <v>545616</v>
          </cell>
          <cell r="CV274">
            <v>-21748</v>
          </cell>
          <cell r="CW274">
            <v>0</v>
          </cell>
          <cell r="CX274">
            <v>0</v>
          </cell>
          <cell r="CY274">
            <v>0</v>
          </cell>
          <cell r="CZ274">
            <v>0</v>
          </cell>
          <cell r="DA274">
            <v>0</v>
          </cell>
          <cell r="DC274">
            <v>0</v>
          </cell>
          <cell r="DD274">
            <v>0</v>
          </cell>
          <cell r="DE274">
            <v>0</v>
          </cell>
          <cell r="DF274">
            <v>0</v>
          </cell>
          <cell r="DG274">
            <v>0</v>
          </cell>
          <cell r="DH274">
            <v>0</v>
          </cell>
          <cell r="DI274">
            <v>0</v>
          </cell>
          <cell r="DJ274">
            <v>0</v>
          </cell>
          <cell r="DK274">
            <v>0</v>
          </cell>
          <cell r="DL274">
            <v>0</v>
          </cell>
        </row>
        <row r="275">
          <cell r="A275">
            <v>703</v>
          </cell>
          <cell r="B275" t="str">
            <v>Reimerswaal</v>
          </cell>
          <cell r="C275">
            <v>9</v>
          </cell>
          <cell r="D275">
            <v>9227</v>
          </cell>
          <cell r="E275">
            <v>4614</v>
          </cell>
          <cell r="F275">
            <v>0</v>
          </cell>
          <cell r="G275">
            <v>0</v>
          </cell>
          <cell r="H275">
            <v>-8760</v>
          </cell>
          <cell r="I275">
            <v>-9918</v>
          </cell>
          <cell r="K275">
            <v>0</v>
          </cell>
          <cell r="L275">
            <v>79883</v>
          </cell>
          <cell r="M275">
            <v>74636</v>
          </cell>
          <cell r="N275">
            <v>0</v>
          </cell>
          <cell r="O275">
            <v>0</v>
          </cell>
          <cell r="P275">
            <v>0</v>
          </cell>
          <cell r="Q275">
            <v>0</v>
          </cell>
          <cell r="R275">
            <v>0</v>
          </cell>
          <cell r="S275">
            <v>0</v>
          </cell>
          <cell r="T275">
            <v>0</v>
          </cell>
          <cell r="U275">
            <v>0</v>
          </cell>
          <cell r="V275">
            <v>3000</v>
          </cell>
          <cell r="W275">
            <v>74753</v>
          </cell>
          <cell r="X275">
            <v>0</v>
          </cell>
          <cell r="Z275">
            <v>0</v>
          </cell>
          <cell r="AA275">
            <v>0</v>
          </cell>
          <cell r="AB275">
            <v>0</v>
          </cell>
          <cell r="AD275">
            <v>0</v>
          </cell>
          <cell r="AE275">
            <v>0</v>
          </cell>
          <cell r="AF275">
            <v>0</v>
          </cell>
          <cell r="AG275">
            <v>0</v>
          </cell>
          <cell r="AH275">
            <v>0</v>
          </cell>
          <cell r="AI275">
            <v>0</v>
          </cell>
          <cell r="AJ275">
            <v>0</v>
          </cell>
          <cell r="AK275">
            <v>0</v>
          </cell>
          <cell r="AM275">
            <v>84034</v>
          </cell>
          <cell r="AN275">
            <v>85966</v>
          </cell>
          <cell r="AO275">
            <v>87944</v>
          </cell>
          <cell r="AP275">
            <v>89966</v>
          </cell>
          <cell r="AQ275">
            <v>92036</v>
          </cell>
          <cell r="AR275">
            <v>94152</v>
          </cell>
          <cell r="AS275">
            <v>0</v>
          </cell>
          <cell r="AT275">
            <v>0</v>
          </cell>
          <cell r="AU275">
            <v>0</v>
          </cell>
          <cell r="AV275">
            <v>0</v>
          </cell>
          <cell r="AW275">
            <v>0</v>
          </cell>
          <cell r="AX275">
            <v>0</v>
          </cell>
          <cell r="BA275">
            <v>0</v>
          </cell>
          <cell r="BC275">
            <v>0</v>
          </cell>
          <cell r="BD275">
            <v>7848</v>
          </cell>
          <cell r="BF275">
            <v>0</v>
          </cell>
          <cell r="BG275">
            <v>0</v>
          </cell>
          <cell r="BH275">
            <v>0</v>
          </cell>
          <cell r="BI275">
            <v>27946</v>
          </cell>
          <cell r="BJ275">
            <v>23003</v>
          </cell>
          <cell r="BK275">
            <v>23003</v>
          </cell>
          <cell r="BL275">
            <v>0</v>
          </cell>
          <cell r="BM275">
            <v>0</v>
          </cell>
          <cell r="BN275">
            <v>0</v>
          </cell>
          <cell r="BO275">
            <v>106528</v>
          </cell>
          <cell r="BP275">
            <v>15814</v>
          </cell>
          <cell r="BQ275">
            <v>28488.372093023299</v>
          </cell>
          <cell r="BR275">
            <v>0</v>
          </cell>
          <cell r="BS275">
            <v>0</v>
          </cell>
          <cell r="BT275">
            <v>45944</v>
          </cell>
          <cell r="BY275">
            <v>0</v>
          </cell>
          <cell r="BZ275">
            <v>0</v>
          </cell>
          <cell r="CA275">
            <v>0</v>
          </cell>
          <cell r="CB275">
            <v>0</v>
          </cell>
          <cell r="CC275">
            <v>1573742</v>
          </cell>
          <cell r="CD275">
            <v>8740591</v>
          </cell>
          <cell r="CE275">
            <v>729734</v>
          </cell>
          <cell r="CF275">
            <v>0</v>
          </cell>
          <cell r="CG275">
            <v>729734</v>
          </cell>
          <cell r="CH275">
            <v>729734</v>
          </cell>
          <cell r="CI275">
            <v>729734</v>
          </cell>
          <cell r="CJ275">
            <v>729734</v>
          </cell>
          <cell r="CK275">
            <v>0</v>
          </cell>
          <cell r="CL275">
            <v>0</v>
          </cell>
          <cell r="CM275">
            <v>0</v>
          </cell>
          <cell r="CN275">
            <v>0</v>
          </cell>
          <cell r="CO275">
            <v>0</v>
          </cell>
          <cell r="CP275">
            <v>-3561</v>
          </cell>
          <cell r="CQ275">
            <v>1369751</v>
          </cell>
          <cell r="CR275">
            <v>1319677</v>
          </cell>
          <cell r="CS275">
            <v>1299704</v>
          </cell>
          <cell r="CT275">
            <v>1284695</v>
          </cell>
          <cell r="CU275">
            <v>1235619</v>
          </cell>
          <cell r="CV275">
            <v>-3689</v>
          </cell>
          <cell r="CW275">
            <v>0</v>
          </cell>
          <cell r="CX275">
            <v>0</v>
          </cell>
          <cell r="CY275">
            <v>0</v>
          </cell>
          <cell r="CZ275">
            <v>0</v>
          </cell>
          <cell r="DA275">
            <v>0</v>
          </cell>
          <cell r="DC275">
            <v>0</v>
          </cell>
          <cell r="DD275">
            <v>0</v>
          </cell>
          <cell r="DE275">
            <v>0</v>
          </cell>
          <cell r="DF275">
            <v>0</v>
          </cell>
          <cell r="DG275">
            <v>0</v>
          </cell>
          <cell r="DH275">
            <v>0</v>
          </cell>
          <cell r="DI275">
            <v>0</v>
          </cell>
          <cell r="DJ275">
            <v>0</v>
          </cell>
          <cell r="DK275">
            <v>0</v>
          </cell>
          <cell r="DL275">
            <v>0</v>
          </cell>
        </row>
        <row r="276">
          <cell r="A276">
            <v>1676</v>
          </cell>
          <cell r="B276" t="str">
            <v>Schouwen-Duiveland</v>
          </cell>
          <cell r="C276">
            <v>9</v>
          </cell>
          <cell r="D276">
            <v>18477</v>
          </cell>
          <cell r="E276">
            <v>9239</v>
          </cell>
          <cell r="F276">
            <v>0</v>
          </cell>
          <cell r="G276">
            <v>38801</v>
          </cell>
          <cell r="H276">
            <v>-19089</v>
          </cell>
          <cell r="I276">
            <v>-7720</v>
          </cell>
          <cell r="K276">
            <v>0</v>
          </cell>
          <cell r="L276">
            <v>116989</v>
          </cell>
          <cell r="M276">
            <v>109990</v>
          </cell>
          <cell r="N276">
            <v>0</v>
          </cell>
          <cell r="O276">
            <v>0</v>
          </cell>
          <cell r="P276">
            <v>0</v>
          </cell>
          <cell r="Q276">
            <v>0</v>
          </cell>
          <cell r="R276">
            <v>0</v>
          </cell>
          <cell r="S276">
            <v>0</v>
          </cell>
          <cell r="T276">
            <v>0</v>
          </cell>
          <cell r="U276">
            <v>0</v>
          </cell>
          <cell r="V276">
            <v>18000</v>
          </cell>
          <cell r="W276">
            <v>56166</v>
          </cell>
          <cell r="X276">
            <v>0</v>
          </cell>
          <cell r="Z276">
            <v>0</v>
          </cell>
          <cell r="AA276">
            <v>0</v>
          </cell>
          <cell r="AB276">
            <v>0</v>
          </cell>
          <cell r="AD276">
            <v>20000</v>
          </cell>
          <cell r="AE276">
            <v>0</v>
          </cell>
          <cell r="AF276">
            <v>0</v>
          </cell>
          <cell r="AG276">
            <v>0</v>
          </cell>
          <cell r="AH276">
            <v>0</v>
          </cell>
          <cell r="AI276">
            <v>0</v>
          </cell>
          <cell r="AJ276">
            <v>0</v>
          </cell>
          <cell r="AK276">
            <v>0</v>
          </cell>
          <cell r="AM276">
            <v>209646</v>
          </cell>
          <cell r="AN276">
            <v>214467</v>
          </cell>
          <cell r="AO276">
            <v>219400</v>
          </cell>
          <cell r="AP276">
            <v>224446</v>
          </cell>
          <cell r="AQ276">
            <v>229609</v>
          </cell>
          <cell r="AR276">
            <v>234890</v>
          </cell>
          <cell r="AS276">
            <v>0</v>
          </cell>
          <cell r="AT276">
            <v>0</v>
          </cell>
          <cell r="AU276">
            <v>4740</v>
          </cell>
          <cell r="AV276">
            <v>0</v>
          </cell>
          <cell r="AW276">
            <v>0</v>
          </cell>
          <cell r="AX276">
            <v>0</v>
          </cell>
          <cell r="BA276">
            <v>0</v>
          </cell>
          <cell r="BC276">
            <v>0</v>
          </cell>
          <cell r="BD276">
            <v>11853</v>
          </cell>
          <cell r="BF276">
            <v>0</v>
          </cell>
          <cell r="BG276">
            <v>0</v>
          </cell>
          <cell r="BH276">
            <v>0</v>
          </cell>
          <cell r="BI276">
            <v>43639</v>
          </cell>
          <cell r="BJ276">
            <v>35922</v>
          </cell>
          <cell r="BK276">
            <v>35922</v>
          </cell>
          <cell r="BL276">
            <v>0</v>
          </cell>
          <cell r="BM276">
            <v>0</v>
          </cell>
          <cell r="BN276">
            <v>0</v>
          </cell>
          <cell r="BO276">
            <v>133281</v>
          </cell>
          <cell r="BP276">
            <v>33209.4</v>
          </cell>
          <cell r="BQ276">
            <v>59825.581395348803</v>
          </cell>
          <cell r="BR276">
            <v>0</v>
          </cell>
          <cell r="BS276">
            <v>0</v>
          </cell>
          <cell r="BT276">
            <v>61803</v>
          </cell>
          <cell r="BY276">
            <v>0</v>
          </cell>
          <cell r="BZ276">
            <v>0</v>
          </cell>
          <cell r="CA276">
            <v>0</v>
          </cell>
          <cell r="CB276">
            <v>0</v>
          </cell>
          <cell r="CC276">
            <v>2995382</v>
          </cell>
          <cell r="CD276">
            <v>16020243</v>
          </cell>
          <cell r="CE276">
            <v>1318680</v>
          </cell>
          <cell r="CF276">
            <v>-1957</v>
          </cell>
          <cell r="CG276">
            <v>1318680</v>
          </cell>
          <cell r="CH276">
            <v>1318680</v>
          </cell>
          <cell r="CI276">
            <v>1318680</v>
          </cell>
          <cell r="CJ276">
            <v>1318680</v>
          </cell>
          <cell r="CK276">
            <v>0</v>
          </cell>
          <cell r="CL276">
            <v>0</v>
          </cell>
          <cell r="CM276">
            <v>0</v>
          </cell>
          <cell r="CN276">
            <v>0</v>
          </cell>
          <cell r="CO276">
            <v>0</v>
          </cell>
          <cell r="CP276">
            <v>-2499</v>
          </cell>
          <cell r="CQ276">
            <v>4742888</v>
          </cell>
          <cell r="CR276">
            <v>4470789</v>
          </cell>
          <cell r="CS276">
            <v>4345494</v>
          </cell>
          <cell r="CT276">
            <v>4173254</v>
          </cell>
          <cell r="CU276">
            <v>4090468</v>
          </cell>
          <cell r="CV276">
            <v>42611</v>
          </cell>
          <cell r="CW276">
            <v>0</v>
          </cell>
          <cell r="CX276">
            <v>0</v>
          </cell>
          <cell r="CY276">
            <v>0</v>
          </cell>
          <cell r="CZ276">
            <v>0</v>
          </cell>
          <cell r="DA276">
            <v>0</v>
          </cell>
          <cell r="DC276">
            <v>0</v>
          </cell>
          <cell r="DD276">
            <v>0</v>
          </cell>
          <cell r="DE276">
            <v>0</v>
          </cell>
          <cell r="DF276">
            <v>0</v>
          </cell>
          <cell r="DG276">
            <v>0</v>
          </cell>
          <cell r="DH276">
            <v>0</v>
          </cell>
          <cell r="DI276">
            <v>0</v>
          </cell>
          <cell r="DJ276">
            <v>0</v>
          </cell>
          <cell r="DK276">
            <v>0</v>
          </cell>
          <cell r="DL276">
            <v>0</v>
          </cell>
        </row>
        <row r="277">
          <cell r="A277">
            <v>1714</v>
          </cell>
          <cell r="B277" t="str">
            <v>Sluis</v>
          </cell>
          <cell r="C277">
            <v>9</v>
          </cell>
          <cell r="D277">
            <v>-8970</v>
          </cell>
          <cell r="E277">
            <v>-4485</v>
          </cell>
          <cell r="F277">
            <v>0</v>
          </cell>
          <cell r="G277">
            <v>876139</v>
          </cell>
          <cell r="H277">
            <v>-30476</v>
          </cell>
          <cell r="I277">
            <v>-10218</v>
          </cell>
          <cell r="K277">
            <v>0</v>
          </cell>
          <cell r="L277">
            <v>80937</v>
          </cell>
          <cell r="M277">
            <v>67708</v>
          </cell>
          <cell r="N277">
            <v>0</v>
          </cell>
          <cell r="O277">
            <v>0</v>
          </cell>
          <cell r="P277">
            <v>0</v>
          </cell>
          <cell r="Q277">
            <v>0</v>
          </cell>
          <cell r="R277">
            <v>0</v>
          </cell>
          <cell r="S277">
            <v>0</v>
          </cell>
          <cell r="T277">
            <v>0</v>
          </cell>
          <cell r="U277">
            <v>0</v>
          </cell>
          <cell r="V277">
            <v>3000</v>
          </cell>
          <cell r="W277">
            <v>81056</v>
          </cell>
          <cell r="X277">
            <v>0</v>
          </cell>
          <cell r="Z277">
            <v>0</v>
          </cell>
          <cell r="AA277">
            <v>0</v>
          </cell>
          <cell r="AB277">
            <v>0</v>
          </cell>
          <cell r="AD277">
            <v>20000</v>
          </cell>
          <cell r="AE277">
            <v>0</v>
          </cell>
          <cell r="AF277">
            <v>0</v>
          </cell>
          <cell r="AG277">
            <v>0</v>
          </cell>
          <cell r="AH277">
            <v>0</v>
          </cell>
          <cell r="AI277">
            <v>0</v>
          </cell>
          <cell r="AJ277">
            <v>0</v>
          </cell>
          <cell r="AK277">
            <v>0</v>
          </cell>
          <cell r="AM277">
            <v>221758</v>
          </cell>
          <cell r="AN277">
            <v>226858</v>
          </cell>
          <cell r="AO277">
            <v>232076</v>
          </cell>
          <cell r="AP277">
            <v>237414</v>
          </cell>
          <cell r="AQ277">
            <v>242874</v>
          </cell>
          <cell r="AR277">
            <v>248460</v>
          </cell>
          <cell r="AS277">
            <v>0</v>
          </cell>
          <cell r="AT277">
            <v>0</v>
          </cell>
          <cell r="AU277">
            <v>7110</v>
          </cell>
          <cell r="AV277">
            <v>0</v>
          </cell>
          <cell r="AW277">
            <v>0</v>
          </cell>
          <cell r="AX277">
            <v>0</v>
          </cell>
          <cell r="BA277">
            <v>0</v>
          </cell>
          <cell r="BC277">
            <v>0</v>
          </cell>
          <cell r="BD277">
            <v>8305</v>
          </cell>
          <cell r="BF277">
            <v>0</v>
          </cell>
          <cell r="BG277">
            <v>0</v>
          </cell>
          <cell r="BH277">
            <v>0</v>
          </cell>
          <cell r="BI277">
            <v>35515</v>
          </cell>
          <cell r="BJ277">
            <v>29234</v>
          </cell>
          <cell r="BK277">
            <v>29234</v>
          </cell>
          <cell r="BL277">
            <v>0</v>
          </cell>
          <cell r="BM277">
            <v>0</v>
          </cell>
          <cell r="BN277">
            <v>0</v>
          </cell>
          <cell r="BO277">
            <v>76369</v>
          </cell>
          <cell r="BP277">
            <v>11069.8</v>
          </cell>
          <cell r="BQ277">
            <v>19941.8604651163</v>
          </cell>
          <cell r="BR277">
            <v>0</v>
          </cell>
          <cell r="BS277">
            <v>0</v>
          </cell>
          <cell r="BT277">
            <v>48422</v>
          </cell>
          <cell r="BY277">
            <v>0</v>
          </cell>
          <cell r="BZ277">
            <v>0</v>
          </cell>
          <cell r="CA277">
            <v>0</v>
          </cell>
          <cell r="CB277">
            <v>0</v>
          </cell>
          <cell r="CC277">
            <v>2261154</v>
          </cell>
          <cell r="CD277">
            <v>9445174</v>
          </cell>
          <cell r="CE277">
            <v>793186</v>
          </cell>
          <cell r="CF277">
            <v>-24782</v>
          </cell>
          <cell r="CG277">
            <v>793186</v>
          </cell>
          <cell r="CH277">
            <v>793186</v>
          </cell>
          <cell r="CI277">
            <v>793186</v>
          </cell>
          <cell r="CJ277">
            <v>793186</v>
          </cell>
          <cell r="CK277">
            <v>0</v>
          </cell>
          <cell r="CL277">
            <v>0</v>
          </cell>
          <cell r="CM277">
            <v>0</v>
          </cell>
          <cell r="CN277">
            <v>0</v>
          </cell>
          <cell r="CO277">
            <v>0</v>
          </cell>
          <cell r="CP277">
            <v>0</v>
          </cell>
          <cell r="CQ277">
            <v>2162049</v>
          </cell>
          <cell r="CR277">
            <v>2064599</v>
          </cell>
          <cell r="CS277">
            <v>1993952</v>
          </cell>
          <cell r="CT277">
            <v>1917329</v>
          </cell>
          <cell r="CU277">
            <v>1839800</v>
          </cell>
          <cell r="CV277">
            <v>13039</v>
          </cell>
          <cell r="CW277">
            <v>0</v>
          </cell>
          <cell r="CX277">
            <v>0</v>
          </cell>
          <cell r="CY277">
            <v>0</v>
          </cell>
          <cell r="CZ277">
            <v>0</v>
          </cell>
          <cell r="DA277">
            <v>0</v>
          </cell>
          <cell r="DC277">
            <v>0</v>
          </cell>
          <cell r="DD277">
            <v>0</v>
          </cell>
          <cell r="DE277">
            <v>0</v>
          </cell>
          <cell r="DF277">
            <v>0</v>
          </cell>
          <cell r="DG277">
            <v>0</v>
          </cell>
          <cell r="DH277">
            <v>0</v>
          </cell>
          <cell r="DI277">
            <v>0</v>
          </cell>
          <cell r="DJ277">
            <v>0</v>
          </cell>
          <cell r="DK277">
            <v>0</v>
          </cell>
          <cell r="DL277">
            <v>0</v>
          </cell>
        </row>
        <row r="278">
          <cell r="A278">
            <v>715</v>
          </cell>
          <cell r="B278" t="str">
            <v>Terneuzen</v>
          </cell>
          <cell r="C278">
            <v>9</v>
          </cell>
          <cell r="D278">
            <v>77074</v>
          </cell>
          <cell r="E278">
            <v>38537</v>
          </cell>
          <cell r="F278">
            <v>0</v>
          </cell>
          <cell r="G278">
            <v>0</v>
          </cell>
          <cell r="H278">
            <v>-11851</v>
          </cell>
          <cell r="I278">
            <v>0</v>
          </cell>
          <cell r="K278">
            <v>0</v>
          </cell>
          <cell r="L278">
            <v>253497</v>
          </cell>
          <cell r="M278">
            <v>235216</v>
          </cell>
          <cell r="N278">
            <v>0</v>
          </cell>
          <cell r="O278">
            <v>0</v>
          </cell>
          <cell r="P278">
            <v>0</v>
          </cell>
          <cell r="Q278">
            <v>0</v>
          </cell>
          <cell r="R278">
            <v>395667</v>
          </cell>
          <cell r="S278">
            <v>0</v>
          </cell>
          <cell r="T278">
            <v>0</v>
          </cell>
          <cell r="U278">
            <v>0</v>
          </cell>
          <cell r="V278">
            <v>21000</v>
          </cell>
          <cell r="W278">
            <v>183449</v>
          </cell>
          <cell r="X278">
            <v>0</v>
          </cell>
          <cell r="Z278">
            <v>0</v>
          </cell>
          <cell r="AA278">
            <v>0</v>
          </cell>
          <cell r="AB278">
            <v>0</v>
          </cell>
          <cell r="AD278">
            <v>104624</v>
          </cell>
          <cell r="AE278">
            <v>0</v>
          </cell>
          <cell r="AF278">
            <v>0</v>
          </cell>
          <cell r="AG278">
            <v>0</v>
          </cell>
          <cell r="AH278">
            <v>0</v>
          </cell>
          <cell r="AI278">
            <v>0</v>
          </cell>
          <cell r="AJ278">
            <v>0</v>
          </cell>
          <cell r="AK278">
            <v>0</v>
          </cell>
          <cell r="AM278">
            <v>204684</v>
          </cell>
          <cell r="AN278">
            <v>209392</v>
          </cell>
          <cell r="AO278">
            <v>214208</v>
          </cell>
          <cell r="AP278">
            <v>219134</v>
          </cell>
          <cell r="AQ278">
            <v>224175</v>
          </cell>
          <cell r="AR278">
            <v>229331</v>
          </cell>
          <cell r="AS278">
            <v>0</v>
          </cell>
          <cell r="AT278">
            <v>0</v>
          </cell>
          <cell r="AU278">
            <v>4740</v>
          </cell>
          <cell r="AV278">
            <v>0</v>
          </cell>
          <cell r="AW278">
            <v>0</v>
          </cell>
          <cell r="AX278">
            <v>0</v>
          </cell>
          <cell r="BA278">
            <v>0</v>
          </cell>
          <cell r="BC278">
            <v>0</v>
          </cell>
          <cell r="BD278">
            <v>19162</v>
          </cell>
          <cell r="BF278">
            <v>0</v>
          </cell>
          <cell r="BG278">
            <v>0</v>
          </cell>
          <cell r="BH278">
            <v>0</v>
          </cell>
          <cell r="BI278">
            <v>97012</v>
          </cell>
          <cell r="BJ278">
            <v>79855</v>
          </cell>
          <cell r="BK278">
            <v>79855</v>
          </cell>
          <cell r="BL278">
            <v>0</v>
          </cell>
          <cell r="BM278">
            <v>0</v>
          </cell>
          <cell r="BN278">
            <v>0</v>
          </cell>
          <cell r="BO278">
            <v>423192</v>
          </cell>
          <cell r="BP278">
            <v>17395.400000000001</v>
          </cell>
          <cell r="BQ278">
            <v>31337.209302325598</v>
          </cell>
          <cell r="BR278">
            <v>0</v>
          </cell>
          <cell r="BS278">
            <v>0</v>
          </cell>
          <cell r="BT278">
            <v>98250</v>
          </cell>
          <cell r="BY278">
            <v>0</v>
          </cell>
          <cell r="BZ278">
            <v>0</v>
          </cell>
          <cell r="CA278">
            <v>0</v>
          </cell>
          <cell r="CB278">
            <v>0</v>
          </cell>
          <cell r="CC278">
            <v>5268521</v>
          </cell>
          <cell r="CD278">
            <v>30613661</v>
          </cell>
          <cell r="CE278">
            <v>1545946</v>
          </cell>
          <cell r="CF278">
            <v>0</v>
          </cell>
          <cell r="CG278">
            <v>1545946</v>
          </cell>
          <cell r="CH278">
            <v>1545946</v>
          </cell>
          <cell r="CI278">
            <v>1545946</v>
          </cell>
          <cell r="CJ278">
            <v>1545946</v>
          </cell>
          <cell r="CK278">
            <v>0</v>
          </cell>
          <cell r="CL278">
            <v>0</v>
          </cell>
          <cell r="CM278">
            <v>0</v>
          </cell>
          <cell r="CN278">
            <v>0</v>
          </cell>
          <cell r="CO278">
            <v>0</v>
          </cell>
          <cell r="CP278">
            <v>0</v>
          </cell>
          <cell r="CQ278">
            <v>9132160</v>
          </cell>
          <cell r="CR278">
            <v>8759871</v>
          </cell>
          <cell r="CS278">
            <v>8584123</v>
          </cell>
          <cell r="CT278">
            <v>8360464</v>
          </cell>
          <cell r="CU278">
            <v>8176392</v>
          </cell>
          <cell r="CV278">
            <v>-27409</v>
          </cell>
          <cell r="CW278">
            <v>0</v>
          </cell>
          <cell r="CX278">
            <v>0</v>
          </cell>
          <cell r="CY278">
            <v>0</v>
          </cell>
          <cell r="CZ278">
            <v>0</v>
          </cell>
          <cell r="DA278">
            <v>0</v>
          </cell>
          <cell r="DC278">
            <v>0</v>
          </cell>
          <cell r="DD278">
            <v>0</v>
          </cell>
          <cell r="DE278">
            <v>0</v>
          </cell>
          <cell r="DF278">
            <v>0</v>
          </cell>
          <cell r="DG278">
            <v>0</v>
          </cell>
          <cell r="DH278">
            <v>0</v>
          </cell>
          <cell r="DI278">
            <v>0</v>
          </cell>
          <cell r="DJ278">
            <v>0</v>
          </cell>
          <cell r="DK278">
            <v>0</v>
          </cell>
          <cell r="DL278">
            <v>0</v>
          </cell>
        </row>
        <row r="279">
          <cell r="A279">
            <v>716</v>
          </cell>
          <cell r="B279" t="str">
            <v>Tholen</v>
          </cell>
          <cell r="C279">
            <v>9</v>
          </cell>
          <cell r="D279">
            <v>-12266</v>
          </cell>
          <cell r="E279">
            <v>-6133</v>
          </cell>
          <cell r="F279">
            <v>0</v>
          </cell>
          <cell r="G279">
            <v>0</v>
          </cell>
          <cell r="H279">
            <v>-33759</v>
          </cell>
          <cell r="I279">
            <v>-27240</v>
          </cell>
          <cell r="K279">
            <v>0</v>
          </cell>
          <cell r="L279">
            <v>105012</v>
          </cell>
          <cell r="M279">
            <v>100800</v>
          </cell>
          <cell r="N279">
            <v>0</v>
          </cell>
          <cell r="O279">
            <v>0</v>
          </cell>
          <cell r="P279">
            <v>0</v>
          </cell>
          <cell r="Q279">
            <v>0</v>
          </cell>
          <cell r="R279">
            <v>0</v>
          </cell>
          <cell r="S279">
            <v>0</v>
          </cell>
          <cell r="T279">
            <v>0</v>
          </cell>
          <cell r="U279">
            <v>0</v>
          </cell>
          <cell r="V279">
            <v>3000</v>
          </cell>
          <cell r="W279">
            <v>116238</v>
          </cell>
          <cell r="X279">
            <v>0</v>
          </cell>
          <cell r="Z279">
            <v>0</v>
          </cell>
          <cell r="AA279">
            <v>0</v>
          </cell>
          <cell r="AB279">
            <v>0</v>
          </cell>
          <cell r="AD279">
            <v>20000</v>
          </cell>
          <cell r="AE279">
            <v>0</v>
          </cell>
          <cell r="AF279">
            <v>0</v>
          </cell>
          <cell r="AG279">
            <v>0</v>
          </cell>
          <cell r="AH279">
            <v>0</v>
          </cell>
          <cell r="AI279">
            <v>0</v>
          </cell>
          <cell r="AJ279">
            <v>0</v>
          </cell>
          <cell r="AK279">
            <v>0</v>
          </cell>
          <cell r="AM279">
            <v>128108</v>
          </cell>
          <cell r="AN279">
            <v>131055</v>
          </cell>
          <cell r="AO279">
            <v>134069</v>
          </cell>
          <cell r="AP279">
            <v>137153</v>
          </cell>
          <cell r="AQ279">
            <v>140307</v>
          </cell>
          <cell r="AR279">
            <v>143534</v>
          </cell>
          <cell r="AS279">
            <v>0</v>
          </cell>
          <cell r="AT279">
            <v>0</v>
          </cell>
          <cell r="AU279">
            <v>7110</v>
          </cell>
          <cell r="AV279">
            <v>0</v>
          </cell>
          <cell r="AW279">
            <v>0</v>
          </cell>
          <cell r="AX279">
            <v>0</v>
          </cell>
          <cell r="BA279">
            <v>0</v>
          </cell>
          <cell r="BC279">
            <v>0</v>
          </cell>
          <cell r="BD279">
            <v>8961</v>
          </cell>
          <cell r="BF279">
            <v>0</v>
          </cell>
          <cell r="BG279">
            <v>0</v>
          </cell>
          <cell r="BH279">
            <v>0</v>
          </cell>
          <cell r="BI279">
            <v>34584</v>
          </cell>
          <cell r="BJ279">
            <v>28467</v>
          </cell>
          <cell r="BK279">
            <v>28467</v>
          </cell>
          <cell r="BL279">
            <v>0</v>
          </cell>
          <cell r="BM279">
            <v>0</v>
          </cell>
          <cell r="BN279">
            <v>0</v>
          </cell>
          <cell r="BO279">
            <v>35509</v>
          </cell>
          <cell r="BP279">
            <v>36372.199999999997</v>
          </cell>
          <cell r="BQ279">
            <v>65523.255813953503</v>
          </cell>
          <cell r="BR279">
            <v>0</v>
          </cell>
          <cell r="BS279">
            <v>0</v>
          </cell>
          <cell r="BT279">
            <v>48895</v>
          </cell>
          <cell r="BY279">
            <v>0</v>
          </cell>
          <cell r="BZ279">
            <v>0</v>
          </cell>
          <cell r="CA279">
            <v>0</v>
          </cell>
          <cell r="CB279">
            <v>0</v>
          </cell>
          <cell r="CC279">
            <v>1990124</v>
          </cell>
          <cell r="CD279">
            <v>11491219</v>
          </cell>
          <cell r="CE279">
            <v>722531</v>
          </cell>
          <cell r="CF279">
            <v>-29372</v>
          </cell>
          <cell r="CG279">
            <v>722531</v>
          </cell>
          <cell r="CH279">
            <v>722531</v>
          </cell>
          <cell r="CI279">
            <v>722531</v>
          </cell>
          <cell r="CJ279">
            <v>722531</v>
          </cell>
          <cell r="CK279">
            <v>0</v>
          </cell>
          <cell r="CL279">
            <v>0</v>
          </cell>
          <cell r="CM279">
            <v>0</v>
          </cell>
          <cell r="CN279">
            <v>0</v>
          </cell>
          <cell r="CO279">
            <v>0</v>
          </cell>
          <cell r="CP279">
            <v>-5440</v>
          </cell>
          <cell r="CQ279">
            <v>1984259</v>
          </cell>
          <cell r="CR279">
            <v>1937930</v>
          </cell>
          <cell r="CS279">
            <v>1923980</v>
          </cell>
          <cell r="CT279">
            <v>1908502</v>
          </cell>
          <cell r="CU279">
            <v>1897546</v>
          </cell>
          <cell r="CV279">
            <v>-30965</v>
          </cell>
          <cell r="CW279">
            <v>0</v>
          </cell>
          <cell r="CX279">
            <v>0</v>
          </cell>
          <cell r="CY279">
            <v>0</v>
          </cell>
          <cell r="CZ279">
            <v>0</v>
          </cell>
          <cell r="DA279">
            <v>0</v>
          </cell>
          <cell r="DC279">
            <v>0</v>
          </cell>
          <cell r="DD279">
            <v>0</v>
          </cell>
          <cell r="DE279">
            <v>0</v>
          </cell>
          <cell r="DF279">
            <v>0</v>
          </cell>
          <cell r="DG279">
            <v>0</v>
          </cell>
          <cell r="DH279">
            <v>0</v>
          </cell>
          <cell r="DI279">
            <v>0</v>
          </cell>
          <cell r="DJ279">
            <v>0</v>
          </cell>
          <cell r="DK279">
            <v>0</v>
          </cell>
          <cell r="DL279">
            <v>0</v>
          </cell>
        </row>
        <row r="280">
          <cell r="A280">
            <v>717</v>
          </cell>
          <cell r="B280" t="str">
            <v>Veere</v>
          </cell>
          <cell r="C280">
            <v>9</v>
          </cell>
          <cell r="D280">
            <v>-16562</v>
          </cell>
          <cell r="E280">
            <v>-8281</v>
          </cell>
          <cell r="F280">
            <v>0</v>
          </cell>
          <cell r="G280">
            <v>43069</v>
          </cell>
          <cell r="H280">
            <v>-6845</v>
          </cell>
          <cell r="I280">
            <v>0</v>
          </cell>
          <cell r="K280">
            <v>0</v>
          </cell>
          <cell r="L280">
            <v>60166</v>
          </cell>
          <cell r="M280">
            <v>49995</v>
          </cell>
          <cell r="N280">
            <v>0</v>
          </cell>
          <cell r="O280">
            <v>0</v>
          </cell>
          <cell r="P280">
            <v>0</v>
          </cell>
          <cell r="Q280">
            <v>0</v>
          </cell>
          <cell r="R280">
            <v>0</v>
          </cell>
          <cell r="S280">
            <v>0</v>
          </cell>
          <cell r="T280">
            <v>0</v>
          </cell>
          <cell r="U280">
            <v>0</v>
          </cell>
          <cell r="V280">
            <v>6000</v>
          </cell>
          <cell r="W280">
            <v>65662</v>
          </cell>
          <cell r="X280">
            <v>0</v>
          </cell>
          <cell r="Z280">
            <v>0</v>
          </cell>
          <cell r="AA280">
            <v>0</v>
          </cell>
          <cell r="AB280">
            <v>0</v>
          </cell>
          <cell r="AD280">
            <v>0</v>
          </cell>
          <cell r="AE280">
            <v>0</v>
          </cell>
          <cell r="AF280">
            <v>0</v>
          </cell>
          <cell r="AG280">
            <v>0</v>
          </cell>
          <cell r="AH280">
            <v>0</v>
          </cell>
          <cell r="AI280">
            <v>0</v>
          </cell>
          <cell r="AJ280">
            <v>0</v>
          </cell>
          <cell r="AK280">
            <v>0</v>
          </cell>
          <cell r="AM280">
            <v>120037</v>
          </cell>
          <cell r="AN280">
            <v>122797</v>
          </cell>
          <cell r="AO280">
            <v>125622</v>
          </cell>
          <cell r="AP280">
            <v>128511</v>
          </cell>
          <cell r="AQ280">
            <v>131467</v>
          </cell>
          <cell r="AR280">
            <v>134490</v>
          </cell>
          <cell r="AS280">
            <v>0</v>
          </cell>
          <cell r="AT280">
            <v>0</v>
          </cell>
          <cell r="AU280">
            <v>0</v>
          </cell>
          <cell r="AV280">
            <v>0</v>
          </cell>
          <cell r="AW280">
            <v>0</v>
          </cell>
          <cell r="AX280">
            <v>0</v>
          </cell>
          <cell r="BA280">
            <v>0</v>
          </cell>
          <cell r="BC280">
            <v>0</v>
          </cell>
          <cell r="BD280">
            <v>7688</v>
          </cell>
          <cell r="BF280">
            <v>0</v>
          </cell>
          <cell r="BG280">
            <v>0</v>
          </cell>
          <cell r="BH280">
            <v>0</v>
          </cell>
          <cell r="BI280">
            <v>16204</v>
          </cell>
          <cell r="BJ280">
            <v>13338</v>
          </cell>
          <cell r="BK280">
            <v>13338</v>
          </cell>
          <cell r="BL280">
            <v>0</v>
          </cell>
          <cell r="BM280">
            <v>0</v>
          </cell>
          <cell r="BN280">
            <v>0</v>
          </cell>
          <cell r="BO280">
            <v>44751</v>
          </cell>
          <cell r="BP280">
            <v>6325.6</v>
          </cell>
          <cell r="BQ280">
            <v>11395.3488372093</v>
          </cell>
          <cell r="BR280">
            <v>0</v>
          </cell>
          <cell r="BS280">
            <v>0</v>
          </cell>
          <cell r="BT280">
            <v>44875</v>
          </cell>
          <cell r="BY280">
            <v>0</v>
          </cell>
          <cell r="BZ280">
            <v>0</v>
          </cell>
          <cell r="CA280">
            <v>0</v>
          </cell>
          <cell r="CB280">
            <v>0</v>
          </cell>
          <cell r="CC280">
            <v>1498599</v>
          </cell>
          <cell r="CD280">
            <v>6625014</v>
          </cell>
          <cell r="CE280">
            <v>333684</v>
          </cell>
          <cell r="CF280">
            <v>0</v>
          </cell>
          <cell r="CG280">
            <v>333684</v>
          </cell>
          <cell r="CH280">
            <v>333684</v>
          </cell>
          <cell r="CI280">
            <v>333684</v>
          </cell>
          <cell r="CJ280">
            <v>333684</v>
          </cell>
          <cell r="CK280">
            <v>0</v>
          </cell>
          <cell r="CL280">
            <v>0</v>
          </cell>
          <cell r="CM280">
            <v>0</v>
          </cell>
          <cell r="CN280">
            <v>0</v>
          </cell>
          <cell r="CO280">
            <v>0</v>
          </cell>
          <cell r="CP280">
            <v>0</v>
          </cell>
          <cell r="CQ280">
            <v>1142799</v>
          </cell>
          <cell r="CR280">
            <v>1082495</v>
          </cell>
          <cell r="CS280">
            <v>1058947</v>
          </cell>
          <cell r="CT280">
            <v>1031445</v>
          </cell>
          <cell r="CU280">
            <v>1003719</v>
          </cell>
          <cell r="CV280">
            <v>14845</v>
          </cell>
          <cell r="CW280">
            <v>0</v>
          </cell>
          <cell r="CX280">
            <v>0</v>
          </cell>
          <cell r="CY280">
            <v>0</v>
          </cell>
          <cell r="CZ280">
            <v>0</v>
          </cell>
          <cell r="DA280">
            <v>0</v>
          </cell>
          <cell r="DC280">
            <v>0</v>
          </cell>
          <cell r="DD280">
            <v>0</v>
          </cell>
          <cell r="DE280">
            <v>0</v>
          </cell>
          <cell r="DF280">
            <v>0</v>
          </cell>
          <cell r="DG280">
            <v>0</v>
          </cell>
          <cell r="DH280">
            <v>0</v>
          </cell>
          <cell r="DI280">
            <v>0</v>
          </cell>
          <cell r="DJ280">
            <v>0</v>
          </cell>
          <cell r="DK280">
            <v>0</v>
          </cell>
          <cell r="DL280">
            <v>0</v>
          </cell>
        </row>
        <row r="281">
          <cell r="A281">
            <v>718</v>
          </cell>
          <cell r="B281" t="str">
            <v>Vlissingen</v>
          </cell>
          <cell r="C281">
            <v>9</v>
          </cell>
          <cell r="D281">
            <v>104652</v>
          </cell>
          <cell r="E281">
            <v>52326</v>
          </cell>
          <cell r="F281">
            <v>0</v>
          </cell>
          <cell r="G281">
            <v>348412</v>
          </cell>
          <cell r="H281">
            <v>45141</v>
          </cell>
          <cell r="I281">
            <v>0</v>
          </cell>
          <cell r="K281">
            <v>0</v>
          </cell>
          <cell r="L281">
            <v>237261</v>
          </cell>
          <cell r="M281">
            <v>244263</v>
          </cell>
          <cell r="N281">
            <v>0</v>
          </cell>
          <cell r="O281">
            <v>0</v>
          </cell>
          <cell r="P281">
            <v>0</v>
          </cell>
          <cell r="Q281">
            <v>0</v>
          </cell>
          <cell r="R281">
            <v>0</v>
          </cell>
          <cell r="S281">
            <v>0</v>
          </cell>
          <cell r="T281">
            <v>0</v>
          </cell>
          <cell r="U281">
            <v>0</v>
          </cell>
          <cell r="V281">
            <v>15000</v>
          </cell>
          <cell r="W281">
            <v>157057</v>
          </cell>
          <cell r="X281">
            <v>0</v>
          </cell>
          <cell r="Z281">
            <v>0</v>
          </cell>
          <cell r="AA281">
            <v>0</v>
          </cell>
          <cell r="AB281">
            <v>0</v>
          </cell>
          <cell r="AD281">
            <v>38134</v>
          </cell>
          <cell r="AE281">
            <v>0</v>
          </cell>
          <cell r="AF281">
            <v>0</v>
          </cell>
          <cell r="AG281">
            <v>0</v>
          </cell>
          <cell r="AH281">
            <v>0</v>
          </cell>
          <cell r="AI281">
            <v>0</v>
          </cell>
          <cell r="AJ281">
            <v>0</v>
          </cell>
          <cell r="AK281">
            <v>0</v>
          </cell>
          <cell r="AM281">
            <v>29758</v>
          </cell>
          <cell r="AN281">
            <v>30442</v>
          </cell>
          <cell r="AO281">
            <v>31142</v>
          </cell>
          <cell r="AP281">
            <v>31858</v>
          </cell>
          <cell r="AQ281">
            <v>32591</v>
          </cell>
          <cell r="AR281">
            <v>33341</v>
          </cell>
          <cell r="AS281">
            <v>0</v>
          </cell>
          <cell r="AT281">
            <v>0</v>
          </cell>
          <cell r="AU281">
            <v>4740</v>
          </cell>
          <cell r="AV281">
            <v>6708789.6562429098</v>
          </cell>
          <cell r="AW281">
            <v>0</v>
          </cell>
          <cell r="AX281">
            <v>0</v>
          </cell>
          <cell r="BA281">
            <v>0</v>
          </cell>
          <cell r="BC281">
            <v>0</v>
          </cell>
          <cell r="BD281">
            <v>15584</v>
          </cell>
          <cell r="BF281">
            <v>0</v>
          </cell>
          <cell r="BG281">
            <v>0</v>
          </cell>
          <cell r="BH281">
            <v>0</v>
          </cell>
          <cell r="BI281">
            <v>90913</v>
          </cell>
          <cell r="BJ281">
            <v>74835</v>
          </cell>
          <cell r="BK281">
            <v>74835</v>
          </cell>
          <cell r="BL281">
            <v>0</v>
          </cell>
          <cell r="BM281">
            <v>0</v>
          </cell>
          <cell r="BN281">
            <v>0</v>
          </cell>
          <cell r="BO281">
            <v>308395</v>
          </cell>
          <cell r="BP281">
            <v>14232.6</v>
          </cell>
          <cell r="BQ281">
            <v>25639.534883720899</v>
          </cell>
          <cell r="BR281">
            <v>0</v>
          </cell>
          <cell r="BS281">
            <v>0</v>
          </cell>
          <cell r="BT281">
            <v>82921</v>
          </cell>
          <cell r="BY281">
            <v>2343626.89079173</v>
          </cell>
          <cell r="BZ281">
            <v>2713051.7711161701</v>
          </cell>
          <cell r="CA281">
            <v>2744610.68049062</v>
          </cell>
          <cell r="CB281">
            <v>2833718.1893126001</v>
          </cell>
          <cell r="CC281">
            <v>4402407</v>
          </cell>
          <cell r="CD281">
            <v>68278844</v>
          </cell>
          <cell r="CE281">
            <v>1090245</v>
          </cell>
          <cell r="CF281">
            <v>0</v>
          </cell>
          <cell r="CG281">
            <v>1090245</v>
          </cell>
          <cell r="CH281">
            <v>1090245</v>
          </cell>
          <cell r="CI281">
            <v>1090245</v>
          </cell>
          <cell r="CJ281">
            <v>1090245</v>
          </cell>
          <cell r="CK281">
            <v>44353968</v>
          </cell>
          <cell r="CL281">
            <v>44331707</v>
          </cell>
          <cell r="CM281">
            <v>44331347</v>
          </cell>
          <cell r="CN281">
            <v>44330555</v>
          </cell>
          <cell r="CO281">
            <v>44331652</v>
          </cell>
          <cell r="CP281">
            <v>0</v>
          </cell>
          <cell r="CQ281">
            <v>7199624</v>
          </cell>
          <cell r="CR281">
            <v>6853608</v>
          </cell>
          <cell r="CS281">
            <v>6641440</v>
          </cell>
          <cell r="CT281">
            <v>6450719</v>
          </cell>
          <cell r="CU281">
            <v>6288088</v>
          </cell>
          <cell r="CV281">
            <v>12076</v>
          </cell>
          <cell r="CW281">
            <v>0</v>
          </cell>
          <cell r="CX281">
            <v>0</v>
          </cell>
          <cell r="CY281">
            <v>0</v>
          </cell>
          <cell r="CZ281">
            <v>0</v>
          </cell>
          <cell r="DA281">
            <v>0</v>
          </cell>
          <cell r="DC281">
            <v>0</v>
          </cell>
          <cell r="DD281">
            <v>0</v>
          </cell>
          <cell r="DE281">
            <v>0</v>
          </cell>
          <cell r="DF281">
            <v>0</v>
          </cell>
          <cell r="DG281">
            <v>0</v>
          </cell>
          <cell r="DH281">
            <v>0</v>
          </cell>
          <cell r="DI281">
            <v>0</v>
          </cell>
          <cell r="DJ281">
            <v>0</v>
          </cell>
          <cell r="DK281">
            <v>0</v>
          </cell>
          <cell r="DL281">
            <v>0</v>
          </cell>
        </row>
        <row r="282">
          <cell r="A282">
            <v>738</v>
          </cell>
          <cell r="B282" t="str">
            <v>Aalburg</v>
          </cell>
          <cell r="C282">
            <v>10</v>
          </cell>
          <cell r="D282">
            <v>5295</v>
          </cell>
          <cell r="E282">
            <v>2648</v>
          </cell>
          <cell r="F282">
            <v>0</v>
          </cell>
          <cell r="G282">
            <v>76866</v>
          </cell>
          <cell r="H282">
            <v>-23100</v>
          </cell>
          <cell r="I282">
            <v>-15749</v>
          </cell>
          <cell r="K282">
            <v>0</v>
          </cell>
          <cell r="L282">
            <v>33306</v>
          </cell>
          <cell r="M282">
            <v>33211</v>
          </cell>
          <cell r="N282">
            <v>0</v>
          </cell>
          <cell r="O282">
            <v>0</v>
          </cell>
          <cell r="P282">
            <v>0</v>
          </cell>
          <cell r="Q282">
            <v>0</v>
          </cell>
          <cell r="R282">
            <v>0</v>
          </cell>
          <cell r="S282">
            <v>0</v>
          </cell>
          <cell r="T282">
            <v>0</v>
          </cell>
          <cell r="U282">
            <v>0</v>
          </cell>
          <cell r="V282">
            <v>3000</v>
          </cell>
          <cell r="W282">
            <v>53136</v>
          </cell>
          <cell r="X282">
            <v>0</v>
          </cell>
          <cell r="Z282">
            <v>0</v>
          </cell>
          <cell r="AA282">
            <v>0</v>
          </cell>
          <cell r="AB282">
            <v>0</v>
          </cell>
          <cell r="AD282">
            <v>0</v>
          </cell>
          <cell r="AE282">
            <v>0</v>
          </cell>
          <cell r="AF282">
            <v>0</v>
          </cell>
          <cell r="AG282">
            <v>0</v>
          </cell>
          <cell r="AH282">
            <v>0</v>
          </cell>
          <cell r="AI282">
            <v>0</v>
          </cell>
          <cell r="AJ282">
            <v>0</v>
          </cell>
          <cell r="AK282">
            <v>0</v>
          </cell>
          <cell r="AM282">
            <v>0</v>
          </cell>
          <cell r="AN282">
            <v>0</v>
          </cell>
          <cell r="AO282">
            <v>0</v>
          </cell>
          <cell r="AP282">
            <v>0</v>
          </cell>
          <cell r="AQ282">
            <v>0</v>
          </cell>
          <cell r="AR282">
            <v>0</v>
          </cell>
          <cell r="AS282">
            <v>0</v>
          </cell>
          <cell r="AT282">
            <v>0</v>
          </cell>
          <cell r="AU282">
            <v>0</v>
          </cell>
          <cell r="AV282">
            <v>0</v>
          </cell>
          <cell r="AW282">
            <v>0</v>
          </cell>
          <cell r="AX282">
            <v>0</v>
          </cell>
          <cell r="BA282">
            <v>0</v>
          </cell>
          <cell r="BC282">
            <v>0</v>
          </cell>
          <cell r="BD282">
            <v>22925</v>
          </cell>
          <cell r="BF282">
            <v>0</v>
          </cell>
          <cell r="BG282">
            <v>0</v>
          </cell>
          <cell r="BH282">
            <v>0</v>
          </cell>
          <cell r="BI282">
            <v>14070</v>
          </cell>
          <cell r="BJ282">
            <v>11582</v>
          </cell>
          <cell r="BK282">
            <v>11582</v>
          </cell>
          <cell r="BL282">
            <v>0</v>
          </cell>
          <cell r="BM282">
            <v>0</v>
          </cell>
          <cell r="BN282">
            <v>0</v>
          </cell>
          <cell r="BO282">
            <v>16052</v>
          </cell>
          <cell r="BP282">
            <v>0</v>
          </cell>
          <cell r="BQ282">
            <v>0</v>
          </cell>
          <cell r="BR282">
            <v>0</v>
          </cell>
          <cell r="BS282">
            <v>0</v>
          </cell>
          <cell r="BT282">
            <v>25607</v>
          </cell>
          <cell r="BY282">
            <v>0</v>
          </cell>
          <cell r="BZ282">
            <v>0</v>
          </cell>
          <cell r="CA282">
            <v>0</v>
          </cell>
          <cell r="CB282">
            <v>0</v>
          </cell>
          <cell r="CC282">
            <v>838567</v>
          </cell>
          <cell r="CD282">
            <v>5111536</v>
          </cell>
          <cell r="CE282">
            <v>381787</v>
          </cell>
          <cell r="CF282">
            <v>-33412</v>
          </cell>
          <cell r="CG282">
            <v>381787</v>
          </cell>
          <cell r="CH282">
            <v>381787</v>
          </cell>
          <cell r="CI282">
            <v>381787</v>
          </cell>
          <cell r="CJ282">
            <v>381787</v>
          </cell>
          <cell r="CK282">
            <v>0</v>
          </cell>
          <cell r="CL282">
            <v>0</v>
          </cell>
          <cell r="CM282">
            <v>0</v>
          </cell>
          <cell r="CN282">
            <v>0</v>
          </cell>
          <cell r="CO282">
            <v>0</v>
          </cell>
          <cell r="CP282">
            <v>-664</v>
          </cell>
          <cell r="CQ282">
            <v>846492</v>
          </cell>
          <cell r="CR282">
            <v>781055</v>
          </cell>
          <cell r="CS282">
            <v>738729</v>
          </cell>
          <cell r="CT282">
            <v>725997</v>
          </cell>
          <cell r="CU282">
            <v>720609</v>
          </cell>
          <cell r="CV282">
            <v>8024</v>
          </cell>
          <cell r="CW282">
            <v>0</v>
          </cell>
          <cell r="CX282">
            <v>0</v>
          </cell>
          <cell r="CY282">
            <v>0</v>
          </cell>
          <cell r="CZ282">
            <v>0</v>
          </cell>
          <cell r="DA282">
            <v>0</v>
          </cell>
          <cell r="DC282">
            <v>0</v>
          </cell>
          <cell r="DD282">
            <v>0</v>
          </cell>
          <cell r="DE282">
            <v>0</v>
          </cell>
          <cell r="DF282">
            <v>0</v>
          </cell>
          <cell r="DG282">
            <v>0</v>
          </cell>
          <cell r="DH282">
            <v>0</v>
          </cell>
          <cell r="DI282">
            <v>0</v>
          </cell>
          <cell r="DJ282">
            <v>0</v>
          </cell>
          <cell r="DK282">
            <v>0</v>
          </cell>
          <cell r="DL282">
            <v>0</v>
          </cell>
        </row>
        <row r="283">
          <cell r="A283">
            <v>1723</v>
          </cell>
          <cell r="B283" t="str">
            <v>Alphen-Chaam</v>
          </cell>
          <cell r="C283">
            <v>10</v>
          </cell>
          <cell r="D283">
            <v>-3600</v>
          </cell>
          <cell r="E283">
            <v>-1800</v>
          </cell>
          <cell r="F283">
            <v>0</v>
          </cell>
          <cell r="G283">
            <v>23907</v>
          </cell>
          <cell r="H283">
            <v>-7505</v>
          </cell>
          <cell r="I283">
            <v>-233</v>
          </cell>
          <cell r="K283">
            <v>0</v>
          </cell>
          <cell r="L283">
            <v>30441</v>
          </cell>
          <cell r="M283">
            <v>22712</v>
          </cell>
          <cell r="N283">
            <v>0</v>
          </cell>
          <cell r="O283">
            <v>0</v>
          </cell>
          <cell r="P283">
            <v>0</v>
          </cell>
          <cell r="Q283">
            <v>0</v>
          </cell>
          <cell r="R283">
            <v>0</v>
          </cell>
          <cell r="S283">
            <v>0</v>
          </cell>
          <cell r="T283">
            <v>0</v>
          </cell>
          <cell r="U283">
            <v>0</v>
          </cell>
          <cell r="V283">
            <v>0</v>
          </cell>
          <cell r="W283">
            <v>38876</v>
          </cell>
          <cell r="X283">
            <v>0</v>
          </cell>
          <cell r="Z283">
            <v>0</v>
          </cell>
          <cell r="AA283">
            <v>0</v>
          </cell>
          <cell r="AB283">
            <v>0</v>
          </cell>
          <cell r="AD283">
            <v>0</v>
          </cell>
          <cell r="AE283">
            <v>0</v>
          </cell>
          <cell r="AF283">
            <v>0</v>
          </cell>
          <cell r="AG283">
            <v>0</v>
          </cell>
          <cell r="AH283">
            <v>0</v>
          </cell>
          <cell r="AI283">
            <v>0</v>
          </cell>
          <cell r="AJ283">
            <v>0</v>
          </cell>
          <cell r="AK283">
            <v>0</v>
          </cell>
          <cell r="AM283">
            <v>0</v>
          </cell>
          <cell r="AN283">
            <v>0</v>
          </cell>
          <cell r="AO283">
            <v>0</v>
          </cell>
          <cell r="AP283">
            <v>0</v>
          </cell>
          <cell r="AQ283">
            <v>0</v>
          </cell>
          <cell r="AR283">
            <v>0</v>
          </cell>
          <cell r="AS283">
            <v>0</v>
          </cell>
          <cell r="AT283">
            <v>0</v>
          </cell>
          <cell r="AU283">
            <v>0</v>
          </cell>
          <cell r="AV283">
            <v>0</v>
          </cell>
          <cell r="AW283">
            <v>0</v>
          </cell>
          <cell r="AX283">
            <v>0</v>
          </cell>
          <cell r="BA283">
            <v>0</v>
          </cell>
          <cell r="BC283">
            <v>0</v>
          </cell>
          <cell r="BD283">
            <v>3531</v>
          </cell>
          <cell r="BF283">
            <v>0</v>
          </cell>
          <cell r="BG283">
            <v>0</v>
          </cell>
          <cell r="BH283">
            <v>0</v>
          </cell>
          <cell r="BI283">
            <v>8305</v>
          </cell>
          <cell r="BJ283">
            <v>6836</v>
          </cell>
          <cell r="BK283">
            <v>6836</v>
          </cell>
          <cell r="BL283">
            <v>0</v>
          </cell>
          <cell r="BM283">
            <v>0</v>
          </cell>
          <cell r="BN283">
            <v>0</v>
          </cell>
          <cell r="BO283">
            <v>0</v>
          </cell>
          <cell r="BP283">
            <v>0</v>
          </cell>
          <cell r="BQ283">
            <v>0</v>
          </cell>
          <cell r="BR283">
            <v>0</v>
          </cell>
          <cell r="BS283">
            <v>0</v>
          </cell>
          <cell r="BT283">
            <v>19231</v>
          </cell>
          <cell r="BY283">
            <v>0</v>
          </cell>
          <cell r="BZ283">
            <v>0</v>
          </cell>
          <cell r="CA283">
            <v>0</v>
          </cell>
          <cell r="CB283">
            <v>0</v>
          </cell>
          <cell r="CC283">
            <v>639672</v>
          </cell>
          <cell r="CD283">
            <v>3962342</v>
          </cell>
          <cell r="CE283">
            <v>377077</v>
          </cell>
          <cell r="CF283">
            <v>-562</v>
          </cell>
          <cell r="CG283">
            <v>377077</v>
          </cell>
          <cell r="CH283">
            <v>377077</v>
          </cell>
          <cell r="CI283">
            <v>377077</v>
          </cell>
          <cell r="CJ283">
            <v>377077</v>
          </cell>
          <cell r="CK283">
            <v>0</v>
          </cell>
          <cell r="CL283">
            <v>0</v>
          </cell>
          <cell r="CM283">
            <v>0</v>
          </cell>
          <cell r="CN283">
            <v>0</v>
          </cell>
          <cell r="CO283">
            <v>0</v>
          </cell>
          <cell r="CP283">
            <v>0</v>
          </cell>
          <cell r="CQ283">
            <v>579507</v>
          </cell>
          <cell r="CR283">
            <v>554795</v>
          </cell>
          <cell r="CS283">
            <v>533876</v>
          </cell>
          <cell r="CT283">
            <v>508900</v>
          </cell>
          <cell r="CU283">
            <v>497281</v>
          </cell>
          <cell r="CV283">
            <v>5075</v>
          </cell>
          <cell r="CW283">
            <v>0</v>
          </cell>
          <cell r="CX283">
            <v>0</v>
          </cell>
          <cell r="CY283">
            <v>0</v>
          </cell>
          <cell r="CZ283">
            <v>0</v>
          </cell>
          <cell r="DA283">
            <v>0</v>
          </cell>
          <cell r="DC283">
            <v>0</v>
          </cell>
          <cell r="DD283">
            <v>0</v>
          </cell>
          <cell r="DE283">
            <v>0</v>
          </cell>
          <cell r="DF283">
            <v>0</v>
          </cell>
          <cell r="DG283">
            <v>0</v>
          </cell>
          <cell r="DH283">
            <v>0</v>
          </cell>
          <cell r="DI283">
            <v>0</v>
          </cell>
          <cell r="DJ283">
            <v>0</v>
          </cell>
          <cell r="DK283">
            <v>0</v>
          </cell>
          <cell r="DL283">
            <v>0</v>
          </cell>
        </row>
        <row r="284">
          <cell r="A284">
            <v>743</v>
          </cell>
          <cell r="B284" t="str">
            <v>Asten</v>
          </cell>
          <cell r="C284">
            <v>10</v>
          </cell>
          <cell r="D284">
            <v>-21977</v>
          </cell>
          <cell r="E284">
            <v>-10989</v>
          </cell>
          <cell r="F284">
            <v>0</v>
          </cell>
          <cell r="G284">
            <v>19916</v>
          </cell>
          <cell r="H284">
            <v>-9519</v>
          </cell>
          <cell r="I284">
            <v>0</v>
          </cell>
          <cell r="K284">
            <v>0</v>
          </cell>
          <cell r="L284">
            <v>56465</v>
          </cell>
          <cell r="M284">
            <v>60494</v>
          </cell>
          <cell r="N284">
            <v>0</v>
          </cell>
          <cell r="O284">
            <v>0</v>
          </cell>
          <cell r="P284">
            <v>0</v>
          </cell>
          <cell r="Q284">
            <v>0</v>
          </cell>
          <cell r="R284">
            <v>0</v>
          </cell>
          <cell r="S284">
            <v>0</v>
          </cell>
          <cell r="T284">
            <v>0</v>
          </cell>
          <cell r="U284">
            <v>0</v>
          </cell>
          <cell r="V284">
            <v>0</v>
          </cell>
          <cell r="W284">
            <v>70170</v>
          </cell>
          <cell r="X284">
            <v>0</v>
          </cell>
          <cell r="Z284">
            <v>0</v>
          </cell>
          <cell r="AA284">
            <v>0</v>
          </cell>
          <cell r="AB284">
            <v>0</v>
          </cell>
          <cell r="AD284">
            <v>0</v>
          </cell>
          <cell r="AE284">
            <v>0</v>
          </cell>
          <cell r="AF284">
            <v>0</v>
          </cell>
          <cell r="AG284">
            <v>0</v>
          </cell>
          <cell r="AH284">
            <v>0</v>
          </cell>
          <cell r="AI284">
            <v>0</v>
          </cell>
          <cell r="AJ284">
            <v>0</v>
          </cell>
          <cell r="AK284">
            <v>0</v>
          </cell>
          <cell r="AM284">
            <v>0</v>
          </cell>
          <cell r="AN284">
            <v>0</v>
          </cell>
          <cell r="AO284">
            <v>0</v>
          </cell>
          <cell r="AP284">
            <v>0</v>
          </cell>
          <cell r="AQ284">
            <v>0</v>
          </cell>
          <cell r="AR284">
            <v>0</v>
          </cell>
          <cell r="AS284">
            <v>0</v>
          </cell>
          <cell r="AT284">
            <v>0</v>
          </cell>
          <cell r="AU284">
            <v>2370</v>
          </cell>
          <cell r="AV284">
            <v>0</v>
          </cell>
          <cell r="AW284">
            <v>0</v>
          </cell>
          <cell r="AX284">
            <v>0</v>
          </cell>
          <cell r="BA284">
            <v>0</v>
          </cell>
          <cell r="BC284">
            <v>0</v>
          </cell>
          <cell r="BD284">
            <v>5867</v>
          </cell>
          <cell r="BF284">
            <v>0</v>
          </cell>
          <cell r="BG284">
            <v>0</v>
          </cell>
          <cell r="BH284">
            <v>0</v>
          </cell>
          <cell r="BI284">
            <v>25238</v>
          </cell>
          <cell r="BJ284">
            <v>20774</v>
          </cell>
          <cell r="BK284">
            <v>20774</v>
          </cell>
          <cell r="BL284">
            <v>0</v>
          </cell>
          <cell r="BM284">
            <v>0</v>
          </cell>
          <cell r="BN284">
            <v>0</v>
          </cell>
          <cell r="BO284">
            <v>32591</v>
          </cell>
          <cell r="BP284">
            <v>7907</v>
          </cell>
          <cell r="BQ284">
            <v>14244.186046511601</v>
          </cell>
          <cell r="BR284">
            <v>0</v>
          </cell>
          <cell r="BS284">
            <v>0</v>
          </cell>
          <cell r="BT284">
            <v>24111</v>
          </cell>
          <cell r="BY284">
            <v>0</v>
          </cell>
          <cell r="BZ284">
            <v>0</v>
          </cell>
          <cell r="CA284">
            <v>0</v>
          </cell>
          <cell r="CB284">
            <v>0</v>
          </cell>
          <cell r="CC284">
            <v>1180471</v>
          </cell>
          <cell r="CD284">
            <v>6480426</v>
          </cell>
          <cell r="CE284">
            <v>385783</v>
          </cell>
          <cell r="CF284">
            <v>0</v>
          </cell>
          <cell r="CG284">
            <v>385783</v>
          </cell>
          <cell r="CH284">
            <v>385783</v>
          </cell>
          <cell r="CI284">
            <v>385783</v>
          </cell>
          <cell r="CJ284">
            <v>385783</v>
          </cell>
          <cell r="CK284">
            <v>0</v>
          </cell>
          <cell r="CL284">
            <v>0</v>
          </cell>
          <cell r="CM284">
            <v>0</v>
          </cell>
          <cell r="CN284">
            <v>0</v>
          </cell>
          <cell r="CO284">
            <v>0</v>
          </cell>
          <cell r="CP284">
            <v>0</v>
          </cell>
          <cell r="CQ284">
            <v>1775723</v>
          </cell>
          <cell r="CR284">
            <v>1660237</v>
          </cell>
          <cell r="CS284">
            <v>1602860</v>
          </cell>
          <cell r="CT284">
            <v>1534373</v>
          </cell>
          <cell r="CU284">
            <v>1495788</v>
          </cell>
          <cell r="CV284">
            <v>-52891</v>
          </cell>
          <cell r="CW284">
            <v>0</v>
          </cell>
          <cell r="CX284">
            <v>0</v>
          </cell>
          <cell r="CY284">
            <v>0</v>
          </cell>
          <cell r="CZ284">
            <v>0</v>
          </cell>
          <cell r="DA284">
            <v>0</v>
          </cell>
          <cell r="DC284">
            <v>0</v>
          </cell>
          <cell r="DD284">
            <v>0</v>
          </cell>
          <cell r="DE284">
            <v>0</v>
          </cell>
          <cell r="DF284">
            <v>0</v>
          </cell>
          <cell r="DG284">
            <v>0</v>
          </cell>
          <cell r="DH284">
            <v>0</v>
          </cell>
          <cell r="DI284">
            <v>0</v>
          </cell>
          <cell r="DJ284">
            <v>0</v>
          </cell>
          <cell r="DK284">
            <v>0</v>
          </cell>
          <cell r="DL284">
            <v>0</v>
          </cell>
        </row>
        <row r="285">
          <cell r="A285">
            <v>744</v>
          </cell>
          <cell r="B285" t="str">
            <v>Baarle-Nassau</v>
          </cell>
          <cell r="C285">
            <v>10</v>
          </cell>
          <cell r="D285">
            <v>279</v>
          </cell>
          <cell r="E285">
            <v>140</v>
          </cell>
          <cell r="F285">
            <v>0</v>
          </cell>
          <cell r="G285">
            <v>14515</v>
          </cell>
          <cell r="H285">
            <v>-8484</v>
          </cell>
          <cell r="I285">
            <v>-8992</v>
          </cell>
          <cell r="K285">
            <v>0</v>
          </cell>
          <cell r="L285">
            <v>22483</v>
          </cell>
          <cell r="M285">
            <v>25236</v>
          </cell>
          <cell r="N285">
            <v>0</v>
          </cell>
          <cell r="O285">
            <v>0</v>
          </cell>
          <cell r="P285">
            <v>0</v>
          </cell>
          <cell r="Q285">
            <v>0</v>
          </cell>
          <cell r="R285">
            <v>0</v>
          </cell>
          <cell r="S285">
            <v>0</v>
          </cell>
          <cell r="T285">
            <v>0</v>
          </cell>
          <cell r="U285">
            <v>0</v>
          </cell>
          <cell r="V285">
            <v>0</v>
          </cell>
          <cell r="W285">
            <v>21576</v>
          </cell>
          <cell r="X285">
            <v>0</v>
          </cell>
          <cell r="Z285">
            <v>0</v>
          </cell>
          <cell r="AA285">
            <v>0</v>
          </cell>
          <cell r="AB285">
            <v>0</v>
          </cell>
          <cell r="AD285">
            <v>0</v>
          </cell>
          <cell r="AE285">
            <v>0</v>
          </cell>
          <cell r="AF285">
            <v>0</v>
          </cell>
          <cell r="AG285">
            <v>0</v>
          </cell>
          <cell r="AH285">
            <v>0</v>
          </cell>
          <cell r="AI285">
            <v>0</v>
          </cell>
          <cell r="AJ285">
            <v>0</v>
          </cell>
          <cell r="AK285">
            <v>0</v>
          </cell>
          <cell r="AM285">
            <v>0</v>
          </cell>
          <cell r="AN285">
            <v>0</v>
          </cell>
          <cell r="AO285">
            <v>0</v>
          </cell>
          <cell r="AP285">
            <v>0</v>
          </cell>
          <cell r="AQ285">
            <v>0</v>
          </cell>
          <cell r="AR285">
            <v>0</v>
          </cell>
          <cell r="AS285">
            <v>0</v>
          </cell>
          <cell r="AT285">
            <v>0</v>
          </cell>
          <cell r="AU285">
            <v>0</v>
          </cell>
          <cell r="AV285">
            <v>0</v>
          </cell>
          <cell r="AW285">
            <v>0</v>
          </cell>
          <cell r="AX285">
            <v>0</v>
          </cell>
          <cell r="BA285">
            <v>0</v>
          </cell>
          <cell r="BC285">
            <v>0</v>
          </cell>
          <cell r="BD285">
            <v>2337</v>
          </cell>
          <cell r="BF285">
            <v>0</v>
          </cell>
          <cell r="BG285">
            <v>0</v>
          </cell>
          <cell r="BH285">
            <v>0</v>
          </cell>
          <cell r="BI285">
            <v>8960</v>
          </cell>
          <cell r="BJ285">
            <v>7375</v>
          </cell>
          <cell r="BK285">
            <v>7375</v>
          </cell>
          <cell r="BL285">
            <v>0</v>
          </cell>
          <cell r="BM285">
            <v>0</v>
          </cell>
          <cell r="BN285">
            <v>0</v>
          </cell>
          <cell r="BO285">
            <v>29186</v>
          </cell>
          <cell r="BP285">
            <v>0</v>
          </cell>
          <cell r="BQ285">
            <v>0</v>
          </cell>
          <cell r="BR285">
            <v>0</v>
          </cell>
          <cell r="BS285">
            <v>0</v>
          </cell>
          <cell r="BT285">
            <v>13448</v>
          </cell>
          <cell r="BY285">
            <v>0</v>
          </cell>
          <cell r="BZ285">
            <v>0</v>
          </cell>
          <cell r="CA285">
            <v>0</v>
          </cell>
          <cell r="CB285">
            <v>0</v>
          </cell>
          <cell r="CC285">
            <v>652254</v>
          </cell>
          <cell r="CD285">
            <v>2114566</v>
          </cell>
          <cell r="CE285">
            <v>26995</v>
          </cell>
          <cell r="CF285">
            <v>-21784</v>
          </cell>
          <cell r="CG285">
            <v>26995</v>
          </cell>
          <cell r="CH285">
            <v>26995</v>
          </cell>
          <cell r="CI285">
            <v>26995</v>
          </cell>
          <cell r="CJ285">
            <v>26995</v>
          </cell>
          <cell r="CK285">
            <v>0</v>
          </cell>
          <cell r="CL285">
            <v>0</v>
          </cell>
          <cell r="CM285">
            <v>0</v>
          </cell>
          <cell r="CN285">
            <v>0</v>
          </cell>
          <cell r="CO285">
            <v>0</v>
          </cell>
          <cell r="CP285">
            <v>0</v>
          </cell>
          <cell r="CQ285">
            <v>25381</v>
          </cell>
          <cell r="CR285">
            <v>28341</v>
          </cell>
          <cell r="CS285">
            <v>29255</v>
          </cell>
          <cell r="CT285">
            <v>31941</v>
          </cell>
          <cell r="CU285">
            <v>34617</v>
          </cell>
          <cell r="CV285">
            <v>-7252</v>
          </cell>
          <cell r="CW285">
            <v>0</v>
          </cell>
          <cell r="CX285">
            <v>0</v>
          </cell>
          <cell r="CY285">
            <v>0</v>
          </cell>
          <cell r="CZ285">
            <v>0</v>
          </cell>
          <cell r="DA285">
            <v>0</v>
          </cell>
          <cell r="DC285">
            <v>0</v>
          </cell>
          <cell r="DD285">
            <v>0</v>
          </cell>
          <cell r="DE285">
            <v>0</v>
          </cell>
          <cell r="DF285">
            <v>0</v>
          </cell>
          <cell r="DG285">
            <v>0</v>
          </cell>
          <cell r="DH285">
            <v>0</v>
          </cell>
          <cell r="DI285">
            <v>0</v>
          </cell>
          <cell r="DJ285">
            <v>0</v>
          </cell>
          <cell r="DK285">
            <v>0</v>
          </cell>
          <cell r="DL285">
            <v>0</v>
          </cell>
        </row>
        <row r="286">
          <cell r="A286">
            <v>1724</v>
          </cell>
          <cell r="B286" t="str">
            <v>Bergeijk</v>
          </cell>
          <cell r="C286">
            <v>10</v>
          </cell>
          <cell r="D286">
            <v>-29014</v>
          </cell>
          <cell r="E286">
            <v>-14507</v>
          </cell>
          <cell r="F286">
            <v>0</v>
          </cell>
          <cell r="G286">
            <v>0</v>
          </cell>
          <cell r="H286">
            <v>-16311</v>
          </cell>
          <cell r="I286">
            <v>-7519</v>
          </cell>
          <cell r="K286">
            <v>0</v>
          </cell>
          <cell r="L286">
            <v>52287</v>
          </cell>
          <cell r="M286">
            <v>47996</v>
          </cell>
          <cell r="N286">
            <v>0</v>
          </cell>
          <cell r="O286">
            <v>0</v>
          </cell>
          <cell r="P286">
            <v>0</v>
          </cell>
          <cell r="Q286">
            <v>0</v>
          </cell>
          <cell r="R286">
            <v>0</v>
          </cell>
          <cell r="S286">
            <v>0</v>
          </cell>
          <cell r="T286">
            <v>0</v>
          </cell>
          <cell r="U286">
            <v>0</v>
          </cell>
          <cell r="V286">
            <v>6000</v>
          </cell>
          <cell r="W286">
            <v>76391</v>
          </cell>
          <cell r="X286">
            <v>0</v>
          </cell>
          <cell r="Z286">
            <v>0</v>
          </cell>
          <cell r="AA286">
            <v>0</v>
          </cell>
          <cell r="AB286">
            <v>0</v>
          </cell>
          <cell r="AD286">
            <v>0</v>
          </cell>
          <cell r="AE286">
            <v>0</v>
          </cell>
          <cell r="AF286">
            <v>0</v>
          </cell>
          <cell r="AG286">
            <v>0</v>
          </cell>
          <cell r="AH286">
            <v>0</v>
          </cell>
          <cell r="AI286">
            <v>0</v>
          </cell>
          <cell r="AJ286">
            <v>0</v>
          </cell>
          <cell r="AK286">
            <v>0</v>
          </cell>
          <cell r="AM286">
            <v>0</v>
          </cell>
          <cell r="AN286">
            <v>0</v>
          </cell>
          <cell r="AO286">
            <v>0</v>
          </cell>
          <cell r="AP286">
            <v>0</v>
          </cell>
          <cell r="AQ286">
            <v>0</v>
          </cell>
          <cell r="AR286">
            <v>0</v>
          </cell>
          <cell r="AS286">
            <v>0</v>
          </cell>
          <cell r="AT286">
            <v>0</v>
          </cell>
          <cell r="AU286">
            <v>0</v>
          </cell>
          <cell r="AV286">
            <v>0</v>
          </cell>
          <cell r="AW286">
            <v>0</v>
          </cell>
          <cell r="AX286">
            <v>0</v>
          </cell>
          <cell r="BA286">
            <v>0</v>
          </cell>
          <cell r="BC286">
            <v>0</v>
          </cell>
          <cell r="BD286">
            <v>6439</v>
          </cell>
          <cell r="BF286">
            <v>0</v>
          </cell>
          <cell r="BG286">
            <v>0</v>
          </cell>
          <cell r="BH286">
            <v>0</v>
          </cell>
          <cell r="BI286">
            <v>16842</v>
          </cell>
          <cell r="BJ286">
            <v>13863</v>
          </cell>
          <cell r="BK286">
            <v>13863</v>
          </cell>
          <cell r="BL286">
            <v>0</v>
          </cell>
          <cell r="BM286">
            <v>0</v>
          </cell>
          <cell r="BN286">
            <v>0</v>
          </cell>
          <cell r="BO286">
            <v>16052</v>
          </cell>
          <cell r="BP286">
            <v>4744.2</v>
          </cell>
          <cell r="BQ286">
            <v>8546.5116279069807</v>
          </cell>
          <cell r="BR286">
            <v>0</v>
          </cell>
          <cell r="BS286">
            <v>0</v>
          </cell>
          <cell r="BT286">
            <v>31790</v>
          </cell>
          <cell r="BY286">
            <v>0</v>
          </cell>
          <cell r="BZ286">
            <v>0</v>
          </cell>
          <cell r="CA286">
            <v>0</v>
          </cell>
          <cell r="CB286">
            <v>0</v>
          </cell>
          <cell r="CC286">
            <v>1248648</v>
          </cell>
          <cell r="CD286">
            <v>7861630</v>
          </cell>
          <cell r="CE286">
            <v>684634</v>
          </cell>
          <cell r="CF286">
            <v>-13718</v>
          </cell>
          <cell r="CG286">
            <v>684634</v>
          </cell>
          <cell r="CH286">
            <v>684634</v>
          </cell>
          <cell r="CI286">
            <v>684634</v>
          </cell>
          <cell r="CJ286">
            <v>684634</v>
          </cell>
          <cell r="CK286">
            <v>0</v>
          </cell>
          <cell r="CL286">
            <v>0</v>
          </cell>
          <cell r="CM286">
            <v>0</v>
          </cell>
          <cell r="CN286">
            <v>0</v>
          </cell>
          <cell r="CO286">
            <v>0</v>
          </cell>
          <cell r="CP286">
            <v>-674</v>
          </cell>
          <cell r="CQ286">
            <v>2500068</v>
          </cell>
          <cell r="CR286">
            <v>2386087</v>
          </cell>
          <cell r="CS286">
            <v>2328416</v>
          </cell>
          <cell r="CT286">
            <v>2270152</v>
          </cell>
          <cell r="CU286">
            <v>2186624</v>
          </cell>
          <cell r="CV286">
            <v>17293</v>
          </cell>
          <cell r="CW286">
            <v>0</v>
          </cell>
          <cell r="CX286">
            <v>0</v>
          </cell>
          <cell r="CY286">
            <v>0</v>
          </cell>
          <cell r="CZ286">
            <v>0</v>
          </cell>
          <cell r="DA286">
            <v>0</v>
          </cell>
          <cell r="DC286">
            <v>0</v>
          </cell>
          <cell r="DD286">
            <v>0</v>
          </cell>
          <cell r="DE286">
            <v>0</v>
          </cell>
          <cell r="DF286">
            <v>0</v>
          </cell>
          <cell r="DG286">
            <v>0</v>
          </cell>
          <cell r="DH286">
            <v>0</v>
          </cell>
          <cell r="DI286">
            <v>0</v>
          </cell>
          <cell r="DJ286">
            <v>0</v>
          </cell>
          <cell r="DK286">
            <v>0</v>
          </cell>
          <cell r="DL286">
            <v>0</v>
          </cell>
        </row>
        <row r="287">
          <cell r="A287">
            <v>748</v>
          </cell>
          <cell r="B287" t="str">
            <v>Bergen op Zoom</v>
          </cell>
          <cell r="C287">
            <v>10</v>
          </cell>
          <cell r="D287">
            <v>4584</v>
          </cell>
          <cell r="E287">
            <v>2292</v>
          </cell>
          <cell r="F287">
            <v>0</v>
          </cell>
          <cell r="G287">
            <v>49117</v>
          </cell>
          <cell r="H287">
            <v>-24705</v>
          </cell>
          <cell r="I287">
            <v>-6777</v>
          </cell>
          <cell r="K287">
            <v>0</v>
          </cell>
          <cell r="L287">
            <v>377967</v>
          </cell>
          <cell r="M287">
            <v>386012</v>
          </cell>
          <cell r="N287">
            <v>0</v>
          </cell>
          <cell r="O287">
            <v>0</v>
          </cell>
          <cell r="P287">
            <v>0</v>
          </cell>
          <cell r="Q287">
            <v>0</v>
          </cell>
          <cell r="R287">
            <v>0</v>
          </cell>
          <cell r="S287">
            <v>0</v>
          </cell>
          <cell r="T287">
            <v>0</v>
          </cell>
          <cell r="U287">
            <v>0</v>
          </cell>
          <cell r="V287">
            <v>37500</v>
          </cell>
          <cell r="W287">
            <v>249776</v>
          </cell>
          <cell r="X287">
            <v>0</v>
          </cell>
          <cell r="Z287">
            <v>0</v>
          </cell>
          <cell r="AA287">
            <v>0</v>
          </cell>
          <cell r="AB287">
            <v>0</v>
          </cell>
          <cell r="AD287">
            <v>138847</v>
          </cell>
          <cell r="AE287">
            <v>0</v>
          </cell>
          <cell r="AF287">
            <v>0</v>
          </cell>
          <cell r="AG287">
            <v>0</v>
          </cell>
          <cell r="AH287">
            <v>0</v>
          </cell>
          <cell r="AI287">
            <v>0</v>
          </cell>
          <cell r="AJ287">
            <v>0</v>
          </cell>
          <cell r="AK287">
            <v>0</v>
          </cell>
          <cell r="AM287">
            <v>0</v>
          </cell>
          <cell r="AN287">
            <v>0</v>
          </cell>
          <cell r="AO287">
            <v>0</v>
          </cell>
          <cell r="AP287">
            <v>0</v>
          </cell>
          <cell r="AQ287">
            <v>0</v>
          </cell>
          <cell r="AR287">
            <v>0</v>
          </cell>
          <cell r="AS287">
            <v>0</v>
          </cell>
          <cell r="AT287">
            <v>0</v>
          </cell>
          <cell r="AU287">
            <v>7110</v>
          </cell>
          <cell r="AV287">
            <v>2957280.7741564899</v>
          </cell>
          <cell r="AW287">
            <v>0</v>
          </cell>
          <cell r="AX287">
            <v>0</v>
          </cell>
          <cell r="BA287">
            <v>0</v>
          </cell>
          <cell r="BC287">
            <v>0</v>
          </cell>
          <cell r="BD287">
            <v>23226</v>
          </cell>
          <cell r="BF287">
            <v>0</v>
          </cell>
          <cell r="BG287">
            <v>0</v>
          </cell>
          <cell r="BH287">
            <v>0</v>
          </cell>
          <cell r="BI287">
            <v>109671</v>
          </cell>
          <cell r="BJ287">
            <v>90275</v>
          </cell>
          <cell r="BK287">
            <v>90275</v>
          </cell>
          <cell r="BL287">
            <v>0</v>
          </cell>
          <cell r="BM287">
            <v>0</v>
          </cell>
          <cell r="BN287">
            <v>0</v>
          </cell>
          <cell r="BO287">
            <v>130849</v>
          </cell>
          <cell r="BP287">
            <v>22139.599999999999</v>
          </cell>
          <cell r="BQ287">
            <v>39883.720930232601</v>
          </cell>
          <cell r="BR287">
            <v>0</v>
          </cell>
          <cell r="BS287">
            <v>0</v>
          </cell>
          <cell r="BT287">
            <v>110530</v>
          </cell>
          <cell r="BY287">
            <v>0</v>
          </cell>
          <cell r="BZ287">
            <v>0</v>
          </cell>
          <cell r="CA287">
            <v>0</v>
          </cell>
          <cell r="CB287">
            <v>0</v>
          </cell>
          <cell r="CC287">
            <v>5893508</v>
          </cell>
          <cell r="CD287">
            <v>48186828</v>
          </cell>
          <cell r="CE287">
            <v>1506996</v>
          </cell>
          <cell r="CF287">
            <v>0</v>
          </cell>
          <cell r="CG287">
            <v>1506996</v>
          </cell>
          <cell r="CH287">
            <v>1506996</v>
          </cell>
          <cell r="CI287">
            <v>1506996</v>
          </cell>
          <cell r="CJ287">
            <v>1506996</v>
          </cell>
          <cell r="CK287">
            <v>11042631</v>
          </cell>
          <cell r="CL287">
            <v>11037089</v>
          </cell>
          <cell r="CM287">
            <v>11036999</v>
          </cell>
          <cell r="CN287">
            <v>11036802</v>
          </cell>
          <cell r="CO287">
            <v>11037075</v>
          </cell>
          <cell r="CP287">
            <v>-2452</v>
          </cell>
          <cell r="CQ287">
            <v>10987492</v>
          </cell>
          <cell r="CR287">
            <v>10543454</v>
          </cell>
          <cell r="CS287">
            <v>10306705</v>
          </cell>
          <cell r="CT287">
            <v>10122359</v>
          </cell>
          <cell r="CU287">
            <v>9898470</v>
          </cell>
          <cell r="CV287">
            <v>-23733</v>
          </cell>
          <cell r="CW287">
            <v>0</v>
          </cell>
          <cell r="CX287">
            <v>0</v>
          </cell>
          <cell r="CY287">
            <v>0</v>
          </cell>
          <cell r="CZ287">
            <v>0</v>
          </cell>
          <cell r="DA287">
            <v>0</v>
          </cell>
          <cell r="DC287">
            <v>0</v>
          </cell>
          <cell r="DD287">
            <v>0</v>
          </cell>
          <cell r="DE287">
            <v>0</v>
          </cell>
          <cell r="DF287">
            <v>0</v>
          </cell>
          <cell r="DG287">
            <v>0</v>
          </cell>
          <cell r="DH287">
            <v>0</v>
          </cell>
          <cell r="DI287">
            <v>0</v>
          </cell>
          <cell r="DJ287">
            <v>0</v>
          </cell>
          <cell r="DK287">
            <v>0</v>
          </cell>
          <cell r="DL287">
            <v>0</v>
          </cell>
        </row>
        <row r="288">
          <cell r="A288">
            <v>1721</v>
          </cell>
          <cell r="B288" t="str">
            <v>Bernheze</v>
          </cell>
          <cell r="C288">
            <v>10</v>
          </cell>
          <cell r="D288">
            <v>-1183</v>
          </cell>
          <cell r="E288">
            <v>-591</v>
          </cell>
          <cell r="F288">
            <v>0</v>
          </cell>
          <cell r="G288">
            <v>0</v>
          </cell>
          <cell r="H288">
            <v>-20522</v>
          </cell>
          <cell r="I288">
            <v>-9721</v>
          </cell>
          <cell r="K288">
            <v>0</v>
          </cell>
          <cell r="L288">
            <v>92955</v>
          </cell>
          <cell r="M288">
            <v>86849</v>
          </cell>
          <cell r="N288">
            <v>0</v>
          </cell>
          <cell r="O288">
            <v>0</v>
          </cell>
          <cell r="P288">
            <v>0</v>
          </cell>
          <cell r="Q288">
            <v>0</v>
          </cell>
          <cell r="R288">
            <v>0</v>
          </cell>
          <cell r="S288">
            <v>0</v>
          </cell>
          <cell r="T288">
            <v>0</v>
          </cell>
          <cell r="U288">
            <v>0</v>
          </cell>
          <cell r="V288">
            <v>6000</v>
          </cell>
          <cell r="W288">
            <v>57984</v>
          </cell>
          <cell r="X288">
            <v>0</v>
          </cell>
          <cell r="Z288">
            <v>0</v>
          </cell>
          <cell r="AA288">
            <v>0</v>
          </cell>
          <cell r="AB288">
            <v>0</v>
          </cell>
          <cell r="AD288">
            <v>0</v>
          </cell>
          <cell r="AE288">
            <v>0</v>
          </cell>
          <cell r="AF288">
            <v>0</v>
          </cell>
          <cell r="AG288">
            <v>0</v>
          </cell>
          <cell r="AH288">
            <v>0</v>
          </cell>
          <cell r="AI288">
            <v>0</v>
          </cell>
          <cell r="AJ288">
            <v>0</v>
          </cell>
          <cell r="AK288">
            <v>0</v>
          </cell>
          <cell r="AM288">
            <v>0</v>
          </cell>
          <cell r="AN288">
            <v>0</v>
          </cell>
          <cell r="AO288">
            <v>0</v>
          </cell>
          <cell r="AP288">
            <v>0</v>
          </cell>
          <cell r="AQ288">
            <v>0</v>
          </cell>
          <cell r="AR288">
            <v>0</v>
          </cell>
          <cell r="AS288">
            <v>0</v>
          </cell>
          <cell r="AT288">
            <v>0</v>
          </cell>
          <cell r="AU288">
            <v>2370</v>
          </cell>
          <cell r="AV288">
            <v>0</v>
          </cell>
          <cell r="AW288">
            <v>0</v>
          </cell>
          <cell r="AX288">
            <v>0</v>
          </cell>
          <cell r="BA288">
            <v>0</v>
          </cell>
          <cell r="BC288">
            <v>0</v>
          </cell>
          <cell r="BD288">
            <v>10620</v>
          </cell>
          <cell r="BF288">
            <v>0</v>
          </cell>
          <cell r="BG288">
            <v>0</v>
          </cell>
          <cell r="BH288">
            <v>0</v>
          </cell>
          <cell r="BI288">
            <v>32123</v>
          </cell>
          <cell r="BJ288">
            <v>26442</v>
          </cell>
          <cell r="BK288">
            <v>26442</v>
          </cell>
          <cell r="BL288">
            <v>0</v>
          </cell>
          <cell r="BM288">
            <v>0</v>
          </cell>
          <cell r="BN288">
            <v>0</v>
          </cell>
          <cell r="BO288">
            <v>57398</v>
          </cell>
          <cell r="BP288">
            <v>6325.6</v>
          </cell>
          <cell r="BQ288">
            <v>11395.3488372093</v>
          </cell>
          <cell r="BR288">
            <v>0</v>
          </cell>
          <cell r="BS288">
            <v>0</v>
          </cell>
          <cell r="BT288">
            <v>48912</v>
          </cell>
          <cell r="BY288">
            <v>0</v>
          </cell>
          <cell r="BZ288">
            <v>0</v>
          </cell>
          <cell r="CA288">
            <v>0</v>
          </cell>
          <cell r="CB288">
            <v>0</v>
          </cell>
          <cell r="CC288">
            <v>2031896</v>
          </cell>
          <cell r="CD288">
            <v>13003043</v>
          </cell>
          <cell r="CE288">
            <v>413306</v>
          </cell>
          <cell r="CF288">
            <v>0</v>
          </cell>
          <cell r="CG288">
            <v>413306</v>
          </cell>
          <cell r="CH288">
            <v>413306</v>
          </cell>
          <cell r="CI288">
            <v>413306</v>
          </cell>
          <cell r="CJ288">
            <v>413306</v>
          </cell>
          <cell r="CK288">
            <v>0</v>
          </cell>
          <cell r="CL288">
            <v>0</v>
          </cell>
          <cell r="CM288">
            <v>0</v>
          </cell>
          <cell r="CN288">
            <v>0</v>
          </cell>
          <cell r="CO288">
            <v>0</v>
          </cell>
          <cell r="CP288">
            <v>-3507</v>
          </cell>
          <cell r="CQ288">
            <v>4382377</v>
          </cell>
          <cell r="CR288">
            <v>4138127</v>
          </cell>
          <cell r="CS288">
            <v>4022194</v>
          </cell>
          <cell r="CT288">
            <v>3916412</v>
          </cell>
          <cell r="CU288">
            <v>3857698</v>
          </cell>
          <cell r="CV288">
            <v>-6611</v>
          </cell>
          <cell r="CW288">
            <v>0</v>
          </cell>
          <cell r="CX288">
            <v>0</v>
          </cell>
          <cell r="CY288">
            <v>0</v>
          </cell>
          <cell r="CZ288">
            <v>0</v>
          </cell>
          <cell r="DA288">
            <v>0</v>
          </cell>
          <cell r="DC288">
            <v>0</v>
          </cell>
          <cell r="DD288">
            <v>0</v>
          </cell>
          <cell r="DE288">
            <v>0</v>
          </cell>
          <cell r="DF288">
            <v>0</v>
          </cell>
          <cell r="DG288">
            <v>0</v>
          </cell>
          <cell r="DH288">
            <v>0</v>
          </cell>
          <cell r="DI288">
            <v>0</v>
          </cell>
          <cell r="DJ288">
            <v>0</v>
          </cell>
          <cell r="DK288">
            <v>0</v>
          </cell>
          <cell r="DL288">
            <v>0</v>
          </cell>
        </row>
        <row r="289">
          <cell r="A289">
            <v>753</v>
          </cell>
          <cell r="B289" t="str">
            <v>Best</v>
          </cell>
          <cell r="C289">
            <v>10</v>
          </cell>
          <cell r="D289">
            <v>-54901</v>
          </cell>
          <cell r="E289">
            <v>-27450</v>
          </cell>
          <cell r="F289">
            <v>0</v>
          </cell>
          <cell r="G289">
            <v>0</v>
          </cell>
          <cell r="H289">
            <v>-51406</v>
          </cell>
          <cell r="I289">
            <v>-41683</v>
          </cell>
          <cell r="K289">
            <v>0</v>
          </cell>
          <cell r="L289">
            <v>82370</v>
          </cell>
          <cell r="M289">
            <v>84278</v>
          </cell>
          <cell r="N289">
            <v>0</v>
          </cell>
          <cell r="O289">
            <v>0</v>
          </cell>
          <cell r="P289">
            <v>0</v>
          </cell>
          <cell r="Q289">
            <v>0</v>
          </cell>
          <cell r="R289">
            <v>0</v>
          </cell>
          <cell r="S289">
            <v>0</v>
          </cell>
          <cell r="T289">
            <v>0</v>
          </cell>
          <cell r="U289">
            <v>0</v>
          </cell>
          <cell r="V289">
            <v>3000</v>
          </cell>
          <cell r="W289">
            <v>76168</v>
          </cell>
          <cell r="X289">
            <v>0</v>
          </cell>
          <cell r="Z289">
            <v>0</v>
          </cell>
          <cell r="AA289">
            <v>0</v>
          </cell>
          <cell r="AB289">
            <v>0</v>
          </cell>
          <cell r="AD289">
            <v>0</v>
          </cell>
          <cell r="AE289">
            <v>0</v>
          </cell>
          <cell r="AF289">
            <v>0</v>
          </cell>
          <cell r="AG289">
            <v>0</v>
          </cell>
          <cell r="AH289">
            <v>0</v>
          </cell>
          <cell r="AI289">
            <v>0</v>
          </cell>
          <cell r="AJ289">
            <v>0</v>
          </cell>
          <cell r="AK289">
            <v>0</v>
          </cell>
          <cell r="AM289">
            <v>0</v>
          </cell>
          <cell r="AN289">
            <v>0</v>
          </cell>
          <cell r="AO289">
            <v>0</v>
          </cell>
          <cell r="AP289">
            <v>0</v>
          </cell>
          <cell r="AQ289">
            <v>0</v>
          </cell>
          <cell r="AR289">
            <v>0</v>
          </cell>
          <cell r="AS289">
            <v>0</v>
          </cell>
          <cell r="AT289">
            <v>0</v>
          </cell>
          <cell r="AU289">
            <v>0</v>
          </cell>
          <cell r="AV289">
            <v>0</v>
          </cell>
          <cell r="AW289">
            <v>0</v>
          </cell>
          <cell r="AX289">
            <v>0</v>
          </cell>
          <cell r="BA289">
            <v>0</v>
          </cell>
          <cell r="BC289">
            <v>0</v>
          </cell>
          <cell r="BD289">
            <v>10243</v>
          </cell>
          <cell r="BF289">
            <v>0</v>
          </cell>
          <cell r="BG289">
            <v>0</v>
          </cell>
          <cell r="BH289">
            <v>0</v>
          </cell>
          <cell r="BI289">
            <v>29530</v>
          </cell>
          <cell r="BJ289">
            <v>24308</v>
          </cell>
          <cell r="BK289">
            <v>24308</v>
          </cell>
          <cell r="BL289">
            <v>0</v>
          </cell>
          <cell r="BM289">
            <v>0</v>
          </cell>
          <cell r="BN289">
            <v>0</v>
          </cell>
          <cell r="BO289">
            <v>27240</v>
          </cell>
          <cell r="BP289">
            <v>22139.599999999999</v>
          </cell>
          <cell r="BQ289">
            <v>39883.720930232601</v>
          </cell>
          <cell r="BR289">
            <v>0</v>
          </cell>
          <cell r="BS289">
            <v>0</v>
          </cell>
          <cell r="BT289">
            <v>44164</v>
          </cell>
          <cell r="BY289">
            <v>0</v>
          </cell>
          <cell r="BZ289">
            <v>0</v>
          </cell>
          <cell r="CA289">
            <v>0</v>
          </cell>
          <cell r="CB289">
            <v>0</v>
          </cell>
          <cell r="CC289">
            <v>2039664</v>
          </cell>
          <cell r="CD289">
            <v>11802521</v>
          </cell>
          <cell r="CE289">
            <v>581832</v>
          </cell>
          <cell r="CF289">
            <v>-77741</v>
          </cell>
          <cell r="CG289">
            <v>581832</v>
          </cell>
          <cell r="CH289">
            <v>581832</v>
          </cell>
          <cell r="CI289">
            <v>581832</v>
          </cell>
          <cell r="CJ289">
            <v>581832</v>
          </cell>
          <cell r="CK289">
            <v>0</v>
          </cell>
          <cell r="CL289">
            <v>0</v>
          </cell>
          <cell r="CM289">
            <v>0</v>
          </cell>
          <cell r="CN289">
            <v>0</v>
          </cell>
          <cell r="CO289">
            <v>0</v>
          </cell>
          <cell r="CP289">
            <v>-3380</v>
          </cell>
          <cell r="CQ289">
            <v>3115127</v>
          </cell>
          <cell r="CR289">
            <v>2968048</v>
          </cell>
          <cell r="CS289">
            <v>2865458</v>
          </cell>
          <cell r="CT289">
            <v>2816813</v>
          </cell>
          <cell r="CU289">
            <v>2753241</v>
          </cell>
          <cell r="CV289">
            <v>32404</v>
          </cell>
          <cell r="CW289">
            <v>0</v>
          </cell>
          <cell r="CX289">
            <v>0</v>
          </cell>
          <cell r="CY289">
            <v>0</v>
          </cell>
          <cell r="CZ289">
            <v>0</v>
          </cell>
          <cell r="DA289">
            <v>0</v>
          </cell>
          <cell r="DC289">
            <v>0</v>
          </cell>
          <cell r="DD289">
            <v>0</v>
          </cell>
          <cell r="DE289">
            <v>0</v>
          </cell>
          <cell r="DF289">
            <v>0</v>
          </cell>
          <cell r="DG289">
            <v>0</v>
          </cell>
          <cell r="DH289">
            <v>0</v>
          </cell>
          <cell r="DI289">
            <v>0</v>
          </cell>
          <cell r="DJ289">
            <v>0</v>
          </cell>
          <cell r="DK289">
            <v>0</v>
          </cell>
          <cell r="DL289">
            <v>0</v>
          </cell>
        </row>
        <row r="290">
          <cell r="A290">
            <v>1728</v>
          </cell>
          <cell r="B290" t="str">
            <v>Bladel</v>
          </cell>
          <cell r="C290">
            <v>10</v>
          </cell>
          <cell r="D290">
            <v>-8050</v>
          </cell>
          <cell r="E290">
            <v>-4025</v>
          </cell>
          <cell r="F290">
            <v>0</v>
          </cell>
          <cell r="G290">
            <v>0</v>
          </cell>
          <cell r="H290">
            <v>-15371</v>
          </cell>
          <cell r="I290">
            <v>-6029</v>
          </cell>
          <cell r="K290">
            <v>0</v>
          </cell>
          <cell r="L290">
            <v>53541</v>
          </cell>
          <cell r="M290">
            <v>53328</v>
          </cell>
          <cell r="N290">
            <v>0</v>
          </cell>
          <cell r="O290">
            <v>0</v>
          </cell>
          <cell r="P290">
            <v>0</v>
          </cell>
          <cell r="Q290">
            <v>0</v>
          </cell>
          <cell r="R290">
            <v>0</v>
          </cell>
          <cell r="S290">
            <v>0</v>
          </cell>
          <cell r="T290">
            <v>0</v>
          </cell>
          <cell r="U290">
            <v>0</v>
          </cell>
          <cell r="V290">
            <v>9000</v>
          </cell>
          <cell r="W290">
            <v>80278</v>
          </cell>
          <cell r="X290">
            <v>0</v>
          </cell>
          <cell r="Z290">
            <v>0</v>
          </cell>
          <cell r="AA290">
            <v>0</v>
          </cell>
          <cell r="AB290">
            <v>0</v>
          </cell>
          <cell r="AD290">
            <v>0</v>
          </cell>
          <cell r="AE290">
            <v>0</v>
          </cell>
          <cell r="AF290">
            <v>0</v>
          </cell>
          <cell r="AG290">
            <v>0</v>
          </cell>
          <cell r="AH290">
            <v>0</v>
          </cell>
          <cell r="AI290">
            <v>0</v>
          </cell>
          <cell r="AJ290">
            <v>0</v>
          </cell>
          <cell r="AK290">
            <v>0</v>
          </cell>
          <cell r="AM290">
            <v>0</v>
          </cell>
          <cell r="AN290">
            <v>0</v>
          </cell>
          <cell r="AO290">
            <v>0</v>
          </cell>
          <cell r="AP290">
            <v>0</v>
          </cell>
          <cell r="AQ290">
            <v>0</v>
          </cell>
          <cell r="AR290">
            <v>0</v>
          </cell>
          <cell r="AS290">
            <v>0</v>
          </cell>
          <cell r="AT290">
            <v>0</v>
          </cell>
          <cell r="AU290">
            <v>0</v>
          </cell>
          <cell r="AV290">
            <v>0</v>
          </cell>
          <cell r="AW290">
            <v>0</v>
          </cell>
          <cell r="AX290">
            <v>0</v>
          </cell>
          <cell r="BA290">
            <v>0</v>
          </cell>
          <cell r="BC290">
            <v>0</v>
          </cell>
          <cell r="BD290">
            <v>7043</v>
          </cell>
          <cell r="BF290">
            <v>0</v>
          </cell>
          <cell r="BG290">
            <v>0</v>
          </cell>
          <cell r="BH290">
            <v>0</v>
          </cell>
          <cell r="BI290">
            <v>22809</v>
          </cell>
          <cell r="BJ290">
            <v>18776</v>
          </cell>
          <cell r="BK290">
            <v>18776</v>
          </cell>
          <cell r="BL290">
            <v>0</v>
          </cell>
          <cell r="BM290">
            <v>0</v>
          </cell>
          <cell r="BN290">
            <v>0</v>
          </cell>
          <cell r="BO290">
            <v>81720</v>
          </cell>
          <cell r="BP290">
            <v>1581.4</v>
          </cell>
          <cell r="BQ290">
            <v>2848.8372093023299</v>
          </cell>
          <cell r="BR290">
            <v>0</v>
          </cell>
          <cell r="BS290">
            <v>0</v>
          </cell>
          <cell r="BT290">
            <v>32684</v>
          </cell>
          <cell r="BY290">
            <v>0</v>
          </cell>
          <cell r="BZ290">
            <v>0</v>
          </cell>
          <cell r="CA290">
            <v>0</v>
          </cell>
          <cell r="CB290">
            <v>0</v>
          </cell>
          <cell r="CC290">
            <v>1451766</v>
          </cell>
          <cell r="CD290">
            <v>10833568</v>
          </cell>
          <cell r="CE290">
            <v>359253</v>
          </cell>
          <cell r="CF290">
            <v>-5732</v>
          </cell>
          <cell r="CG290">
            <v>359253</v>
          </cell>
          <cell r="CH290">
            <v>359253</v>
          </cell>
          <cell r="CI290">
            <v>359253</v>
          </cell>
          <cell r="CJ290">
            <v>359253</v>
          </cell>
          <cell r="CK290">
            <v>0</v>
          </cell>
          <cell r="CL290">
            <v>0</v>
          </cell>
          <cell r="CM290">
            <v>0</v>
          </cell>
          <cell r="CN290">
            <v>0</v>
          </cell>
          <cell r="CO290">
            <v>0</v>
          </cell>
          <cell r="CP290">
            <v>-1318</v>
          </cell>
          <cell r="CQ290">
            <v>5019199</v>
          </cell>
          <cell r="CR290">
            <v>4771414</v>
          </cell>
          <cell r="CS290">
            <v>4620125</v>
          </cell>
          <cell r="CT290">
            <v>4482887</v>
          </cell>
          <cell r="CU290">
            <v>4362393</v>
          </cell>
          <cell r="CV290">
            <v>44977</v>
          </cell>
          <cell r="CW290">
            <v>0</v>
          </cell>
          <cell r="CX290">
            <v>0</v>
          </cell>
          <cell r="CY290">
            <v>0</v>
          </cell>
          <cell r="CZ290">
            <v>0</v>
          </cell>
          <cell r="DA290">
            <v>0</v>
          </cell>
          <cell r="DC290">
            <v>0</v>
          </cell>
          <cell r="DD290">
            <v>0</v>
          </cell>
          <cell r="DE290">
            <v>0</v>
          </cell>
          <cell r="DF290">
            <v>0</v>
          </cell>
          <cell r="DG290">
            <v>0</v>
          </cell>
          <cell r="DH290">
            <v>0</v>
          </cell>
          <cell r="DI290">
            <v>0</v>
          </cell>
          <cell r="DJ290">
            <v>0</v>
          </cell>
          <cell r="DK290">
            <v>0</v>
          </cell>
          <cell r="DL290">
            <v>0</v>
          </cell>
        </row>
        <row r="291">
          <cell r="A291">
            <v>755</v>
          </cell>
          <cell r="B291" t="str">
            <v>Boekel</v>
          </cell>
          <cell r="C291">
            <v>10</v>
          </cell>
          <cell r="D291">
            <v>-6321</v>
          </cell>
          <cell r="E291">
            <v>-3161</v>
          </cell>
          <cell r="F291">
            <v>0</v>
          </cell>
          <cell r="G291">
            <v>0</v>
          </cell>
          <cell r="H291">
            <v>-11348</v>
          </cell>
          <cell r="I291">
            <v>0</v>
          </cell>
          <cell r="K291">
            <v>0</v>
          </cell>
          <cell r="L291">
            <v>35455</v>
          </cell>
          <cell r="M291">
            <v>31426</v>
          </cell>
          <cell r="N291">
            <v>0</v>
          </cell>
          <cell r="O291">
            <v>0</v>
          </cell>
          <cell r="P291">
            <v>0</v>
          </cell>
          <cell r="Q291">
            <v>0</v>
          </cell>
          <cell r="R291">
            <v>0</v>
          </cell>
          <cell r="S291">
            <v>0</v>
          </cell>
          <cell r="T291">
            <v>0</v>
          </cell>
          <cell r="U291">
            <v>0</v>
          </cell>
          <cell r="V291">
            <v>3000</v>
          </cell>
          <cell r="W291">
            <v>40003</v>
          </cell>
          <cell r="X291">
            <v>0</v>
          </cell>
          <cell r="Z291">
            <v>0</v>
          </cell>
          <cell r="AA291">
            <v>0</v>
          </cell>
          <cell r="AB291">
            <v>0</v>
          </cell>
          <cell r="AD291">
            <v>0</v>
          </cell>
          <cell r="AE291">
            <v>0</v>
          </cell>
          <cell r="AF291">
            <v>0</v>
          </cell>
          <cell r="AG291">
            <v>0</v>
          </cell>
          <cell r="AH291">
            <v>0</v>
          </cell>
          <cell r="AI291">
            <v>0</v>
          </cell>
          <cell r="AJ291">
            <v>0</v>
          </cell>
          <cell r="AK291">
            <v>0</v>
          </cell>
          <cell r="AM291">
            <v>0</v>
          </cell>
          <cell r="AN291">
            <v>0</v>
          </cell>
          <cell r="AO291">
            <v>0</v>
          </cell>
          <cell r="AP291">
            <v>0</v>
          </cell>
          <cell r="AQ291">
            <v>0</v>
          </cell>
          <cell r="AR291">
            <v>0</v>
          </cell>
          <cell r="AS291">
            <v>0</v>
          </cell>
          <cell r="AT291">
            <v>0</v>
          </cell>
          <cell r="AU291">
            <v>2370</v>
          </cell>
          <cell r="AV291">
            <v>0</v>
          </cell>
          <cell r="AW291">
            <v>0</v>
          </cell>
          <cell r="AX291">
            <v>0</v>
          </cell>
          <cell r="BA291">
            <v>0</v>
          </cell>
          <cell r="BC291">
            <v>0</v>
          </cell>
          <cell r="BD291">
            <v>3656</v>
          </cell>
          <cell r="BF291">
            <v>0</v>
          </cell>
          <cell r="BG291">
            <v>0</v>
          </cell>
          <cell r="BH291">
            <v>0</v>
          </cell>
          <cell r="BI291">
            <v>10497</v>
          </cell>
          <cell r="BJ291">
            <v>8641</v>
          </cell>
          <cell r="BK291">
            <v>8641</v>
          </cell>
          <cell r="BL291">
            <v>0</v>
          </cell>
          <cell r="BM291">
            <v>0</v>
          </cell>
          <cell r="BN291">
            <v>0</v>
          </cell>
          <cell r="BO291">
            <v>0</v>
          </cell>
          <cell r="BP291">
            <v>0</v>
          </cell>
          <cell r="BQ291">
            <v>0</v>
          </cell>
          <cell r="BR291">
            <v>0</v>
          </cell>
          <cell r="BS291">
            <v>0</v>
          </cell>
          <cell r="BT291">
            <v>19717</v>
          </cell>
          <cell r="BY291">
            <v>0</v>
          </cell>
          <cell r="BZ291">
            <v>0</v>
          </cell>
          <cell r="CA291">
            <v>0</v>
          </cell>
          <cell r="CB291">
            <v>0</v>
          </cell>
          <cell r="CC291">
            <v>661441</v>
          </cell>
          <cell r="CD291">
            <v>4360977</v>
          </cell>
          <cell r="CE291">
            <v>160567</v>
          </cell>
          <cell r="CF291">
            <v>0</v>
          </cell>
          <cell r="CG291">
            <v>160567</v>
          </cell>
          <cell r="CH291">
            <v>160567</v>
          </cell>
          <cell r="CI291">
            <v>160567</v>
          </cell>
          <cell r="CJ291">
            <v>160567</v>
          </cell>
          <cell r="CK291">
            <v>0</v>
          </cell>
          <cell r="CL291">
            <v>0</v>
          </cell>
          <cell r="CM291">
            <v>0</v>
          </cell>
          <cell r="CN291">
            <v>0</v>
          </cell>
          <cell r="CO291">
            <v>0</v>
          </cell>
          <cell r="CP291">
            <v>0</v>
          </cell>
          <cell r="CQ291">
            <v>1248382</v>
          </cell>
          <cell r="CR291">
            <v>1206018</v>
          </cell>
          <cell r="CS291">
            <v>1196303</v>
          </cell>
          <cell r="CT291">
            <v>1191932</v>
          </cell>
          <cell r="CU291">
            <v>1156088</v>
          </cell>
          <cell r="CV291">
            <v>1913</v>
          </cell>
          <cell r="CW291">
            <v>0</v>
          </cell>
          <cell r="CX291">
            <v>0</v>
          </cell>
          <cell r="CY291">
            <v>0</v>
          </cell>
          <cell r="CZ291">
            <v>0</v>
          </cell>
          <cell r="DA291">
            <v>0</v>
          </cell>
          <cell r="DC291">
            <v>0</v>
          </cell>
          <cell r="DD291">
            <v>0</v>
          </cell>
          <cell r="DE291">
            <v>0</v>
          </cell>
          <cell r="DF291">
            <v>0</v>
          </cell>
          <cell r="DG291">
            <v>0</v>
          </cell>
          <cell r="DH291">
            <v>0</v>
          </cell>
          <cell r="DI291">
            <v>0</v>
          </cell>
          <cell r="DJ291">
            <v>0</v>
          </cell>
          <cell r="DK291">
            <v>0</v>
          </cell>
          <cell r="DL291">
            <v>0</v>
          </cell>
        </row>
        <row r="292">
          <cell r="A292">
            <v>756</v>
          </cell>
          <cell r="B292" t="str">
            <v>Boxmeer</v>
          </cell>
          <cell r="C292">
            <v>10</v>
          </cell>
          <cell r="D292">
            <v>16598</v>
          </cell>
          <cell r="E292">
            <v>8299</v>
          </cell>
          <cell r="F292">
            <v>0</v>
          </cell>
          <cell r="G292">
            <v>0</v>
          </cell>
          <cell r="H292">
            <v>0</v>
          </cell>
          <cell r="I292">
            <v>-15639</v>
          </cell>
          <cell r="K292">
            <v>0</v>
          </cell>
          <cell r="L292">
            <v>79505</v>
          </cell>
          <cell r="M292">
            <v>78564</v>
          </cell>
          <cell r="N292">
            <v>0</v>
          </cell>
          <cell r="O292">
            <v>0</v>
          </cell>
          <cell r="P292">
            <v>0</v>
          </cell>
          <cell r="Q292">
            <v>0</v>
          </cell>
          <cell r="R292">
            <v>0</v>
          </cell>
          <cell r="S292">
            <v>0</v>
          </cell>
          <cell r="T292">
            <v>0</v>
          </cell>
          <cell r="U292">
            <v>0</v>
          </cell>
          <cell r="V292">
            <v>9000</v>
          </cell>
          <cell r="W292">
            <v>121292</v>
          </cell>
          <cell r="X292">
            <v>0</v>
          </cell>
          <cell r="Z292">
            <v>0</v>
          </cell>
          <cell r="AA292">
            <v>0</v>
          </cell>
          <cell r="AB292">
            <v>0</v>
          </cell>
          <cell r="AD292">
            <v>0</v>
          </cell>
          <cell r="AE292">
            <v>0</v>
          </cell>
          <cell r="AF292">
            <v>0</v>
          </cell>
          <cell r="AG292">
            <v>0</v>
          </cell>
          <cell r="AH292">
            <v>0</v>
          </cell>
          <cell r="AI292">
            <v>0</v>
          </cell>
          <cell r="AJ292">
            <v>0</v>
          </cell>
          <cell r="AK292">
            <v>0</v>
          </cell>
          <cell r="AM292">
            <v>0</v>
          </cell>
          <cell r="AN292">
            <v>0</v>
          </cell>
          <cell r="AO292">
            <v>0</v>
          </cell>
          <cell r="AP292">
            <v>0</v>
          </cell>
          <cell r="AQ292">
            <v>0</v>
          </cell>
          <cell r="AR292">
            <v>0</v>
          </cell>
          <cell r="AS292">
            <v>0</v>
          </cell>
          <cell r="AT292">
            <v>0</v>
          </cell>
          <cell r="AU292">
            <v>0</v>
          </cell>
          <cell r="AV292">
            <v>0</v>
          </cell>
          <cell r="AW292">
            <v>0</v>
          </cell>
          <cell r="AX292">
            <v>0</v>
          </cell>
          <cell r="BA292">
            <v>0</v>
          </cell>
          <cell r="BC292">
            <v>0</v>
          </cell>
          <cell r="BD292">
            <v>10078</v>
          </cell>
          <cell r="BF292">
            <v>0</v>
          </cell>
          <cell r="BG292">
            <v>0</v>
          </cell>
          <cell r="BH292">
            <v>0</v>
          </cell>
          <cell r="BI292">
            <v>37467</v>
          </cell>
          <cell r="BJ292">
            <v>30841</v>
          </cell>
          <cell r="BK292">
            <v>30841</v>
          </cell>
          <cell r="BL292">
            <v>0</v>
          </cell>
          <cell r="BM292">
            <v>0</v>
          </cell>
          <cell r="BN292">
            <v>0</v>
          </cell>
          <cell r="BO292">
            <v>131336</v>
          </cell>
          <cell r="BP292">
            <v>0</v>
          </cell>
          <cell r="BQ292">
            <v>0</v>
          </cell>
          <cell r="BR292">
            <v>0</v>
          </cell>
          <cell r="BS292">
            <v>0</v>
          </cell>
          <cell r="BT292">
            <v>48704</v>
          </cell>
          <cell r="BY292">
            <v>0</v>
          </cell>
          <cell r="BZ292">
            <v>0</v>
          </cell>
          <cell r="CA292">
            <v>0</v>
          </cell>
          <cell r="CB292">
            <v>0</v>
          </cell>
          <cell r="CC292">
            <v>2312835</v>
          </cell>
          <cell r="CD292">
            <v>13721793</v>
          </cell>
          <cell r="CE292">
            <v>498933</v>
          </cell>
          <cell r="CF292">
            <v>0</v>
          </cell>
          <cell r="CG292">
            <v>498933</v>
          </cell>
          <cell r="CH292">
            <v>498933</v>
          </cell>
          <cell r="CI292">
            <v>498933</v>
          </cell>
          <cell r="CJ292">
            <v>498933</v>
          </cell>
          <cell r="CK292">
            <v>0</v>
          </cell>
          <cell r="CL292">
            <v>0</v>
          </cell>
          <cell r="CM292">
            <v>0</v>
          </cell>
          <cell r="CN292">
            <v>0</v>
          </cell>
          <cell r="CO292">
            <v>0</v>
          </cell>
          <cell r="CP292">
            <v>-5611</v>
          </cell>
          <cell r="CQ292">
            <v>4519784</v>
          </cell>
          <cell r="CR292">
            <v>4293655</v>
          </cell>
          <cell r="CS292">
            <v>4202070</v>
          </cell>
          <cell r="CT292">
            <v>4135199</v>
          </cell>
          <cell r="CU292">
            <v>4013430</v>
          </cell>
          <cell r="CV292">
            <v>-21758</v>
          </cell>
          <cell r="CW292">
            <v>0</v>
          </cell>
          <cell r="CX292">
            <v>0</v>
          </cell>
          <cell r="CY292">
            <v>0</v>
          </cell>
          <cell r="CZ292">
            <v>0</v>
          </cell>
          <cell r="DA292">
            <v>0</v>
          </cell>
          <cell r="DC292">
            <v>0</v>
          </cell>
          <cell r="DD292">
            <v>0</v>
          </cell>
          <cell r="DE292">
            <v>0</v>
          </cell>
          <cell r="DF292">
            <v>0</v>
          </cell>
          <cell r="DG292">
            <v>0</v>
          </cell>
          <cell r="DH292">
            <v>0</v>
          </cell>
          <cell r="DI292">
            <v>0</v>
          </cell>
          <cell r="DJ292">
            <v>0</v>
          </cell>
          <cell r="DK292">
            <v>0</v>
          </cell>
          <cell r="DL292">
            <v>0</v>
          </cell>
        </row>
        <row r="293">
          <cell r="A293">
            <v>757</v>
          </cell>
          <cell r="B293" t="str">
            <v>Boxtel</v>
          </cell>
          <cell r="C293">
            <v>10</v>
          </cell>
          <cell r="D293">
            <v>-14140</v>
          </cell>
          <cell r="E293">
            <v>-7070</v>
          </cell>
          <cell r="F293">
            <v>0</v>
          </cell>
          <cell r="G293">
            <v>0</v>
          </cell>
          <cell r="H293">
            <v>-20278</v>
          </cell>
          <cell r="I293">
            <v>-15954</v>
          </cell>
          <cell r="K293">
            <v>0</v>
          </cell>
          <cell r="L293">
            <v>129126</v>
          </cell>
          <cell r="M293">
            <v>126417</v>
          </cell>
          <cell r="N293">
            <v>0</v>
          </cell>
          <cell r="O293">
            <v>0</v>
          </cell>
          <cell r="P293">
            <v>0</v>
          </cell>
          <cell r="Q293">
            <v>0</v>
          </cell>
          <cell r="R293">
            <v>0</v>
          </cell>
          <cell r="S293">
            <v>0</v>
          </cell>
          <cell r="T293">
            <v>0</v>
          </cell>
          <cell r="U293">
            <v>0</v>
          </cell>
          <cell r="V293">
            <v>0</v>
          </cell>
          <cell r="W293">
            <v>90310</v>
          </cell>
          <cell r="X293">
            <v>0</v>
          </cell>
          <cell r="Z293">
            <v>0</v>
          </cell>
          <cell r="AA293">
            <v>0</v>
          </cell>
          <cell r="AB293">
            <v>0</v>
          </cell>
          <cell r="AD293">
            <v>31289</v>
          </cell>
          <cell r="AE293">
            <v>0</v>
          </cell>
          <cell r="AF293">
            <v>0</v>
          </cell>
          <cell r="AG293">
            <v>0</v>
          </cell>
          <cell r="AH293">
            <v>0</v>
          </cell>
          <cell r="AI293">
            <v>0</v>
          </cell>
          <cell r="AJ293">
            <v>0</v>
          </cell>
          <cell r="AK293">
            <v>0</v>
          </cell>
          <cell r="AM293">
            <v>0</v>
          </cell>
          <cell r="AN293">
            <v>0</v>
          </cell>
          <cell r="AO293">
            <v>0</v>
          </cell>
          <cell r="AP293">
            <v>0</v>
          </cell>
          <cell r="AQ293">
            <v>0</v>
          </cell>
          <cell r="AR293">
            <v>0</v>
          </cell>
          <cell r="AS293">
            <v>0</v>
          </cell>
          <cell r="AT293">
            <v>0</v>
          </cell>
          <cell r="AU293">
            <v>2370</v>
          </cell>
          <cell r="AV293">
            <v>0</v>
          </cell>
          <cell r="AW293">
            <v>0</v>
          </cell>
          <cell r="AX293">
            <v>0</v>
          </cell>
          <cell r="BA293">
            <v>0</v>
          </cell>
          <cell r="BC293">
            <v>0</v>
          </cell>
          <cell r="BD293">
            <v>10761</v>
          </cell>
          <cell r="BF293">
            <v>0</v>
          </cell>
          <cell r="BG293">
            <v>0</v>
          </cell>
          <cell r="BH293">
            <v>0</v>
          </cell>
          <cell r="BI293">
            <v>43292</v>
          </cell>
          <cell r="BJ293">
            <v>35636</v>
          </cell>
          <cell r="BK293">
            <v>35636</v>
          </cell>
          <cell r="BL293">
            <v>0</v>
          </cell>
          <cell r="BM293">
            <v>0</v>
          </cell>
          <cell r="BN293">
            <v>0</v>
          </cell>
          <cell r="BO293">
            <v>41833</v>
          </cell>
          <cell r="BP293">
            <v>15814</v>
          </cell>
          <cell r="BQ293">
            <v>28488.372093023299</v>
          </cell>
          <cell r="BR293">
            <v>0</v>
          </cell>
          <cell r="BS293">
            <v>0</v>
          </cell>
          <cell r="BT293">
            <v>45862</v>
          </cell>
          <cell r="BY293">
            <v>0</v>
          </cell>
          <cell r="BZ293">
            <v>0</v>
          </cell>
          <cell r="CA293">
            <v>0</v>
          </cell>
          <cell r="CB293">
            <v>0</v>
          </cell>
          <cell r="CC293">
            <v>2381984</v>
          </cell>
          <cell r="CD293">
            <v>22045627</v>
          </cell>
          <cell r="CE293">
            <v>3047750</v>
          </cell>
          <cell r="CF293">
            <v>-38555</v>
          </cell>
          <cell r="CG293">
            <v>3047750</v>
          </cell>
          <cell r="CH293">
            <v>3047750</v>
          </cell>
          <cell r="CI293">
            <v>3047750</v>
          </cell>
          <cell r="CJ293">
            <v>3047750</v>
          </cell>
          <cell r="CK293">
            <v>0</v>
          </cell>
          <cell r="CL293">
            <v>0</v>
          </cell>
          <cell r="CM293">
            <v>0</v>
          </cell>
          <cell r="CN293">
            <v>0</v>
          </cell>
          <cell r="CO293">
            <v>0</v>
          </cell>
          <cell r="CP293">
            <v>0</v>
          </cell>
          <cell r="CQ293">
            <v>8797248</v>
          </cell>
          <cell r="CR293">
            <v>8306993</v>
          </cell>
          <cell r="CS293">
            <v>8046386</v>
          </cell>
          <cell r="CT293">
            <v>7779996</v>
          </cell>
          <cell r="CU293">
            <v>7573506</v>
          </cell>
          <cell r="CV293">
            <v>-5161</v>
          </cell>
          <cell r="CW293">
            <v>0</v>
          </cell>
          <cell r="CX293">
            <v>0</v>
          </cell>
          <cell r="CY293">
            <v>0</v>
          </cell>
          <cell r="CZ293">
            <v>0</v>
          </cell>
          <cell r="DA293">
            <v>0</v>
          </cell>
          <cell r="DC293">
            <v>0</v>
          </cell>
          <cell r="DD293">
            <v>0</v>
          </cell>
          <cell r="DE293">
            <v>0</v>
          </cell>
          <cell r="DF293">
            <v>0</v>
          </cell>
          <cell r="DG293">
            <v>0</v>
          </cell>
          <cell r="DH293">
            <v>0</v>
          </cell>
          <cell r="DI293">
            <v>0</v>
          </cell>
          <cell r="DJ293">
            <v>0</v>
          </cell>
          <cell r="DK293">
            <v>0</v>
          </cell>
          <cell r="DL293">
            <v>0</v>
          </cell>
        </row>
        <row r="294">
          <cell r="A294">
            <v>758</v>
          </cell>
          <cell r="B294" t="str">
            <v>Breda</v>
          </cell>
          <cell r="C294">
            <v>10</v>
          </cell>
          <cell r="D294">
            <v>-44935</v>
          </cell>
          <cell r="E294">
            <v>-22467</v>
          </cell>
          <cell r="F294">
            <v>0</v>
          </cell>
          <cell r="G294">
            <v>0</v>
          </cell>
          <cell r="H294">
            <v>-140795</v>
          </cell>
          <cell r="I294">
            <v>-56228</v>
          </cell>
          <cell r="K294">
            <v>0</v>
          </cell>
          <cell r="L294">
            <v>863333</v>
          </cell>
          <cell r="M294">
            <v>871633</v>
          </cell>
          <cell r="N294">
            <v>0</v>
          </cell>
          <cell r="O294">
            <v>0</v>
          </cell>
          <cell r="P294">
            <v>150000</v>
          </cell>
          <cell r="Q294">
            <v>0</v>
          </cell>
          <cell r="R294">
            <v>0</v>
          </cell>
          <cell r="S294">
            <v>963858</v>
          </cell>
          <cell r="T294">
            <v>963858</v>
          </cell>
          <cell r="U294">
            <v>963858</v>
          </cell>
          <cell r="V294">
            <v>116500</v>
          </cell>
          <cell r="W294">
            <v>641448</v>
          </cell>
          <cell r="X294">
            <v>0</v>
          </cell>
          <cell r="Z294">
            <v>0</v>
          </cell>
          <cell r="AA294">
            <v>0</v>
          </cell>
          <cell r="AB294">
            <v>0</v>
          </cell>
          <cell r="AD294">
            <v>190671</v>
          </cell>
          <cell r="AE294">
            <v>0</v>
          </cell>
          <cell r="AF294">
            <v>0</v>
          </cell>
          <cell r="AG294">
            <v>0</v>
          </cell>
          <cell r="AH294">
            <v>0</v>
          </cell>
          <cell r="AI294">
            <v>0</v>
          </cell>
          <cell r="AJ294">
            <v>0</v>
          </cell>
          <cell r="AK294">
            <v>436799</v>
          </cell>
          <cell r="AM294">
            <v>0</v>
          </cell>
          <cell r="AN294">
            <v>0</v>
          </cell>
          <cell r="AO294">
            <v>0</v>
          </cell>
          <cell r="AP294">
            <v>0</v>
          </cell>
          <cell r="AQ294">
            <v>0</v>
          </cell>
          <cell r="AR294">
            <v>0</v>
          </cell>
          <cell r="AS294">
            <v>0</v>
          </cell>
          <cell r="AT294">
            <v>20000</v>
          </cell>
          <cell r="AU294">
            <v>26070</v>
          </cell>
          <cell r="AV294">
            <v>6273717.4781885296</v>
          </cell>
          <cell r="AW294">
            <v>145099</v>
          </cell>
          <cell r="AX294">
            <v>0</v>
          </cell>
          <cell r="BA294">
            <v>0</v>
          </cell>
          <cell r="BC294">
            <v>0</v>
          </cell>
          <cell r="BD294">
            <v>63995</v>
          </cell>
          <cell r="BF294">
            <v>0</v>
          </cell>
          <cell r="BG294">
            <v>0</v>
          </cell>
          <cell r="BH294">
            <v>0</v>
          </cell>
          <cell r="BI294">
            <v>293016</v>
          </cell>
          <cell r="BJ294">
            <v>241196</v>
          </cell>
          <cell r="BK294">
            <v>241196</v>
          </cell>
          <cell r="BL294">
            <v>0</v>
          </cell>
          <cell r="BM294">
            <v>0</v>
          </cell>
          <cell r="BN294">
            <v>0</v>
          </cell>
          <cell r="BO294">
            <v>319097</v>
          </cell>
          <cell r="BP294">
            <v>68000.2</v>
          </cell>
          <cell r="BQ294">
            <v>122500</v>
          </cell>
          <cell r="BR294">
            <v>0</v>
          </cell>
          <cell r="BS294">
            <v>0</v>
          </cell>
          <cell r="BT294">
            <v>292859</v>
          </cell>
          <cell r="BY294">
            <v>4569650.6239193296</v>
          </cell>
          <cell r="BZ294">
            <v>5271813.0744170398</v>
          </cell>
          <cell r="CA294">
            <v>5331796.8013439802</v>
          </cell>
          <cell r="CB294">
            <v>5501162.6185494596</v>
          </cell>
          <cell r="CC294">
            <v>13398824</v>
          </cell>
          <cell r="CD294">
            <v>122560597</v>
          </cell>
          <cell r="CE294">
            <v>7753699</v>
          </cell>
          <cell r="CF294">
            <v>-134968</v>
          </cell>
          <cell r="CG294">
            <v>7753699</v>
          </cell>
          <cell r="CH294">
            <v>7753699</v>
          </cell>
          <cell r="CI294">
            <v>7753699</v>
          </cell>
          <cell r="CJ294">
            <v>7753699</v>
          </cell>
          <cell r="CK294">
            <v>33350517</v>
          </cell>
          <cell r="CL294">
            <v>33333779</v>
          </cell>
          <cell r="CM294">
            <v>33333508</v>
          </cell>
          <cell r="CN294">
            <v>33332912</v>
          </cell>
          <cell r="CO294">
            <v>33333738</v>
          </cell>
          <cell r="CP294">
            <v>0</v>
          </cell>
          <cell r="CQ294">
            <v>24481530</v>
          </cell>
          <cell r="CR294">
            <v>23255991</v>
          </cell>
          <cell r="CS294">
            <v>22540821</v>
          </cell>
          <cell r="CT294">
            <v>21763372</v>
          </cell>
          <cell r="CU294">
            <v>21144349</v>
          </cell>
          <cell r="CV294">
            <v>265692</v>
          </cell>
          <cell r="CW294">
            <v>0</v>
          </cell>
          <cell r="CX294">
            <v>0</v>
          </cell>
          <cell r="CY294">
            <v>0</v>
          </cell>
          <cell r="CZ294">
            <v>0</v>
          </cell>
          <cell r="DA294">
            <v>0</v>
          </cell>
          <cell r="DC294">
            <v>0</v>
          </cell>
          <cell r="DD294">
            <v>0</v>
          </cell>
          <cell r="DE294">
            <v>0</v>
          </cell>
          <cell r="DF294">
            <v>0</v>
          </cell>
          <cell r="DG294">
            <v>0</v>
          </cell>
          <cell r="DH294">
            <v>0</v>
          </cell>
          <cell r="DI294">
            <v>0</v>
          </cell>
          <cell r="DJ294">
            <v>0</v>
          </cell>
          <cell r="DK294">
            <v>0</v>
          </cell>
          <cell r="DL294">
            <v>0</v>
          </cell>
        </row>
        <row r="295">
          <cell r="A295">
            <v>1706</v>
          </cell>
          <cell r="B295" t="str">
            <v>Cranendonck</v>
          </cell>
          <cell r="C295">
            <v>10</v>
          </cell>
          <cell r="D295">
            <v>11461</v>
          </cell>
          <cell r="E295">
            <v>5731</v>
          </cell>
          <cell r="F295">
            <v>0</v>
          </cell>
          <cell r="G295">
            <v>0</v>
          </cell>
          <cell r="H295">
            <v>-12767</v>
          </cell>
          <cell r="I295">
            <v>0</v>
          </cell>
          <cell r="K295">
            <v>0</v>
          </cell>
          <cell r="L295">
            <v>69199</v>
          </cell>
          <cell r="M295">
            <v>62542</v>
          </cell>
          <cell r="N295">
            <v>0</v>
          </cell>
          <cell r="O295">
            <v>0</v>
          </cell>
          <cell r="P295">
            <v>0</v>
          </cell>
          <cell r="Q295">
            <v>0</v>
          </cell>
          <cell r="R295">
            <v>0</v>
          </cell>
          <cell r="S295">
            <v>0</v>
          </cell>
          <cell r="T295">
            <v>0</v>
          </cell>
          <cell r="U295">
            <v>0</v>
          </cell>
          <cell r="V295">
            <v>0</v>
          </cell>
          <cell r="W295">
            <v>76391</v>
          </cell>
          <cell r="X295">
            <v>682184</v>
          </cell>
          <cell r="Z295">
            <v>0</v>
          </cell>
          <cell r="AA295">
            <v>0</v>
          </cell>
          <cell r="AB295">
            <v>0</v>
          </cell>
          <cell r="AD295">
            <v>0</v>
          </cell>
          <cell r="AE295">
            <v>0</v>
          </cell>
          <cell r="AF295">
            <v>0</v>
          </cell>
          <cell r="AG295">
            <v>0</v>
          </cell>
          <cell r="AH295">
            <v>0</v>
          </cell>
          <cell r="AI295">
            <v>0</v>
          </cell>
          <cell r="AJ295">
            <v>0</v>
          </cell>
          <cell r="AK295">
            <v>0</v>
          </cell>
          <cell r="AM295">
            <v>0</v>
          </cell>
          <cell r="AN295">
            <v>0</v>
          </cell>
          <cell r="AO295">
            <v>0</v>
          </cell>
          <cell r="AP295">
            <v>0</v>
          </cell>
          <cell r="AQ295">
            <v>0</v>
          </cell>
          <cell r="AR295">
            <v>0</v>
          </cell>
          <cell r="AS295">
            <v>0</v>
          </cell>
          <cell r="AT295">
            <v>0</v>
          </cell>
          <cell r="AU295">
            <v>0</v>
          </cell>
          <cell r="AV295">
            <v>0</v>
          </cell>
          <cell r="AW295">
            <v>0</v>
          </cell>
          <cell r="AX295">
            <v>0</v>
          </cell>
          <cell r="BA295">
            <v>0</v>
          </cell>
          <cell r="BC295">
            <v>0</v>
          </cell>
          <cell r="BD295">
            <v>7258</v>
          </cell>
          <cell r="BF295">
            <v>0</v>
          </cell>
          <cell r="BG295">
            <v>0</v>
          </cell>
          <cell r="BH295">
            <v>0</v>
          </cell>
          <cell r="BI295">
            <v>27059</v>
          </cell>
          <cell r="BJ295">
            <v>22274</v>
          </cell>
          <cell r="BK295">
            <v>22274</v>
          </cell>
          <cell r="BL295">
            <v>0</v>
          </cell>
          <cell r="BM295">
            <v>0</v>
          </cell>
          <cell r="BN295">
            <v>0</v>
          </cell>
          <cell r="BO295">
            <v>100204</v>
          </cell>
          <cell r="BP295">
            <v>0</v>
          </cell>
          <cell r="BQ295">
            <v>0</v>
          </cell>
          <cell r="BR295">
            <v>0</v>
          </cell>
          <cell r="BS295">
            <v>0</v>
          </cell>
          <cell r="BT295">
            <v>35499</v>
          </cell>
          <cell r="BY295">
            <v>0</v>
          </cell>
          <cell r="BZ295">
            <v>0</v>
          </cell>
          <cell r="CA295">
            <v>0</v>
          </cell>
          <cell r="CB295">
            <v>0</v>
          </cell>
          <cell r="CC295">
            <v>1592275</v>
          </cell>
          <cell r="CD295">
            <v>7855523</v>
          </cell>
          <cell r="CE295">
            <v>374993</v>
          </cell>
          <cell r="CF295">
            <v>0</v>
          </cell>
          <cell r="CG295">
            <v>374993</v>
          </cell>
          <cell r="CH295">
            <v>374993</v>
          </cell>
          <cell r="CI295">
            <v>374993</v>
          </cell>
          <cell r="CJ295">
            <v>374993</v>
          </cell>
          <cell r="CK295">
            <v>0</v>
          </cell>
          <cell r="CL295">
            <v>0</v>
          </cell>
          <cell r="CM295">
            <v>0</v>
          </cell>
          <cell r="CN295">
            <v>0</v>
          </cell>
          <cell r="CO295">
            <v>0</v>
          </cell>
          <cell r="CP295">
            <v>0</v>
          </cell>
          <cell r="CQ295">
            <v>1995582</v>
          </cell>
          <cell r="CR295">
            <v>1917468</v>
          </cell>
          <cell r="CS295">
            <v>1889354</v>
          </cell>
          <cell r="CT295">
            <v>1864821</v>
          </cell>
          <cell r="CU295">
            <v>1780410</v>
          </cell>
          <cell r="CV295">
            <v>-56779</v>
          </cell>
          <cell r="CW295">
            <v>0</v>
          </cell>
          <cell r="CX295">
            <v>0</v>
          </cell>
          <cell r="CY295">
            <v>0</v>
          </cell>
          <cell r="CZ295">
            <v>0</v>
          </cell>
          <cell r="DA295">
            <v>0</v>
          </cell>
          <cell r="DC295">
            <v>0</v>
          </cell>
          <cell r="DD295">
            <v>0</v>
          </cell>
          <cell r="DE295">
            <v>0</v>
          </cell>
          <cell r="DF295">
            <v>0</v>
          </cell>
          <cell r="DG295">
            <v>0</v>
          </cell>
          <cell r="DH295">
            <v>0</v>
          </cell>
          <cell r="DI295">
            <v>0</v>
          </cell>
          <cell r="DJ295">
            <v>0</v>
          </cell>
          <cell r="DK295">
            <v>0</v>
          </cell>
          <cell r="DL295">
            <v>0</v>
          </cell>
        </row>
        <row r="296">
          <cell r="A296">
            <v>1684</v>
          </cell>
          <cell r="B296" t="str">
            <v>Cuijk</v>
          </cell>
          <cell r="C296">
            <v>10</v>
          </cell>
          <cell r="D296">
            <v>-29221</v>
          </cell>
          <cell r="E296">
            <v>-14611</v>
          </cell>
          <cell r="F296">
            <v>0</v>
          </cell>
          <cell r="G296">
            <v>46715</v>
          </cell>
          <cell r="H296">
            <v>-25935</v>
          </cell>
          <cell r="I296">
            <v>-5541</v>
          </cell>
          <cell r="K296">
            <v>0</v>
          </cell>
          <cell r="L296">
            <v>96516</v>
          </cell>
          <cell r="M296">
            <v>92158</v>
          </cell>
          <cell r="N296">
            <v>0</v>
          </cell>
          <cell r="O296">
            <v>0</v>
          </cell>
          <cell r="P296">
            <v>0</v>
          </cell>
          <cell r="Q296">
            <v>0</v>
          </cell>
          <cell r="R296">
            <v>0</v>
          </cell>
          <cell r="S296">
            <v>0</v>
          </cell>
          <cell r="T296">
            <v>0</v>
          </cell>
          <cell r="U296">
            <v>0</v>
          </cell>
          <cell r="V296">
            <v>9000</v>
          </cell>
          <cell r="W296">
            <v>100493</v>
          </cell>
          <cell r="X296">
            <v>0</v>
          </cell>
          <cell r="Z296">
            <v>0</v>
          </cell>
          <cell r="AA296">
            <v>0</v>
          </cell>
          <cell r="AB296">
            <v>0</v>
          </cell>
          <cell r="AD296">
            <v>53779</v>
          </cell>
          <cell r="AE296">
            <v>0</v>
          </cell>
          <cell r="AF296">
            <v>0</v>
          </cell>
          <cell r="AG296">
            <v>0</v>
          </cell>
          <cell r="AH296">
            <v>0</v>
          </cell>
          <cell r="AI296">
            <v>0</v>
          </cell>
          <cell r="AJ296">
            <v>0</v>
          </cell>
          <cell r="AK296">
            <v>0</v>
          </cell>
          <cell r="AM296">
            <v>0</v>
          </cell>
          <cell r="AN296">
            <v>0</v>
          </cell>
          <cell r="AO296">
            <v>0</v>
          </cell>
          <cell r="AP296">
            <v>0</v>
          </cell>
          <cell r="AQ296">
            <v>0</v>
          </cell>
          <cell r="AR296">
            <v>0</v>
          </cell>
          <cell r="AS296">
            <v>0</v>
          </cell>
          <cell r="AT296">
            <v>0</v>
          </cell>
          <cell r="AU296">
            <v>0</v>
          </cell>
          <cell r="AV296">
            <v>0</v>
          </cell>
          <cell r="AW296">
            <v>0</v>
          </cell>
          <cell r="AX296">
            <v>0</v>
          </cell>
          <cell r="BA296">
            <v>0</v>
          </cell>
          <cell r="BC296">
            <v>0</v>
          </cell>
          <cell r="BD296">
            <v>8669</v>
          </cell>
          <cell r="BF296">
            <v>0</v>
          </cell>
          <cell r="BG296">
            <v>0</v>
          </cell>
          <cell r="BH296">
            <v>0</v>
          </cell>
          <cell r="BI296">
            <v>36314</v>
          </cell>
          <cell r="BJ296">
            <v>29892</v>
          </cell>
          <cell r="BK296">
            <v>29892</v>
          </cell>
          <cell r="BL296">
            <v>0</v>
          </cell>
          <cell r="BM296">
            <v>0</v>
          </cell>
          <cell r="BN296">
            <v>0</v>
          </cell>
          <cell r="BO296">
            <v>184356</v>
          </cell>
          <cell r="BP296">
            <v>7907</v>
          </cell>
          <cell r="BQ296">
            <v>14244.186046511601</v>
          </cell>
          <cell r="BR296">
            <v>0</v>
          </cell>
          <cell r="BS296">
            <v>0</v>
          </cell>
          <cell r="BT296">
            <v>41227</v>
          </cell>
          <cell r="BY296">
            <v>0</v>
          </cell>
          <cell r="BZ296">
            <v>0</v>
          </cell>
          <cell r="CA296">
            <v>0</v>
          </cell>
          <cell r="CB296">
            <v>0</v>
          </cell>
          <cell r="CC296">
            <v>2069621</v>
          </cell>
          <cell r="CD296">
            <v>14866983</v>
          </cell>
          <cell r="CE296">
            <v>697778</v>
          </cell>
          <cell r="CF296">
            <v>0</v>
          </cell>
          <cell r="CG296">
            <v>697778</v>
          </cell>
          <cell r="CH296">
            <v>697778</v>
          </cell>
          <cell r="CI296">
            <v>697778</v>
          </cell>
          <cell r="CJ296">
            <v>697778</v>
          </cell>
          <cell r="CK296">
            <v>0</v>
          </cell>
          <cell r="CL296">
            <v>0</v>
          </cell>
          <cell r="CM296">
            <v>0</v>
          </cell>
          <cell r="CN296">
            <v>0</v>
          </cell>
          <cell r="CO296">
            <v>0</v>
          </cell>
          <cell r="CP296">
            <v>-2013</v>
          </cell>
          <cell r="CQ296">
            <v>5241196</v>
          </cell>
          <cell r="CR296">
            <v>5003851</v>
          </cell>
          <cell r="CS296">
            <v>4882052</v>
          </cell>
          <cell r="CT296">
            <v>4792449</v>
          </cell>
          <cell r="CU296">
            <v>4660696</v>
          </cell>
          <cell r="CV296">
            <v>-1389</v>
          </cell>
          <cell r="CW296">
            <v>0</v>
          </cell>
          <cell r="CX296">
            <v>0</v>
          </cell>
          <cell r="CY296">
            <v>0</v>
          </cell>
          <cell r="CZ296">
            <v>0</v>
          </cell>
          <cell r="DA296">
            <v>0</v>
          </cell>
          <cell r="DC296">
            <v>0</v>
          </cell>
          <cell r="DD296">
            <v>0</v>
          </cell>
          <cell r="DE296">
            <v>0</v>
          </cell>
          <cell r="DF296">
            <v>0</v>
          </cell>
          <cell r="DG296">
            <v>0</v>
          </cell>
          <cell r="DH296">
            <v>0</v>
          </cell>
          <cell r="DI296">
            <v>0</v>
          </cell>
          <cell r="DJ296">
            <v>0</v>
          </cell>
          <cell r="DK296">
            <v>0</v>
          </cell>
          <cell r="DL296">
            <v>0</v>
          </cell>
        </row>
        <row r="297">
          <cell r="A297">
            <v>762</v>
          </cell>
          <cell r="B297" t="str">
            <v>Deurne</v>
          </cell>
          <cell r="C297">
            <v>10</v>
          </cell>
          <cell r="D297">
            <v>-3502</v>
          </cell>
          <cell r="E297">
            <v>-1751</v>
          </cell>
          <cell r="F297">
            <v>0</v>
          </cell>
          <cell r="G297">
            <v>4859</v>
          </cell>
          <cell r="H297">
            <v>-48934</v>
          </cell>
          <cell r="I297">
            <v>-31955</v>
          </cell>
          <cell r="K297">
            <v>0</v>
          </cell>
          <cell r="L297">
            <v>118183</v>
          </cell>
          <cell r="M297">
            <v>129250</v>
          </cell>
          <cell r="N297">
            <v>0</v>
          </cell>
          <cell r="O297">
            <v>0</v>
          </cell>
          <cell r="P297">
            <v>0</v>
          </cell>
          <cell r="Q297">
            <v>0</v>
          </cell>
          <cell r="R297">
            <v>0</v>
          </cell>
          <cell r="S297">
            <v>0</v>
          </cell>
          <cell r="T297">
            <v>0</v>
          </cell>
          <cell r="U297">
            <v>0</v>
          </cell>
          <cell r="V297">
            <v>3000</v>
          </cell>
          <cell r="W297">
            <v>129456</v>
          </cell>
          <cell r="X297">
            <v>0</v>
          </cell>
          <cell r="Z297">
            <v>0</v>
          </cell>
          <cell r="AA297">
            <v>0</v>
          </cell>
          <cell r="AB297">
            <v>0</v>
          </cell>
          <cell r="AD297">
            <v>0</v>
          </cell>
          <cell r="AE297">
            <v>0</v>
          </cell>
          <cell r="AF297">
            <v>0</v>
          </cell>
          <cell r="AG297">
            <v>0</v>
          </cell>
          <cell r="AH297">
            <v>0</v>
          </cell>
          <cell r="AI297">
            <v>0</v>
          </cell>
          <cell r="AJ297">
            <v>0</v>
          </cell>
          <cell r="AK297">
            <v>0</v>
          </cell>
          <cell r="AM297">
            <v>0</v>
          </cell>
          <cell r="AN297">
            <v>0</v>
          </cell>
          <cell r="AO297">
            <v>0</v>
          </cell>
          <cell r="AP297">
            <v>0</v>
          </cell>
          <cell r="AQ297">
            <v>0</v>
          </cell>
          <cell r="AR297">
            <v>0</v>
          </cell>
          <cell r="AS297">
            <v>0</v>
          </cell>
          <cell r="AT297">
            <v>0</v>
          </cell>
          <cell r="AU297">
            <v>4740</v>
          </cell>
          <cell r="AV297">
            <v>0</v>
          </cell>
          <cell r="AW297">
            <v>0</v>
          </cell>
          <cell r="AX297">
            <v>0</v>
          </cell>
          <cell r="BA297">
            <v>0</v>
          </cell>
          <cell r="BC297">
            <v>0</v>
          </cell>
          <cell r="BD297">
            <v>11210</v>
          </cell>
          <cell r="BF297">
            <v>0</v>
          </cell>
          <cell r="BG297">
            <v>0</v>
          </cell>
          <cell r="BH297">
            <v>0</v>
          </cell>
          <cell r="BI297">
            <v>42332</v>
          </cell>
          <cell r="BJ297">
            <v>34845</v>
          </cell>
          <cell r="BK297">
            <v>34845</v>
          </cell>
          <cell r="BL297">
            <v>0</v>
          </cell>
          <cell r="BM297">
            <v>0</v>
          </cell>
          <cell r="BN297">
            <v>0</v>
          </cell>
          <cell r="BO297">
            <v>65668</v>
          </cell>
          <cell r="BP297">
            <v>11069.8</v>
          </cell>
          <cell r="BQ297">
            <v>19941.8604651163</v>
          </cell>
          <cell r="BR297">
            <v>0</v>
          </cell>
          <cell r="BS297">
            <v>0</v>
          </cell>
          <cell r="BT297">
            <v>48255</v>
          </cell>
          <cell r="BY297">
            <v>0</v>
          </cell>
          <cell r="BZ297">
            <v>0</v>
          </cell>
          <cell r="CA297">
            <v>0</v>
          </cell>
          <cell r="CB297">
            <v>0</v>
          </cell>
          <cell r="CC297">
            <v>2673432</v>
          </cell>
          <cell r="CD297">
            <v>17286839</v>
          </cell>
          <cell r="CE297">
            <v>2555869</v>
          </cell>
          <cell r="CF297">
            <v>-34768</v>
          </cell>
          <cell r="CG297">
            <v>2555869</v>
          </cell>
          <cell r="CH297">
            <v>2555869</v>
          </cell>
          <cell r="CI297">
            <v>2555869</v>
          </cell>
          <cell r="CJ297">
            <v>2555869</v>
          </cell>
          <cell r="CK297">
            <v>0</v>
          </cell>
          <cell r="CL297">
            <v>0</v>
          </cell>
          <cell r="CM297">
            <v>0</v>
          </cell>
          <cell r="CN297">
            <v>0</v>
          </cell>
          <cell r="CO297">
            <v>0</v>
          </cell>
          <cell r="CP297">
            <v>-6311</v>
          </cell>
          <cell r="CQ297">
            <v>4303947</v>
          </cell>
          <cell r="CR297">
            <v>4143899</v>
          </cell>
          <cell r="CS297">
            <v>4069043</v>
          </cell>
          <cell r="CT297">
            <v>4024390</v>
          </cell>
          <cell r="CU297">
            <v>3949527</v>
          </cell>
          <cell r="CV297">
            <v>61339</v>
          </cell>
          <cell r="CW297">
            <v>0</v>
          </cell>
          <cell r="CX297">
            <v>0</v>
          </cell>
          <cell r="CY297">
            <v>0</v>
          </cell>
          <cell r="CZ297">
            <v>0</v>
          </cell>
          <cell r="DA297">
            <v>0</v>
          </cell>
          <cell r="DC297">
            <v>160000</v>
          </cell>
          <cell r="DD297">
            <v>0</v>
          </cell>
          <cell r="DE297">
            <v>0</v>
          </cell>
          <cell r="DF297">
            <v>0</v>
          </cell>
          <cell r="DG297">
            <v>0</v>
          </cell>
          <cell r="DH297">
            <v>0</v>
          </cell>
          <cell r="DI297">
            <v>0</v>
          </cell>
          <cell r="DJ297">
            <v>0</v>
          </cell>
          <cell r="DK297">
            <v>0</v>
          </cell>
          <cell r="DL297">
            <v>0</v>
          </cell>
        </row>
        <row r="298">
          <cell r="A298">
            <v>766</v>
          </cell>
          <cell r="B298" t="str">
            <v>Dongen</v>
          </cell>
          <cell r="C298">
            <v>10</v>
          </cell>
          <cell r="D298">
            <v>-15852</v>
          </cell>
          <cell r="E298">
            <v>-7926</v>
          </cell>
          <cell r="F298">
            <v>0</v>
          </cell>
          <cell r="G298">
            <v>0</v>
          </cell>
          <cell r="H298">
            <v>-12501</v>
          </cell>
          <cell r="I298">
            <v>-6747</v>
          </cell>
          <cell r="K298">
            <v>0</v>
          </cell>
          <cell r="L298">
            <v>75605</v>
          </cell>
          <cell r="M298">
            <v>77374</v>
          </cell>
          <cell r="N298">
            <v>0</v>
          </cell>
          <cell r="O298">
            <v>0</v>
          </cell>
          <cell r="P298">
            <v>0</v>
          </cell>
          <cell r="Q298">
            <v>0</v>
          </cell>
          <cell r="R298">
            <v>0</v>
          </cell>
          <cell r="S298">
            <v>0</v>
          </cell>
          <cell r="T298">
            <v>0</v>
          </cell>
          <cell r="U298">
            <v>0</v>
          </cell>
          <cell r="V298">
            <v>6000</v>
          </cell>
          <cell r="W298">
            <v>103020</v>
          </cell>
          <cell r="X298">
            <v>0</v>
          </cell>
          <cell r="Z298">
            <v>0</v>
          </cell>
          <cell r="AA298">
            <v>0</v>
          </cell>
          <cell r="AB298">
            <v>0</v>
          </cell>
          <cell r="AD298">
            <v>0</v>
          </cell>
          <cell r="AE298">
            <v>0</v>
          </cell>
          <cell r="AF298">
            <v>0</v>
          </cell>
          <cell r="AG298">
            <v>0</v>
          </cell>
          <cell r="AH298">
            <v>0</v>
          </cell>
          <cell r="AI298">
            <v>0</v>
          </cell>
          <cell r="AJ298">
            <v>0</v>
          </cell>
          <cell r="AK298">
            <v>0</v>
          </cell>
          <cell r="AM298">
            <v>0</v>
          </cell>
          <cell r="AN298">
            <v>0</v>
          </cell>
          <cell r="AO298">
            <v>0</v>
          </cell>
          <cell r="AP298">
            <v>0</v>
          </cell>
          <cell r="AQ298">
            <v>0</v>
          </cell>
          <cell r="AR298">
            <v>0</v>
          </cell>
          <cell r="AS298">
            <v>0</v>
          </cell>
          <cell r="AT298">
            <v>0</v>
          </cell>
          <cell r="AU298">
            <v>9480</v>
          </cell>
          <cell r="AV298">
            <v>0</v>
          </cell>
          <cell r="AW298">
            <v>0</v>
          </cell>
          <cell r="AX298">
            <v>0</v>
          </cell>
          <cell r="BA298">
            <v>0</v>
          </cell>
          <cell r="BC298">
            <v>0</v>
          </cell>
          <cell r="BD298">
            <v>8955</v>
          </cell>
          <cell r="BF298">
            <v>0</v>
          </cell>
          <cell r="BG298">
            <v>0</v>
          </cell>
          <cell r="BH298">
            <v>0</v>
          </cell>
          <cell r="BI298">
            <v>32889</v>
          </cell>
          <cell r="BJ298">
            <v>27073</v>
          </cell>
          <cell r="BK298">
            <v>27073</v>
          </cell>
          <cell r="BL298">
            <v>0</v>
          </cell>
          <cell r="BM298">
            <v>0</v>
          </cell>
          <cell r="BN298">
            <v>0</v>
          </cell>
          <cell r="BO298">
            <v>40860</v>
          </cell>
          <cell r="BP298">
            <v>6325.6</v>
          </cell>
          <cell r="BQ298">
            <v>11395.3488372093</v>
          </cell>
          <cell r="BR298">
            <v>0</v>
          </cell>
          <cell r="BS298">
            <v>0</v>
          </cell>
          <cell r="BT298">
            <v>36626</v>
          </cell>
          <cell r="BY298">
            <v>0</v>
          </cell>
          <cell r="BZ298">
            <v>0</v>
          </cell>
          <cell r="CA298">
            <v>0</v>
          </cell>
          <cell r="CB298">
            <v>0</v>
          </cell>
          <cell r="CC298">
            <v>2028216</v>
          </cell>
          <cell r="CD298">
            <v>8817646</v>
          </cell>
          <cell r="CE298">
            <v>267257</v>
          </cell>
          <cell r="CF298">
            <v>0</v>
          </cell>
          <cell r="CG298">
            <v>267257</v>
          </cell>
          <cell r="CH298">
            <v>267257</v>
          </cell>
          <cell r="CI298">
            <v>267257</v>
          </cell>
          <cell r="CJ298">
            <v>267257</v>
          </cell>
          <cell r="CK298">
            <v>0</v>
          </cell>
          <cell r="CL298">
            <v>0</v>
          </cell>
          <cell r="CM298">
            <v>0</v>
          </cell>
          <cell r="CN298">
            <v>0</v>
          </cell>
          <cell r="CO298">
            <v>0</v>
          </cell>
          <cell r="CP298">
            <v>-2434</v>
          </cell>
          <cell r="CQ298">
            <v>1443055</v>
          </cell>
          <cell r="CR298">
            <v>1366777</v>
          </cell>
          <cell r="CS298">
            <v>1341857</v>
          </cell>
          <cell r="CT298">
            <v>1290342</v>
          </cell>
          <cell r="CU298">
            <v>1266245</v>
          </cell>
          <cell r="CV298">
            <v>-18966</v>
          </cell>
          <cell r="CW298">
            <v>0</v>
          </cell>
          <cell r="CX298">
            <v>0</v>
          </cell>
          <cell r="CY298">
            <v>0</v>
          </cell>
          <cell r="CZ298">
            <v>0</v>
          </cell>
          <cell r="DA298">
            <v>0</v>
          </cell>
          <cell r="DC298">
            <v>0</v>
          </cell>
          <cell r="DD298">
            <v>0</v>
          </cell>
          <cell r="DE298">
            <v>0</v>
          </cell>
          <cell r="DF298">
            <v>0</v>
          </cell>
          <cell r="DG298">
            <v>0</v>
          </cell>
          <cell r="DH298">
            <v>0</v>
          </cell>
          <cell r="DI298">
            <v>0</v>
          </cell>
          <cell r="DJ298">
            <v>0</v>
          </cell>
          <cell r="DK298">
            <v>0</v>
          </cell>
          <cell r="DL298">
            <v>0</v>
          </cell>
        </row>
        <row r="299">
          <cell r="A299">
            <v>1719</v>
          </cell>
          <cell r="B299" t="str">
            <v>Drimmelen</v>
          </cell>
          <cell r="C299">
            <v>10</v>
          </cell>
          <cell r="D299">
            <v>-41543</v>
          </cell>
          <cell r="E299">
            <v>-20771</v>
          </cell>
          <cell r="F299">
            <v>0</v>
          </cell>
          <cell r="G299">
            <v>0</v>
          </cell>
          <cell r="H299">
            <v>-5733</v>
          </cell>
          <cell r="I299">
            <v>-9833</v>
          </cell>
          <cell r="K299">
            <v>0</v>
          </cell>
          <cell r="L299">
            <v>67647</v>
          </cell>
          <cell r="M299">
            <v>58328</v>
          </cell>
          <cell r="N299">
            <v>0</v>
          </cell>
          <cell r="O299">
            <v>0</v>
          </cell>
          <cell r="P299">
            <v>0</v>
          </cell>
          <cell r="Q299">
            <v>0</v>
          </cell>
          <cell r="R299">
            <v>0</v>
          </cell>
          <cell r="S299">
            <v>0</v>
          </cell>
          <cell r="T299">
            <v>0</v>
          </cell>
          <cell r="U299">
            <v>0</v>
          </cell>
          <cell r="V299">
            <v>9000</v>
          </cell>
          <cell r="W299">
            <v>103409</v>
          </cell>
          <cell r="X299">
            <v>0</v>
          </cell>
          <cell r="Z299">
            <v>0</v>
          </cell>
          <cell r="AA299">
            <v>0</v>
          </cell>
          <cell r="AB299">
            <v>0</v>
          </cell>
          <cell r="AD299">
            <v>0</v>
          </cell>
          <cell r="AE299">
            <v>0</v>
          </cell>
          <cell r="AF299">
            <v>0</v>
          </cell>
          <cell r="AG299">
            <v>0</v>
          </cell>
          <cell r="AH299">
            <v>0</v>
          </cell>
          <cell r="AI299">
            <v>0</v>
          </cell>
          <cell r="AJ299">
            <v>0</v>
          </cell>
          <cell r="AK299">
            <v>0</v>
          </cell>
          <cell r="AM299">
            <v>0</v>
          </cell>
          <cell r="AN299">
            <v>0</v>
          </cell>
          <cell r="AO299">
            <v>0</v>
          </cell>
          <cell r="AP299">
            <v>0</v>
          </cell>
          <cell r="AQ299">
            <v>0</v>
          </cell>
          <cell r="AR299">
            <v>0</v>
          </cell>
          <cell r="AS299">
            <v>0</v>
          </cell>
          <cell r="AT299">
            <v>0</v>
          </cell>
          <cell r="AU299">
            <v>4740</v>
          </cell>
          <cell r="AV299">
            <v>0</v>
          </cell>
          <cell r="AW299">
            <v>0</v>
          </cell>
          <cell r="AX299">
            <v>0</v>
          </cell>
          <cell r="BA299">
            <v>0</v>
          </cell>
          <cell r="BC299">
            <v>0</v>
          </cell>
          <cell r="BD299">
            <v>9432</v>
          </cell>
          <cell r="BF299">
            <v>0</v>
          </cell>
          <cell r="BG299">
            <v>0</v>
          </cell>
          <cell r="BH299">
            <v>0</v>
          </cell>
          <cell r="BI299">
            <v>30174</v>
          </cell>
          <cell r="BJ299">
            <v>24838</v>
          </cell>
          <cell r="BK299">
            <v>24838</v>
          </cell>
          <cell r="BL299">
            <v>0</v>
          </cell>
          <cell r="BM299">
            <v>0</v>
          </cell>
          <cell r="BN299">
            <v>0</v>
          </cell>
          <cell r="BO299">
            <v>76369</v>
          </cell>
          <cell r="BP299">
            <v>3162.8</v>
          </cell>
          <cell r="BQ299">
            <v>5697.6744186046499</v>
          </cell>
          <cell r="BR299">
            <v>0</v>
          </cell>
          <cell r="BS299">
            <v>0</v>
          </cell>
          <cell r="BT299">
            <v>38459</v>
          </cell>
          <cell r="BY299">
            <v>0</v>
          </cell>
          <cell r="BZ299">
            <v>0</v>
          </cell>
          <cell r="CA299">
            <v>0</v>
          </cell>
          <cell r="CB299">
            <v>0</v>
          </cell>
          <cell r="CC299">
            <v>2056131</v>
          </cell>
          <cell r="CD299">
            <v>8796030</v>
          </cell>
          <cell r="CE299">
            <v>621392</v>
          </cell>
          <cell r="CF299">
            <v>-9258</v>
          </cell>
          <cell r="CG299">
            <v>621392</v>
          </cell>
          <cell r="CH299">
            <v>621392</v>
          </cell>
          <cell r="CI299">
            <v>621392</v>
          </cell>
          <cell r="CJ299">
            <v>621392</v>
          </cell>
          <cell r="CK299">
            <v>0</v>
          </cell>
          <cell r="CL299">
            <v>0</v>
          </cell>
          <cell r="CM299">
            <v>0</v>
          </cell>
          <cell r="CN299">
            <v>0</v>
          </cell>
          <cell r="CO299">
            <v>0</v>
          </cell>
          <cell r="CP299">
            <v>-2168</v>
          </cell>
          <cell r="CQ299">
            <v>1400996</v>
          </cell>
          <cell r="CR299">
            <v>1317854</v>
          </cell>
          <cell r="CS299">
            <v>1273151</v>
          </cell>
          <cell r="CT299">
            <v>1253124</v>
          </cell>
          <cell r="CU299">
            <v>1216068</v>
          </cell>
          <cell r="CV299">
            <v>17476</v>
          </cell>
          <cell r="CW299">
            <v>0</v>
          </cell>
          <cell r="CX299">
            <v>0</v>
          </cell>
          <cell r="CY299">
            <v>0</v>
          </cell>
          <cell r="CZ299">
            <v>0</v>
          </cell>
          <cell r="DA299">
            <v>0</v>
          </cell>
          <cell r="DC299">
            <v>0</v>
          </cell>
          <cell r="DD299">
            <v>0</v>
          </cell>
          <cell r="DE299">
            <v>0</v>
          </cell>
          <cell r="DF299">
            <v>0</v>
          </cell>
          <cell r="DG299">
            <v>0</v>
          </cell>
          <cell r="DH299">
            <v>0</v>
          </cell>
          <cell r="DI299">
            <v>0</v>
          </cell>
          <cell r="DJ299">
            <v>0</v>
          </cell>
          <cell r="DK299">
            <v>0</v>
          </cell>
          <cell r="DL299">
            <v>0</v>
          </cell>
        </row>
        <row r="300">
          <cell r="A300">
            <v>770</v>
          </cell>
          <cell r="B300" t="str">
            <v>Eersel</v>
          </cell>
          <cell r="C300">
            <v>10</v>
          </cell>
          <cell r="D300">
            <v>10201</v>
          </cell>
          <cell r="E300">
            <v>5100</v>
          </cell>
          <cell r="F300">
            <v>0</v>
          </cell>
          <cell r="G300">
            <v>0</v>
          </cell>
          <cell r="H300">
            <v>-38170</v>
          </cell>
          <cell r="I300">
            <v>-27801</v>
          </cell>
          <cell r="K300">
            <v>0</v>
          </cell>
          <cell r="L300">
            <v>52088</v>
          </cell>
          <cell r="M300">
            <v>47496</v>
          </cell>
          <cell r="N300">
            <v>0</v>
          </cell>
          <cell r="O300">
            <v>0</v>
          </cell>
          <cell r="P300">
            <v>0</v>
          </cell>
          <cell r="Q300">
            <v>0</v>
          </cell>
          <cell r="R300">
            <v>0</v>
          </cell>
          <cell r="S300">
            <v>0</v>
          </cell>
          <cell r="T300">
            <v>0</v>
          </cell>
          <cell r="U300">
            <v>0</v>
          </cell>
          <cell r="V300">
            <v>6000</v>
          </cell>
          <cell r="W300">
            <v>74058</v>
          </cell>
          <cell r="X300">
            <v>0</v>
          </cell>
          <cell r="Z300">
            <v>0</v>
          </cell>
          <cell r="AA300">
            <v>0</v>
          </cell>
          <cell r="AB300">
            <v>0</v>
          </cell>
          <cell r="AD300">
            <v>0</v>
          </cell>
          <cell r="AE300">
            <v>0</v>
          </cell>
          <cell r="AF300">
            <v>0</v>
          </cell>
          <cell r="AG300">
            <v>0</v>
          </cell>
          <cell r="AH300">
            <v>0</v>
          </cell>
          <cell r="AI300">
            <v>0</v>
          </cell>
          <cell r="AJ300">
            <v>0</v>
          </cell>
          <cell r="AK300">
            <v>0</v>
          </cell>
          <cell r="AM300">
            <v>0</v>
          </cell>
          <cell r="AN300">
            <v>0</v>
          </cell>
          <cell r="AO300">
            <v>0</v>
          </cell>
          <cell r="AP300">
            <v>0</v>
          </cell>
          <cell r="AQ300">
            <v>0</v>
          </cell>
          <cell r="AR300">
            <v>0</v>
          </cell>
          <cell r="AS300">
            <v>0</v>
          </cell>
          <cell r="AT300">
            <v>0</v>
          </cell>
          <cell r="AU300">
            <v>2370</v>
          </cell>
          <cell r="AV300">
            <v>0</v>
          </cell>
          <cell r="AW300">
            <v>0</v>
          </cell>
          <cell r="AX300">
            <v>0</v>
          </cell>
          <cell r="BA300">
            <v>0</v>
          </cell>
          <cell r="BC300">
            <v>0</v>
          </cell>
          <cell r="BD300">
            <v>6513</v>
          </cell>
          <cell r="BF300">
            <v>0</v>
          </cell>
          <cell r="BG300">
            <v>0</v>
          </cell>
          <cell r="BH300">
            <v>0</v>
          </cell>
          <cell r="BI300">
            <v>16890</v>
          </cell>
          <cell r="BJ300">
            <v>13903</v>
          </cell>
          <cell r="BK300">
            <v>13903</v>
          </cell>
          <cell r="BL300">
            <v>0</v>
          </cell>
          <cell r="BM300">
            <v>0</v>
          </cell>
          <cell r="BN300">
            <v>0</v>
          </cell>
          <cell r="BO300">
            <v>94853</v>
          </cell>
          <cell r="BP300">
            <v>22139.599999999999</v>
          </cell>
          <cell r="BQ300">
            <v>39883.720930232601</v>
          </cell>
          <cell r="BR300">
            <v>0</v>
          </cell>
          <cell r="BS300">
            <v>0</v>
          </cell>
          <cell r="BT300">
            <v>33338</v>
          </cell>
          <cell r="BY300">
            <v>0</v>
          </cell>
          <cell r="BZ300">
            <v>0</v>
          </cell>
          <cell r="CA300">
            <v>0</v>
          </cell>
          <cell r="CB300">
            <v>0</v>
          </cell>
          <cell r="CC300">
            <v>1413407</v>
          </cell>
          <cell r="CD300">
            <v>9113939</v>
          </cell>
          <cell r="CE300">
            <v>767859</v>
          </cell>
          <cell r="CF300">
            <v>-50447</v>
          </cell>
          <cell r="CG300">
            <v>767859</v>
          </cell>
          <cell r="CH300">
            <v>767859</v>
          </cell>
          <cell r="CI300">
            <v>767859</v>
          </cell>
          <cell r="CJ300">
            <v>767859</v>
          </cell>
          <cell r="CK300">
            <v>0</v>
          </cell>
          <cell r="CL300">
            <v>0</v>
          </cell>
          <cell r="CM300">
            <v>0</v>
          </cell>
          <cell r="CN300">
            <v>0</v>
          </cell>
          <cell r="CO300">
            <v>0</v>
          </cell>
          <cell r="CP300">
            <v>-2416</v>
          </cell>
          <cell r="CQ300">
            <v>3047712</v>
          </cell>
          <cell r="CR300">
            <v>2869035</v>
          </cell>
          <cell r="CS300">
            <v>2782084</v>
          </cell>
          <cell r="CT300">
            <v>2740703</v>
          </cell>
          <cell r="CU300">
            <v>2639945</v>
          </cell>
          <cell r="CV300">
            <v>-19805</v>
          </cell>
          <cell r="CW300">
            <v>0</v>
          </cell>
          <cell r="CX300">
            <v>0</v>
          </cell>
          <cell r="CY300">
            <v>0</v>
          </cell>
          <cell r="CZ300">
            <v>0</v>
          </cell>
          <cell r="DA300">
            <v>0</v>
          </cell>
          <cell r="DC300">
            <v>0</v>
          </cell>
          <cell r="DD300">
            <v>0</v>
          </cell>
          <cell r="DE300">
            <v>0</v>
          </cell>
          <cell r="DF300">
            <v>0</v>
          </cell>
          <cell r="DG300">
            <v>0</v>
          </cell>
          <cell r="DH300">
            <v>0</v>
          </cell>
          <cell r="DI300">
            <v>0</v>
          </cell>
          <cell r="DJ300">
            <v>0</v>
          </cell>
          <cell r="DK300">
            <v>0</v>
          </cell>
          <cell r="DL300">
            <v>0</v>
          </cell>
        </row>
        <row r="301">
          <cell r="A301">
            <v>772</v>
          </cell>
          <cell r="B301" t="str">
            <v>Eindhoven</v>
          </cell>
          <cell r="C301">
            <v>10</v>
          </cell>
          <cell r="D301">
            <v>-73231</v>
          </cell>
          <cell r="E301">
            <v>-36615</v>
          </cell>
          <cell r="F301">
            <v>0</v>
          </cell>
          <cell r="G301">
            <v>247929</v>
          </cell>
          <cell r="H301">
            <v>-57891</v>
          </cell>
          <cell r="I301">
            <v>-70056</v>
          </cell>
          <cell r="K301">
            <v>0</v>
          </cell>
          <cell r="L301">
            <v>1261654</v>
          </cell>
          <cell r="M301">
            <v>1285667</v>
          </cell>
          <cell r="N301">
            <v>0</v>
          </cell>
          <cell r="O301">
            <v>0</v>
          </cell>
          <cell r="P301">
            <v>550226</v>
          </cell>
          <cell r="Q301">
            <v>0</v>
          </cell>
          <cell r="R301">
            <v>0</v>
          </cell>
          <cell r="S301">
            <v>1516039</v>
          </cell>
          <cell r="T301">
            <v>1516039</v>
          </cell>
          <cell r="U301">
            <v>1516039</v>
          </cell>
          <cell r="V301">
            <v>42000</v>
          </cell>
          <cell r="W301">
            <v>705981</v>
          </cell>
          <cell r="X301">
            <v>0</v>
          </cell>
          <cell r="Z301">
            <v>0</v>
          </cell>
          <cell r="AA301">
            <v>36000</v>
          </cell>
          <cell r="AB301">
            <v>0</v>
          </cell>
          <cell r="AD301">
            <v>325607</v>
          </cell>
          <cell r="AE301">
            <v>0</v>
          </cell>
          <cell r="AF301">
            <v>0</v>
          </cell>
          <cell r="AG301">
            <v>0</v>
          </cell>
          <cell r="AH301">
            <v>0</v>
          </cell>
          <cell r="AI301">
            <v>0</v>
          </cell>
          <cell r="AJ301">
            <v>0</v>
          </cell>
          <cell r="AK301">
            <v>422920</v>
          </cell>
          <cell r="AM301">
            <v>0</v>
          </cell>
          <cell r="AN301">
            <v>0</v>
          </cell>
          <cell r="AO301">
            <v>0</v>
          </cell>
          <cell r="AP301">
            <v>0</v>
          </cell>
          <cell r="AQ301">
            <v>0</v>
          </cell>
          <cell r="AR301">
            <v>0</v>
          </cell>
          <cell r="AS301">
            <v>0</v>
          </cell>
          <cell r="AT301">
            <v>20000</v>
          </cell>
          <cell r="AU301">
            <v>21330</v>
          </cell>
          <cell r="AV301">
            <v>11240506.0111244</v>
          </cell>
          <cell r="AW301">
            <v>192925</v>
          </cell>
          <cell r="AX301">
            <v>0</v>
          </cell>
          <cell r="BA301">
            <v>0</v>
          </cell>
          <cell r="BC301">
            <v>0</v>
          </cell>
          <cell r="BD301">
            <v>79639</v>
          </cell>
          <cell r="BF301">
            <v>0</v>
          </cell>
          <cell r="BG301">
            <v>0</v>
          </cell>
          <cell r="BH301">
            <v>0</v>
          </cell>
          <cell r="BI301">
            <v>434363</v>
          </cell>
          <cell r="BJ301">
            <v>357545</v>
          </cell>
          <cell r="BK301">
            <v>357545</v>
          </cell>
          <cell r="BL301">
            <v>87000</v>
          </cell>
          <cell r="BM301">
            <v>0</v>
          </cell>
          <cell r="BN301">
            <v>319550</v>
          </cell>
          <cell r="BO301">
            <v>304017</v>
          </cell>
          <cell r="BP301">
            <v>66418.8</v>
          </cell>
          <cell r="BQ301">
            <v>119651.162790698</v>
          </cell>
          <cell r="BR301">
            <v>0</v>
          </cell>
          <cell r="BS301">
            <v>0</v>
          </cell>
          <cell r="BT301">
            <v>356184</v>
          </cell>
          <cell r="BY301">
            <v>3927246.6841789898</v>
          </cell>
          <cell r="BZ301">
            <v>4551567.0481098304</v>
          </cell>
          <cell r="CA301">
            <v>4604900.9485461405</v>
          </cell>
          <cell r="CB301">
            <v>4755490.7850721702</v>
          </cell>
          <cell r="CC301">
            <v>18286707</v>
          </cell>
          <cell r="CD301">
            <v>169066022</v>
          </cell>
          <cell r="CE301">
            <v>9333622</v>
          </cell>
          <cell r="CF301">
            <v>-102153</v>
          </cell>
          <cell r="CG301">
            <v>9333622</v>
          </cell>
          <cell r="CH301">
            <v>9333622</v>
          </cell>
          <cell r="CI301">
            <v>9333622</v>
          </cell>
          <cell r="CJ301">
            <v>9333622</v>
          </cell>
          <cell r="CK301">
            <v>49078437</v>
          </cell>
          <cell r="CL301">
            <v>49053804</v>
          </cell>
          <cell r="CM301">
            <v>49053406</v>
          </cell>
          <cell r="CN301">
            <v>49052530</v>
          </cell>
          <cell r="CO301">
            <v>49053744</v>
          </cell>
          <cell r="CP301">
            <v>-9786</v>
          </cell>
          <cell r="CQ301">
            <v>34941195</v>
          </cell>
          <cell r="CR301">
            <v>33604877</v>
          </cell>
          <cell r="CS301">
            <v>32819430</v>
          </cell>
          <cell r="CT301">
            <v>32019576</v>
          </cell>
          <cell r="CU301">
            <v>31449212</v>
          </cell>
          <cell r="CV301">
            <v>86552</v>
          </cell>
          <cell r="CW301">
            <v>0</v>
          </cell>
          <cell r="CX301">
            <v>0</v>
          </cell>
          <cell r="CY301">
            <v>0</v>
          </cell>
          <cell r="CZ301">
            <v>0</v>
          </cell>
          <cell r="DA301">
            <v>0</v>
          </cell>
          <cell r="DC301">
            <v>0</v>
          </cell>
          <cell r="DD301">
            <v>0</v>
          </cell>
          <cell r="DE301">
            <v>0</v>
          </cell>
          <cell r="DF301">
            <v>0</v>
          </cell>
          <cell r="DG301">
            <v>0</v>
          </cell>
          <cell r="DH301">
            <v>39900000</v>
          </cell>
          <cell r="DI301">
            <v>0</v>
          </cell>
          <cell r="DJ301">
            <v>0</v>
          </cell>
          <cell r="DK301">
            <v>0</v>
          </cell>
          <cell r="DL301">
            <v>0</v>
          </cell>
        </row>
        <row r="302">
          <cell r="A302">
            <v>777</v>
          </cell>
          <cell r="B302" t="str">
            <v>Etten-Leur</v>
          </cell>
          <cell r="C302">
            <v>10</v>
          </cell>
          <cell r="D302">
            <v>-8932</v>
          </cell>
          <cell r="E302">
            <v>-4466</v>
          </cell>
          <cell r="F302">
            <v>0</v>
          </cell>
          <cell r="G302">
            <v>0</v>
          </cell>
          <cell r="H302">
            <v>-8164</v>
          </cell>
          <cell r="I302">
            <v>0</v>
          </cell>
          <cell r="K302">
            <v>0</v>
          </cell>
          <cell r="L302">
            <v>183084</v>
          </cell>
          <cell r="M302">
            <v>176079</v>
          </cell>
          <cell r="N302">
            <v>0</v>
          </cell>
          <cell r="O302">
            <v>0</v>
          </cell>
          <cell r="P302">
            <v>0</v>
          </cell>
          <cell r="Q302">
            <v>0</v>
          </cell>
          <cell r="R302">
            <v>0</v>
          </cell>
          <cell r="S302">
            <v>0</v>
          </cell>
          <cell r="T302">
            <v>0</v>
          </cell>
          <cell r="U302">
            <v>0</v>
          </cell>
          <cell r="V302">
            <v>21000</v>
          </cell>
          <cell r="W302">
            <v>119201</v>
          </cell>
          <cell r="X302">
            <v>0</v>
          </cell>
          <cell r="Z302">
            <v>0</v>
          </cell>
          <cell r="AA302">
            <v>0</v>
          </cell>
          <cell r="AB302">
            <v>0</v>
          </cell>
          <cell r="AD302">
            <v>0</v>
          </cell>
          <cell r="AE302">
            <v>0</v>
          </cell>
          <cell r="AF302">
            <v>0</v>
          </cell>
          <cell r="AG302">
            <v>0</v>
          </cell>
          <cell r="AH302">
            <v>0</v>
          </cell>
          <cell r="AI302">
            <v>0</v>
          </cell>
          <cell r="AJ302">
            <v>0</v>
          </cell>
          <cell r="AK302">
            <v>0</v>
          </cell>
          <cell r="AM302">
            <v>0</v>
          </cell>
          <cell r="AN302">
            <v>0</v>
          </cell>
          <cell r="AO302">
            <v>0</v>
          </cell>
          <cell r="AP302">
            <v>0</v>
          </cell>
          <cell r="AQ302">
            <v>0</v>
          </cell>
          <cell r="AR302">
            <v>0</v>
          </cell>
          <cell r="AS302">
            <v>0</v>
          </cell>
          <cell r="AT302">
            <v>0</v>
          </cell>
          <cell r="AU302">
            <v>11850</v>
          </cell>
          <cell r="AV302">
            <v>0</v>
          </cell>
          <cell r="AW302">
            <v>0</v>
          </cell>
          <cell r="AX302">
            <v>0</v>
          </cell>
          <cell r="BA302">
            <v>0</v>
          </cell>
          <cell r="BC302">
            <v>0</v>
          </cell>
          <cell r="BD302">
            <v>15104</v>
          </cell>
          <cell r="BF302">
            <v>0</v>
          </cell>
          <cell r="BG302">
            <v>0</v>
          </cell>
          <cell r="BH302">
            <v>0</v>
          </cell>
          <cell r="BI302">
            <v>53537</v>
          </cell>
          <cell r="BJ302">
            <v>44069</v>
          </cell>
          <cell r="BK302">
            <v>44069</v>
          </cell>
          <cell r="BL302">
            <v>0</v>
          </cell>
          <cell r="BM302">
            <v>0</v>
          </cell>
          <cell r="BN302">
            <v>0</v>
          </cell>
          <cell r="BO302">
            <v>98258</v>
          </cell>
          <cell r="BP302">
            <v>22139.599999999999</v>
          </cell>
          <cell r="BQ302">
            <v>39883.720930232601</v>
          </cell>
          <cell r="BR302">
            <v>0</v>
          </cell>
          <cell r="BS302">
            <v>0</v>
          </cell>
          <cell r="BT302">
            <v>63370</v>
          </cell>
          <cell r="BY302">
            <v>0</v>
          </cell>
          <cell r="BZ302">
            <v>0</v>
          </cell>
          <cell r="CA302">
            <v>0</v>
          </cell>
          <cell r="CB302">
            <v>0</v>
          </cell>
          <cell r="CC302">
            <v>3273721</v>
          </cell>
          <cell r="CD302">
            <v>20970039</v>
          </cell>
          <cell r="CE302">
            <v>1278828</v>
          </cell>
          <cell r="CF302">
            <v>0</v>
          </cell>
          <cell r="CG302">
            <v>1278828</v>
          </cell>
          <cell r="CH302">
            <v>1278828</v>
          </cell>
          <cell r="CI302">
            <v>1278828</v>
          </cell>
          <cell r="CJ302">
            <v>1278828</v>
          </cell>
          <cell r="CK302">
            <v>0</v>
          </cell>
          <cell r="CL302">
            <v>0</v>
          </cell>
          <cell r="CM302">
            <v>0</v>
          </cell>
          <cell r="CN302">
            <v>0</v>
          </cell>
          <cell r="CO302">
            <v>0</v>
          </cell>
          <cell r="CP302">
            <v>0</v>
          </cell>
          <cell r="CQ302">
            <v>5639590</v>
          </cell>
          <cell r="CR302">
            <v>5430157</v>
          </cell>
          <cell r="CS302">
            <v>5214428</v>
          </cell>
          <cell r="CT302">
            <v>5089432</v>
          </cell>
          <cell r="CU302">
            <v>4974252</v>
          </cell>
          <cell r="CV302">
            <v>-18831</v>
          </cell>
          <cell r="CW302">
            <v>0</v>
          </cell>
          <cell r="CX302">
            <v>0</v>
          </cell>
          <cell r="CY302">
            <v>0</v>
          </cell>
          <cell r="CZ302">
            <v>0</v>
          </cell>
          <cell r="DA302">
            <v>0</v>
          </cell>
          <cell r="DC302">
            <v>0</v>
          </cell>
          <cell r="DD302">
            <v>0</v>
          </cell>
          <cell r="DE302">
            <v>0</v>
          </cell>
          <cell r="DF302">
            <v>0</v>
          </cell>
          <cell r="DG302">
            <v>0</v>
          </cell>
          <cell r="DH302">
            <v>0</v>
          </cell>
          <cell r="DI302">
            <v>0</v>
          </cell>
          <cell r="DJ302">
            <v>0</v>
          </cell>
          <cell r="DK302">
            <v>0</v>
          </cell>
          <cell r="DL302">
            <v>0</v>
          </cell>
        </row>
        <row r="303">
          <cell r="A303">
            <v>779</v>
          </cell>
          <cell r="B303" t="str">
            <v>Geertruidenberg</v>
          </cell>
          <cell r="C303">
            <v>10</v>
          </cell>
          <cell r="D303">
            <v>-30402</v>
          </cell>
          <cell r="E303">
            <v>-15201</v>
          </cell>
          <cell r="F303">
            <v>0</v>
          </cell>
          <cell r="G303">
            <v>0</v>
          </cell>
          <cell r="H303">
            <v>-7587</v>
          </cell>
          <cell r="I303">
            <v>0</v>
          </cell>
          <cell r="K303">
            <v>0</v>
          </cell>
          <cell r="L303">
            <v>80420</v>
          </cell>
          <cell r="M303">
            <v>70636</v>
          </cell>
          <cell r="N303">
            <v>0</v>
          </cell>
          <cell r="O303">
            <v>0</v>
          </cell>
          <cell r="P303">
            <v>0</v>
          </cell>
          <cell r="Q303">
            <v>0</v>
          </cell>
          <cell r="R303">
            <v>0</v>
          </cell>
          <cell r="S303">
            <v>0</v>
          </cell>
          <cell r="T303">
            <v>0</v>
          </cell>
          <cell r="U303">
            <v>0</v>
          </cell>
          <cell r="V303">
            <v>6000</v>
          </cell>
          <cell r="W303">
            <v>34952</v>
          </cell>
          <cell r="X303">
            <v>0</v>
          </cell>
          <cell r="Z303">
            <v>0</v>
          </cell>
          <cell r="AA303">
            <v>0</v>
          </cell>
          <cell r="AB303">
            <v>0</v>
          </cell>
          <cell r="AD303">
            <v>0</v>
          </cell>
          <cell r="AE303">
            <v>0</v>
          </cell>
          <cell r="AF303">
            <v>0</v>
          </cell>
          <cell r="AG303">
            <v>0</v>
          </cell>
          <cell r="AH303">
            <v>0</v>
          </cell>
          <cell r="AI303">
            <v>0</v>
          </cell>
          <cell r="AJ303">
            <v>0</v>
          </cell>
          <cell r="AK303">
            <v>0</v>
          </cell>
          <cell r="AM303">
            <v>0</v>
          </cell>
          <cell r="AN303">
            <v>0</v>
          </cell>
          <cell r="AO303">
            <v>0</v>
          </cell>
          <cell r="AP303">
            <v>0</v>
          </cell>
          <cell r="AQ303">
            <v>0</v>
          </cell>
          <cell r="AR303">
            <v>0</v>
          </cell>
          <cell r="AS303">
            <v>0</v>
          </cell>
          <cell r="AT303">
            <v>0</v>
          </cell>
          <cell r="AU303">
            <v>9480</v>
          </cell>
          <cell r="AV303">
            <v>0</v>
          </cell>
          <cell r="AW303">
            <v>0</v>
          </cell>
          <cell r="AX303">
            <v>0</v>
          </cell>
          <cell r="BA303">
            <v>0</v>
          </cell>
          <cell r="BC303">
            <v>0</v>
          </cell>
          <cell r="BD303">
            <v>7549</v>
          </cell>
          <cell r="BF303">
            <v>0</v>
          </cell>
          <cell r="BG303">
            <v>0</v>
          </cell>
          <cell r="BH303">
            <v>0</v>
          </cell>
          <cell r="BI303">
            <v>29812</v>
          </cell>
          <cell r="BJ303">
            <v>24540</v>
          </cell>
          <cell r="BK303">
            <v>24540</v>
          </cell>
          <cell r="BL303">
            <v>0</v>
          </cell>
          <cell r="BM303">
            <v>0</v>
          </cell>
          <cell r="BN303">
            <v>0</v>
          </cell>
          <cell r="BO303">
            <v>176573</v>
          </cell>
          <cell r="BP303">
            <v>23721</v>
          </cell>
          <cell r="BQ303">
            <v>42732.5581395349</v>
          </cell>
          <cell r="BR303">
            <v>0</v>
          </cell>
          <cell r="BS303">
            <v>0</v>
          </cell>
          <cell r="BT303">
            <v>32149</v>
          </cell>
          <cell r="BY303">
            <v>0</v>
          </cell>
          <cell r="BZ303">
            <v>0</v>
          </cell>
          <cell r="CA303">
            <v>0</v>
          </cell>
          <cell r="CB303">
            <v>0</v>
          </cell>
          <cell r="CC303">
            <v>1688656</v>
          </cell>
          <cell r="CD303">
            <v>8869157</v>
          </cell>
          <cell r="CE303">
            <v>626401</v>
          </cell>
          <cell r="CF303">
            <v>0</v>
          </cell>
          <cell r="CG303">
            <v>626401</v>
          </cell>
          <cell r="CH303">
            <v>626401</v>
          </cell>
          <cell r="CI303">
            <v>626401</v>
          </cell>
          <cell r="CJ303">
            <v>626401</v>
          </cell>
          <cell r="CK303">
            <v>0</v>
          </cell>
          <cell r="CL303">
            <v>0</v>
          </cell>
          <cell r="CM303">
            <v>0</v>
          </cell>
          <cell r="CN303">
            <v>0</v>
          </cell>
          <cell r="CO303">
            <v>0</v>
          </cell>
          <cell r="CP303">
            <v>0</v>
          </cell>
          <cell r="CQ303">
            <v>1918907</v>
          </cell>
          <cell r="CR303">
            <v>1854334</v>
          </cell>
          <cell r="CS303">
            <v>1831041</v>
          </cell>
          <cell r="CT303">
            <v>1815466</v>
          </cell>
          <cell r="CU303">
            <v>1800414</v>
          </cell>
          <cell r="CV303">
            <v>-52702</v>
          </cell>
          <cell r="CW303">
            <v>0</v>
          </cell>
          <cell r="CX303">
            <v>0</v>
          </cell>
          <cell r="CY303">
            <v>0</v>
          </cell>
          <cell r="CZ303">
            <v>0</v>
          </cell>
          <cell r="DA303">
            <v>0</v>
          </cell>
          <cell r="DC303">
            <v>0</v>
          </cell>
          <cell r="DD303">
            <v>0</v>
          </cell>
          <cell r="DE303">
            <v>0</v>
          </cell>
          <cell r="DF303">
            <v>0</v>
          </cell>
          <cell r="DG303">
            <v>0</v>
          </cell>
          <cell r="DH303">
            <v>0</v>
          </cell>
          <cell r="DI303">
            <v>0</v>
          </cell>
          <cell r="DJ303">
            <v>0</v>
          </cell>
          <cell r="DK303">
            <v>0</v>
          </cell>
          <cell r="DL303">
            <v>0</v>
          </cell>
        </row>
        <row r="304">
          <cell r="A304">
            <v>1771</v>
          </cell>
          <cell r="B304" t="str">
            <v>Geldrop-Mierlo</v>
          </cell>
          <cell r="C304">
            <v>10</v>
          </cell>
          <cell r="D304">
            <v>-50894</v>
          </cell>
          <cell r="E304">
            <v>-25447</v>
          </cell>
          <cell r="F304">
            <v>0</v>
          </cell>
          <cell r="G304">
            <v>0</v>
          </cell>
          <cell r="H304">
            <v>-8043</v>
          </cell>
          <cell r="I304">
            <v>-9535</v>
          </cell>
          <cell r="K304">
            <v>0</v>
          </cell>
          <cell r="L304">
            <v>185989</v>
          </cell>
          <cell r="M304">
            <v>175508</v>
          </cell>
          <cell r="N304">
            <v>0</v>
          </cell>
          <cell r="O304">
            <v>0</v>
          </cell>
          <cell r="P304">
            <v>0</v>
          </cell>
          <cell r="Q304">
            <v>0</v>
          </cell>
          <cell r="R304">
            <v>0</v>
          </cell>
          <cell r="S304">
            <v>0</v>
          </cell>
          <cell r="T304">
            <v>0</v>
          </cell>
          <cell r="U304">
            <v>0</v>
          </cell>
          <cell r="V304">
            <v>3000</v>
          </cell>
          <cell r="W304">
            <v>66470</v>
          </cell>
          <cell r="X304">
            <v>0</v>
          </cell>
          <cell r="Z304">
            <v>0</v>
          </cell>
          <cell r="AA304">
            <v>0</v>
          </cell>
          <cell r="AB304">
            <v>0</v>
          </cell>
          <cell r="AD304">
            <v>44001</v>
          </cell>
          <cell r="AE304">
            <v>0</v>
          </cell>
          <cell r="AF304">
            <v>0</v>
          </cell>
          <cell r="AG304">
            <v>0</v>
          </cell>
          <cell r="AH304">
            <v>0</v>
          </cell>
          <cell r="AI304">
            <v>0</v>
          </cell>
          <cell r="AJ304">
            <v>0</v>
          </cell>
          <cell r="AK304">
            <v>0</v>
          </cell>
          <cell r="AM304">
            <v>0</v>
          </cell>
          <cell r="AN304">
            <v>0</v>
          </cell>
          <cell r="AO304">
            <v>0</v>
          </cell>
          <cell r="AP304">
            <v>0</v>
          </cell>
          <cell r="AQ304">
            <v>0</v>
          </cell>
          <cell r="AR304">
            <v>0</v>
          </cell>
          <cell r="AS304">
            <v>0</v>
          </cell>
          <cell r="AT304">
            <v>0</v>
          </cell>
          <cell r="AU304">
            <v>2370</v>
          </cell>
          <cell r="AV304">
            <v>0</v>
          </cell>
          <cell r="AW304">
            <v>0</v>
          </cell>
          <cell r="AX304">
            <v>0</v>
          </cell>
          <cell r="BA304">
            <v>0</v>
          </cell>
          <cell r="BC304">
            <v>0</v>
          </cell>
          <cell r="BD304">
            <v>13718</v>
          </cell>
          <cell r="BF304">
            <v>0</v>
          </cell>
          <cell r="BG304">
            <v>0</v>
          </cell>
          <cell r="BH304">
            <v>0</v>
          </cell>
          <cell r="BI304">
            <v>54859</v>
          </cell>
          <cell r="BJ304">
            <v>45157</v>
          </cell>
          <cell r="BK304">
            <v>45157</v>
          </cell>
          <cell r="BL304">
            <v>0</v>
          </cell>
          <cell r="BM304">
            <v>0</v>
          </cell>
          <cell r="BN304">
            <v>0</v>
          </cell>
          <cell r="BO304">
            <v>90962</v>
          </cell>
          <cell r="BP304">
            <v>18976.8</v>
          </cell>
          <cell r="BQ304">
            <v>34186.046511627901</v>
          </cell>
          <cell r="BR304">
            <v>0</v>
          </cell>
          <cell r="BS304">
            <v>0</v>
          </cell>
          <cell r="BT304">
            <v>58404</v>
          </cell>
          <cell r="BY304">
            <v>0</v>
          </cell>
          <cell r="BZ304">
            <v>0</v>
          </cell>
          <cell r="CA304">
            <v>0</v>
          </cell>
          <cell r="CB304">
            <v>0</v>
          </cell>
          <cell r="CC304">
            <v>3242988</v>
          </cell>
          <cell r="CD304">
            <v>15408914</v>
          </cell>
          <cell r="CE304">
            <v>1317404</v>
          </cell>
          <cell r="CF304">
            <v>0</v>
          </cell>
          <cell r="CG304">
            <v>1317404</v>
          </cell>
          <cell r="CH304">
            <v>1317404</v>
          </cell>
          <cell r="CI304">
            <v>1317404</v>
          </cell>
          <cell r="CJ304">
            <v>1317404</v>
          </cell>
          <cell r="CK304">
            <v>0</v>
          </cell>
          <cell r="CL304">
            <v>0</v>
          </cell>
          <cell r="CM304">
            <v>0</v>
          </cell>
          <cell r="CN304">
            <v>0</v>
          </cell>
          <cell r="CO304">
            <v>0</v>
          </cell>
          <cell r="CP304">
            <v>-3442</v>
          </cell>
          <cell r="CQ304">
            <v>1772699</v>
          </cell>
          <cell r="CR304">
            <v>1748464</v>
          </cell>
          <cell r="CS304">
            <v>1724074</v>
          </cell>
          <cell r="CT304">
            <v>1726200</v>
          </cell>
          <cell r="CU304">
            <v>1731785</v>
          </cell>
          <cell r="CV304">
            <v>-11177</v>
          </cell>
          <cell r="CW304">
            <v>0</v>
          </cell>
          <cell r="CX304">
            <v>0</v>
          </cell>
          <cell r="CY304">
            <v>0</v>
          </cell>
          <cell r="CZ304">
            <v>0</v>
          </cell>
          <cell r="DA304">
            <v>0</v>
          </cell>
          <cell r="DC304">
            <v>0</v>
          </cell>
          <cell r="DD304">
            <v>0</v>
          </cell>
          <cell r="DE304">
            <v>0</v>
          </cell>
          <cell r="DF304">
            <v>0</v>
          </cell>
          <cell r="DG304">
            <v>0</v>
          </cell>
          <cell r="DH304">
            <v>0</v>
          </cell>
          <cell r="DI304">
            <v>0</v>
          </cell>
          <cell r="DJ304">
            <v>0</v>
          </cell>
          <cell r="DK304">
            <v>0</v>
          </cell>
          <cell r="DL304">
            <v>0</v>
          </cell>
        </row>
        <row r="305">
          <cell r="A305">
            <v>1652</v>
          </cell>
          <cell r="B305" t="str">
            <v>Gemert-Bakel</v>
          </cell>
          <cell r="C305">
            <v>10</v>
          </cell>
          <cell r="D305">
            <v>-8779</v>
          </cell>
          <cell r="E305">
            <v>-4389</v>
          </cell>
          <cell r="F305">
            <v>0</v>
          </cell>
          <cell r="G305">
            <v>0</v>
          </cell>
          <cell r="H305">
            <v>-19654</v>
          </cell>
          <cell r="I305">
            <v>-2413</v>
          </cell>
          <cell r="K305">
            <v>0</v>
          </cell>
          <cell r="L305">
            <v>106822</v>
          </cell>
          <cell r="M305">
            <v>99729</v>
          </cell>
          <cell r="N305">
            <v>0</v>
          </cell>
          <cell r="O305">
            <v>0</v>
          </cell>
          <cell r="P305">
            <v>0</v>
          </cell>
          <cell r="Q305">
            <v>0</v>
          </cell>
          <cell r="R305">
            <v>0</v>
          </cell>
          <cell r="S305">
            <v>0</v>
          </cell>
          <cell r="T305">
            <v>0</v>
          </cell>
          <cell r="U305">
            <v>0</v>
          </cell>
          <cell r="V305">
            <v>6000</v>
          </cell>
          <cell r="W305">
            <v>68490</v>
          </cell>
          <cell r="X305">
            <v>0</v>
          </cell>
          <cell r="Z305">
            <v>0</v>
          </cell>
          <cell r="AA305">
            <v>0</v>
          </cell>
          <cell r="AB305">
            <v>0</v>
          </cell>
          <cell r="AD305">
            <v>0</v>
          </cell>
          <cell r="AE305">
            <v>0</v>
          </cell>
          <cell r="AF305">
            <v>0</v>
          </cell>
          <cell r="AG305">
            <v>0</v>
          </cell>
          <cell r="AH305">
            <v>0</v>
          </cell>
          <cell r="AI305">
            <v>0</v>
          </cell>
          <cell r="AJ305">
            <v>0</v>
          </cell>
          <cell r="AK305">
            <v>0</v>
          </cell>
          <cell r="AM305">
            <v>0</v>
          </cell>
          <cell r="AN305">
            <v>0</v>
          </cell>
          <cell r="AO305">
            <v>0</v>
          </cell>
          <cell r="AP305">
            <v>0</v>
          </cell>
          <cell r="AQ305">
            <v>0</v>
          </cell>
          <cell r="AR305">
            <v>0</v>
          </cell>
          <cell r="AS305">
            <v>0</v>
          </cell>
          <cell r="AT305">
            <v>0</v>
          </cell>
          <cell r="AU305">
            <v>7110</v>
          </cell>
          <cell r="AV305">
            <v>0</v>
          </cell>
          <cell r="AW305">
            <v>0</v>
          </cell>
          <cell r="AX305">
            <v>0</v>
          </cell>
          <cell r="BA305">
            <v>0</v>
          </cell>
          <cell r="BC305">
            <v>0</v>
          </cell>
          <cell r="BD305">
            <v>10539</v>
          </cell>
          <cell r="BF305">
            <v>0</v>
          </cell>
          <cell r="BG305">
            <v>0</v>
          </cell>
          <cell r="BH305">
            <v>0</v>
          </cell>
          <cell r="BI305">
            <v>40881</v>
          </cell>
          <cell r="BJ305">
            <v>33651</v>
          </cell>
          <cell r="BK305">
            <v>33651</v>
          </cell>
          <cell r="BL305">
            <v>0</v>
          </cell>
          <cell r="BM305">
            <v>0</v>
          </cell>
          <cell r="BN305">
            <v>0</v>
          </cell>
          <cell r="BO305">
            <v>110419</v>
          </cell>
          <cell r="BP305">
            <v>26883.8</v>
          </cell>
          <cell r="BQ305">
            <v>48430.232558139498</v>
          </cell>
          <cell r="BR305">
            <v>0</v>
          </cell>
          <cell r="BS305">
            <v>0</v>
          </cell>
          <cell r="BT305">
            <v>49871</v>
          </cell>
          <cell r="BY305">
            <v>0</v>
          </cell>
          <cell r="BZ305">
            <v>0</v>
          </cell>
          <cell r="CA305">
            <v>0</v>
          </cell>
          <cell r="CB305">
            <v>0</v>
          </cell>
          <cell r="CC305">
            <v>2212739</v>
          </cell>
          <cell r="CD305">
            <v>14892472</v>
          </cell>
          <cell r="CE305">
            <v>1500835</v>
          </cell>
          <cell r="CF305">
            <v>0</v>
          </cell>
          <cell r="CG305">
            <v>1500835</v>
          </cell>
          <cell r="CH305">
            <v>1500835</v>
          </cell>
          <cell r="CI305">
            <v>1500835</v>
          </cell>
          <cell r="CJ305">
            <v>1500835</v>
          </cell>
          <cell r="CK305">
            <v>0</v>
          </cell>
          <cell r="CL305">
            <v>0</v>
          </cell>
          <cell r="CM305">
            <v>0</v>
          </cell>
          <cell r="CN305">
            <v>0</v>
          </cell>
          <cell r="CO305">
            <v>0</v>
          </cell>
          <cell r="CP305">
            <v>-866</v>
          </cell>
          <cell r="CQ305">
            <v>4483183</v>
          </cell>
          <cell r="CR305">
            <v>4229257</v>
          </cell>
          <cell r="CS305">
            <v>4134043</v>
          </cell>
          <cell r="CT305">
            <v>4086963</v>
          </cell>
          <cell r="CU305">
            <v>3989713</v>
          </cell>
          <cell r="CV305">
            <v>2216</v>
          </cell>
          <cell r="CW305">
            <v>0</v>
          </cell>
          <cell r="CX305">
            <v>0</v>
          </cell>
          <cell r="CY305">
            <v>0</v>
          </cell>
          <cell r="CZ305">
            <v>0</v>
          </cell>
          <cell r="DA305">
            <v>0</v>
          </cell>
          <cell r="DC305">
            <v>0</v>
          </cell>
          <cell r="DD305">
            <v>0</v>
          </cell>
          <cell r="DE305">
            <v>0</v>
          </cell>
          <cell r="DF305">
            <v>0</v>
          </cell>
          <cell r="DG305">
            <v>0</v>
          </cell>
          <cell r="DH305">
            <v>0</v>
          </cell>
          <cell r="DI305">
            <v>0</v>
          </cell>
          <cell r="DJ305">
            <v>0</v>
          </cell>
          <cell r="DK305">
            <v>0</v>
          </cell>
          <cell r="DL305">
            <v>0</v>
          </cell>
        </row>
        <row r="306">
          <cell r="A306">
            <v>784</v>
          </cell>
          <cell r="B306" t="str">
            <v>Gilze en Rijen</v>
          </cell>
          <cell r="C306">
            <v>10</v>
          </cell>
          <cell r="D306">
            <v>-23891</v>
          </cell>
          <cell r="E306">
            <v>-11946</v>
          </cell>
          <cell r="F306">
            <v>0</v>
          </cell>
          <cell r="G306">
            <v>34618</v>
          </cell>
          <cell r="H306">
            <v>-22475</v>
          </cell>
          <cell r="I306">
            <v>-3738</v>
          </cell>
          <cell r="K306">
            <v>0</v>
          </cell>
          <cell r="L306">
            <v>112632</v>
          </cell>
          <cell r="M306">
            <v>112918</v>
          </cell>
          <cell r="N306">
            <v>0</v>
          </cell>
          <cell r="O306">
            <v>0</v>
          </cell>
          <cell r="P306">
            <v>0</v>
          </cell>
          <cell r="Q306">
            <v>0</v>
          </cell>
          <cell r="R306">
            <v>0</v>
          </cell>
          <cell r="S306">
            <v>0</v>
          </cell>
          <cell r="T306">
            <v>0</v>
          </cell>
          <cell r="U306">
            <v>0</v>
          </cell>
          <cell r="V306">
            <v>6000</v>
          </cell>
          <cell r="W306">
            <v>103409</v>
          </cell>
          <cell r="X306">
            <v>685985</v>
          </cell>
          <cell r="Z306">
            <v>0</v>
          </cell>
          <cell r="AA306">
            <v>0</v>
          </cell>
          <cell r="AB306">
            <v>0</v>
          </cell>
          <cell r="AD306">
            <v>0</v>
          </cell>
          <cell r="AE306">
            <v>0</v>
          </cell>
          <cell r="AF306">
            <v>0</v>
          </cell>
          <cell r="AG306">
            <v>0</v>
          </cell>
          <cell r="AH306">
            <v>0</v>
          </cell>
          <cell r="AI306">
            <v>0</v>
          </cell>
          <cell r="AJ306">
            <v>0</v>
          </cell>
          <cell r="AK306">
            <v>0</v>
          </cell>
          <cell r="AM306">
            <v>0</v>
          </cell>
          <cell r="AN306">
            <v>0</v>
          </cell>
          <cell r="AO306">
            <v>0</v>
          </cell>
          <cell r="AP306">
            <v>0</v>
          </cell>
          <cell r="AQ306">
            <v>0</v>
          </cell>
          <cell r="AR306">
            <v>0</v>
          </cell>
          <cell r="AS306">
            <v>0</v>
          </cell>
          <cell r="AT306">
            <v>0</v>
          </cell>
          <cell r="AU306">
            <v>2370</v>
          </cell>
          <cell r="AV306">
            <v>0</v>
          </cell>
          <cell r="AW306">
            <v>0</v>
          </cell>
          <cell r="AX306">
            <v>0</v>
          </cell>
          <cell r="BA306">
            <v>0</v>
          </cell>
          <cell r="BC306">
            <v>0</v>
          </cell>
          <cell r="BD306">
            <v>9204</v>
          </cell>
          <cell r="BF306">
            <v>0</v>
          </cell>
          <cell r="BG306">
            <v>0</v>
          </cell>
          <cell r="BH306">
            <v>0</v>
          </cell>
          <cell r="BI306">
            <v>35025</v>
          </cell>
          <cell r="BJ306">
            <v>28831</v>
          </cell>
          <cell r="BK306">
            <v>28831</v>
          </cell>
          <cell r="BL306">
            <v>0</v>
          </cell>
          <cell r="BM306">
            <v>0</v>
          </cell>
          <cell r="BN306">
            <v>0</v>
          </cell>
          <cell r="BO306">
            <v>0</v>
          </cell>
          <cell r="BP306">
            <v>7907</v>
          </cell>
          <cell r="BQ306">
            <v>14244.186046511601</v>
          </cell>
          <cell r="BR306">
            <v>0</v>
          </cell>
          <cell r="BS306">
            <v>0</v>
          </cell>
          <cell r="BT306">
            <v>44276</v>
          </cell>
          <cell r="BY306">
            <v>0</v>
          </cell>
          <cell r="BZ306">
            <v>0</v>
          </cell>
          <cell r="CA306">
            <v>0</v>
          </cell>
          <cell r="CB306">
            <v>0</v>
          </cell>
          <cell r="CC306">
            <v>1992773</v>
          </cell>
          <cell r="CD306">
            <v>10007897</v>
          </cell>
          <cell r="CE306">
            <v>458760</v>
          </cell>
          <cell r="CF306">
            <v>-9041</v>
          </cell>
          <cell r="CG306">
            <v>458760</v>
          </cell>
          <cell r="CH306">
            <v>458760</v>
          </cell>
          <cell r="CI306">
            <v>458760</v>
          </cell>
          <cell r="CJ306">
            <v>458760</v>
          </cell>
          <cell r="CK306">
            <v>0</v>
          </cell>
          <cell r="CL306">
            <v>0</v>
          </cell>
          <cell r="CM306">
            <v>0</v>
          </cell>
          <cell r="CN306">
            <v>0</v>
          </cell>
          <cell r="CO306">
            <v>0</v>
          </cell>
          <cell r="CP306">
            <v>0</v>
          </cell>
          <cell r="CQ306">
            <v>1709091</v>
          </cell>
          <cell r="CR306">
            <v>1585759</v>
          </cell>
          <cell r="CS306">
            <v>1577593</v>
          </cell>
          <cell r="CT306">
            <v>1537590</v>
          </cell>
          <cell r="CU306">
            <v>1505046</v>
          </cell>
          <cell r="CV306">
            <v>2992</v>
          </cell>
          <cell r="CW306">
            <v>0</v>
          </cell>
          <cell r="CX306">
            <v>0</v>
          </cell>
          <cell r="CY306">
            <v>0</v>
          </cell>
          <cell r="CZ306">
            <v>0</v>
          </cell>
          <cell r="DA306">
            <v>0</v>
          </cell>
          <cell r="DC306">
            <v>0</v>
          </cell>
          <cell r="DD306">
            <v>0</v>
          </cell>
          <cell r="DE306">
            <v>0</v>
          </cell>
          <cell r="DF306">
            <v>0</v>
          </cell>
          <cell r="DG306">
            <v>0</v>
          </cell>
          <cell r="DH306">
            <v>0</v>
          </cell>
          <cell r="DI306">
            <v>0</v>
          </cell>
          <cell r="DJ306">
            <v>0</v>
          </cell>
          <cell r="DK306">
            <v>0</v>
          </cell>
          <cell r="DL306">
            <v>0</v>
          </cell>
        </row>
        <row r="307">
          <cell r="A307">
            <v>785</v>
          </cell>
          <cell r="B307" t="str">
            <v>Goirle</v>
          </cell>
          <cell r="C307">
            <v>10</v>
          </cell>
          <cell r="D307">
            <v>-31756</v>
          </cell>
          <cell r="E307">
            <v>-15878</v>
          </cell>
          <cell r="F307">
            <v>0</v>
          </cell>
          <cell r="G307">
            <v>0</v>
          </cell>
          <cell r="H307">
            <v>0</v>
          </cell>
          <cell r="I307">
            <v>-2822</v>
          </cell>
          <cell r="K307">
            <v>0</v>
          </cell>
          <cell r="L307">
            <v>80540</v>
          </cell>
          <cell r="M307">
            <v>72279</v>
          </cell>
          <cell r="N307">
            <v>0</v>
          </cell>
          <cell r="O307">
            <v>0</v>
          </cell>
          <cell r="P307">
            <v>0</v>
          </cell>
          <cell r="Q307">
            <v>0</v>
          </cell>
          <cell r="R307">
            <v>0</v>
          </cell>
          <cell r="S307">
            <v>0</v>
          </cell>
          <cell r="T307">
            <v>0</v>
          </cell>
          <cell r="U307">
            <v>0</v>
          </cell>
          <cell r="V307">
            <v>9000</v>
          </cell>
          <cell r="W307">
            <v>62631</v>
          </cell>
          <cell r="X307">
            <v>0</v>
          </cell>
          <cell r="Z307">
            <v>0</v>
          </cell>
          <cell r="AA307">
            <v>0</v>
          </cell>
          <cell r="AB307">
            <v>0</v>
          </cell>
          <cell r="AD307">
            <v>0</v>
          </cell>
          <cell r="AE307">
            <v>0</v>
          </cell>
          <cell r="AF307">
            <v>0</v>
          </cell>
          <cell r="AG307">
            <v>0</v>
          </cell>
          <cell r="AH307">
            <v>0</v>
          </cell>
          <cell r="AI307">
            <v>0</v>
          </cell>
          <cell r="AJ307">
            <v>0</v>
          </cell>
          <cell r="AK307">
            <v>0</v>
          </cell>
          <cell r="AM307">
            <v>0</v>
          </cell>
          <cell r="AN307">
            <v>0</v>
          </cell>
          <cell r="AO307">
            <v>0</v>
          </cell>
          <cell r="AP307">
            <v>0</v>
          </cell>
          <cell r="AQ307">
            <v>0</v>
          </cell>
          <cell r="AR307">
            <v>0</v>
          </cell>
          <cell r="AS307">
            <v>0</v>
          </cell>
          <cell r="AT307">
            <v>0</v>
          </cell>
          <cell r="AU307">
            <v>2370</v>
          </cell>
          <cell r="AV307">
            <v>0</v>
          </cell>
          <cell r="AW307">
            <v>0</v>
          </cell>
          <cell r="AX307">
            <v>0</v>
          </cell>
          <cell r="BA307">
            <v>0</v>
          </cell>
          <cell r="BC307">
            <v>0</v>
          </cell>
          <cell r="BD307">
            <v>8185</v>
          </cell>
          <cell r="BF307">
            <v>0</v>
          </cell>
          <cell r="BG307">
            <v>0</v>
          </cell>
          <cell r="BH307">
            <v>0</v>
          </cell>
          <cell r="BI307">
            <v>25963</v>
          </cell>
          <cell r="BJ307">
            <v>21371</v>
          </cell>
          <cell r="BK307">
            <v>21371</v>
          </cell>
          <cell r="BL307">
            <v>0</v>
          </cell>
          <cell r="BM307">
            <v>0</v>
          </cell>
          <cell r="BN307">
            <v>0</v>
          </cell>
          <cell r="BO307">
            <v>58371</v>
          </cell>
          <cell r="BP307">
            <v>1581.4</v>
          </cell>
          <cell r="BQ307">
            <v>2848.8372093023299</v>
          </cell>
          <cell r="BR307">
            <v>0</v>
          </cell>
          <cell r="BS307">
            <v>0</v>
          </cell>
          <cell r="BT307">
            <v>34673</v>
          </cell>
          <cell r="BY307">
            <v>0</v>
          </cell>
          <cell r="BZ307">
            <v>0</v>
          </cell>
          <cell r="CA307">
            <v>0</v>
          </cell>
          <cell r="CB307">
            <v>0</v>
          </cell>
          <cell r="CC307">
            <v>1835547</v>
          </cell>
          <cell r="CD307">
            <v>11495948</v>
          </cell>
          <cell r="CE307">
            <v>1126512</v>
          </cell>
          <cell r="CF307">
            <v>0</v>
          </cell>
          <cell r="CG307">
            <v>1126512</v>
          </cell>
          <cell r="CH307">
            <v>1126512</v>
          </cell>
          <cell r="CI307">
            <v>1126512</v>
          </cell>
          <cell r="CJ307">
            <v>1126512</v>
          </cell>
          <cell r="CK307">
            <v>0</v>
          </cell>
          <cell r="CL307">
            <v>0</v>
          </cell>
          <cell r="CM307">
            <v>0</v>
          </cell>
          <cell r="CN307">
            <v>0</v>
          </cell>
          <cell r="CO307">
            <v>0</v>
          </cell>
          <cell r="CP307">
            <v>-1023</v>
          </cell>
          <cell r="CQ307">
            <v>2574641</v>
          </cell>
          <cell r="CR307">
            <v>2460157</v>
          </cell>
          <cell r="CS307">
            <v>2366019</v>
          </cell>
          <cell r="CT307">
            <v>2303988</v>
          </cell>
          <cell r="CU307">
            <v>2206433</v>
          </cell>
          <cell r="CV307">
            <v>3511</v>
          </cell>
          <cell r="CW307">
            <v>0</v>
          </cell>
          <cell r="CX307">
            <v>0</v>
          </cell>
          <cell r="CY307">
            <v>0</v>
          </cell>
          <cell r="CZ307">
            <v>0</v>
          </cell>
          <cell r="DA307">
            <v>0</v>
          </cell>
          <cell r="DC307">
            <v>0</v>
          </cell>
          <cell r="DD307">
            <v>0</v>
          </cell>
          <cell r="DE307">
            <v>0</v>
          </cell>
          <cell r="DF307">
            <v>0</v>
          </cell>
          <cell r="DG307">
            <v>0</v>
          </cell>
          <cell r="DH307">
            <v>0</v>
          </cell>
          <cell r="DI307">
            <v>0</v>
          </cell>
          <cell r="DJ307">
            <v>0</v>
          </cell>
          <cell r="DK307">
            <v>0</v>
          </cell>
          <cell r="DL307">
            <v>0</v>
          </cell>
        </row>
        <row r="308">
          <cell r="A308">
            <v>786</v>
          </cell>
          <cell r="B308" t="str">
            <v>Grave</v>
          </cell>
          <cell r="C308">
            <v>10</v>
          </cell>
          <cell r="D308">
            <v>2398</v>
          </cell>
          <cell r="E308">
            <v>1199</v>
          </cell>
          <cell r="F308">
            <v>0</v>
          </cell>
          <cell r="G308">
            <v>111155</v>
          </cell>
          <cell r="H308">
            <v>-20441</v>
          </cell>
          <cell r="I308">
            <v>-15733</v>
          </cell>
          <cell r="K308">
            <v>0</v>
          </cell>
          <cell r="L308">
            <v>40111</v>
          </cell>
          <cell r="M308">
            <v>38282</v>
          </cell>
          <cell r="N308">
            <v>0</v>
          </cell>
          <cell r="O308">
            <v>0</v>
          </cell>
          <cell r="P308">
            <v>0</v>
          </cell>
          <cell r="Q308">
            <v>0</v>
          </cell>
          <cell r="R308">
            <v>0</v>
          </cell>
          <cell r="S308">
            <v>0</v>
          </cell>
          <cell r="T308">
            <v>0</v>
          </cell>
          <cell r="U308">
            <v>0</v>
          </cell>
          <cell r="V308">
            <v>0</v>
          </cell>
          <cell r="W308">
            <v>53065</v>
          </cell>
          <cell r="X308">
            <v>0</v>
          </cell>
          <cell r="Z308">
            <v>0</v>
          </cell>
          <cell r="AA308">
            <v>0</v>
          </cell>
          <cell r="AB308">
            <v>0</v>
          </cell>
          <cell r="AD308">
            <v>0</v>
          </cell>
          <cell r="AE308">
            <v>0</v>
          </cell>
          <cell r="AF308">
            <v>0</v>
          </cell>
          <cell r="AG308">
            <v>0</v>
          </cell>
          <cell r="AH308">
            <v>0</v>
          </cell>
          <cell r="AI308">
            <v>0</v>
          </cell>
          <cell r="AJ308">
            <v>0</v>
          </cell>
          <cell r="AK308">
            <v>0</v>
          </cell>
          <cell r="AM308">
            <v>0</v>
          </cell>
          <cell r="AN308">
            <v>0</v>
          </cell>
          <cell r="AO308">
            <v>0</v>
          </cell>
          <cell r="AP308">
            <v>0</v>
          </cell>
          <cell r="AQ308">
            <v>0</v>
          </cell>
          <cell r="AR308">
            <v>0</v>
          </cell>
          <cell r="AS308">
            <v>0</v>
          </cell>
          <cell r="AT308">
            <v>0</v>
          </cell>
          <cell r="AU308">
            <v>0</v>
          </cell>
          <cell r="AV308">
            <v>0</v>
          </cell>
          <cell r="AW308">
            <v>0</v>
          </cell>
          <cell r="AX308">
            <v>0</v>
          </cell>
          <cell r="BA308">
            <v>0</v>
          </cell>
          <cell r="BC308">
            <v>0</v>
          </cell>
          <cell r="BD308">
            <v>4342</v>
          </cell>
          <cell r="BF308">
            <v>0</v>
          </cell>
          <cell r="BG308">
            <v>0</v>
          </cell>
          <cell r="BH308">
            <v>0</v>
          </cell>
          <cell r="BI308">
            <v>14383</v>
          </cell>
          <cell r="BJ308">
            <v>11839</v>
          </cell>
          <cell r="BK308">
            <v>11839</v>
          </cell>
          <cell r="BL308">
            <v>0</v>
          </cell>
          <cell r="BM308">
            <v>0</v>
          </cell>
          <cell r="BN308">
            <v>0</v>
          </cell>
          <cell r="BO308">
            <v>31131</v>
          </cell>
          <cell r="BP308">
            <v>0</v>
          </cell>
          <cell r="BQ308">
            <v>0</v>
          </cell>
          <cell r="BR308">
            <v>0</v>
          </cell>
          <cell r="BS308">
            <v>0</v>
          </cell>
          <cell r="BT308">
            <v>20026</v>
          </cell>
          <cell r="BY308">
            <v>0</v>
          </cell>
          <cell r="BZ308">
            <v>0</v>
          </cell>
          <cell r="CA308">
            <v>0</v>
          </cell>
          <cell r="CB308">
            <v>0</v>
          </cell>
          <cell r="CC308">
            <v>1099290</v>
          </cell>
          <cell r="CD308">
            <v>6808500</v>
          </cell>
          <cell r="CE308">
            <v>668506</v>
          </cell>
          <cell r="CF308">
            <v>-30084</v>
          </cell>
          <cell r="CG308">
            <v>668506</v>
          </cell>
          <cell r="CH308">
            <v>668506</v>
          </cell>
          <cell r="CI308">
            <v>668506</v>
          </cell>
          <cell r="CJ308">
            <v>668506</v>
          </cell>
          <cell r="CK308">
            <v>0</v>
          </cell>
          <cell r="CL308">
            <v>0</v>
          </cell>
          <cell r="CM308">
            <v>0</v>
          </cell>
          <cell r="CN308">
            <v>0</v>
          </cell>
          <cell r="CO308">
            <v>0</v>
          </cell>
          <cell r="CP308">
            <v>-1125</v>
          </cell>
          <cell r="CQ308">
            <v>1759236</v>
          </cell>
          <cell r="CR308">
            <v>1655834</v>
          </cell>
          <cell r="CS308">
            <v>1570404</v>
          </cell>
          <cell r="CT308">
            <v>1518831</v>
          </cell>
          <cell r="CU308">
            <v>1478263</v>
          </cell>
          <cell r="CV308">
            <v>18209</v>
          </cell>
          <cell r="CW308">
            <v>0</v>
          </cell>
          <cell r="CX308">
            <v>0</v>
          </cell>
          <cell r="CY308">
            <v>0</v>
          </cell>
          <cell r="CZ308">
            <v>0</v>
          </cell>
          <cell r="DA308">
            <v>0</v>
          </cell>
          <cell r="DC308">
            <v>0</v>
          </cell>
          <cell r="DD308">
            <v>0</v>
          </cell>
          <cell r="DE308">
            <v>0</v>
          </cell>
          <cell r="DF308">
            <v>0</v>
          </cell>
          <cell r="DG308">
            <v>0</v>
          </cell>
          <cell r="DH308">
            <v>0</v>
          </cell>
          <cell r="DI308">
            <v>0</v>
          </cell>
          <cell r="DJ308">
            <v>0</v>
          </cell>
          <cell r="DK308">
            <v>0</v>
          </cell>
          <cell r="DL308">
            <v>0</v>
          </cell>
        </row>
        <row r="309">
          <cell r="A309">
            <v>788</v>
          </cell>
          <cell r="B309" t="str">
            <v>Haaren</v>
          </cell>
          <cell r="C309">
            <v>10</v>
          </cell>
          <cell r="D309">
            <v>17570</v>
          </cell>
          <cell r="E309">
            <v>8785</v>
          </cell>
          <cell r="F309">
            <v>0</v>
          </cell>
          <cell r="G309">
            <v>0</v>
          </cell>
          <cell r="H309">
            <v>-15181</v>
          </cell>
          <cell r="I309">
            <v>-11331</v>
          </cell>
          <cell r="K309">
            <v>0</v>
          </cell>
          <cell r="L309">
            <v>34142</v>
          </cell>
          <cell r="M309">
            <v>28474</v>
          </cell>
          <cell r="N309">
            <v>0</v>
          </cell>
          <cell r="O309">
            <v>0</v>
          </cell>
          <cell r="P309">
            <v>0</v>
          </cell>
          <cell r="Q309">
            <v>0</v>
          </cell>
          <cell r="R309">
            <v>0</v>
          </cell>
          <cell r="S309">
            <v>0</v>
          </cell>
          <cell r="T309">
            <v>0</v>
          </cell>
          <cell r="U309">
            <v>0</v>
          </cell>
          <cell r="V309">
            <v>0</v>
          </cell>
          <cell r="W309">
            <v>0</v>
          </cell>
          <cell r="X309">
            <v>0</v>
          </cell>
          <cell r="Z309">
            <v>0</v>
          </cell>
          <cell r="AA309">
            <v>0</v>
          </cell>
          <cell r="AB309">
            <v>0</v>
          </cell>
          <cell r="AD309">
            <v>0</v>
          </cell>
          <cell r="AE309">
            <v>0</v>
          </cell>
          <cell r="AF309">
            <v>0</v>
          </cell>
          <cell r="AG309">
            <v>0</v>
          </cell>
          <cell r="AH309">
            <v>0</v>
          </cell>
          <cell r="AI309">
            <v>0</v>
          </cell>
          <cell r="AJ309">
            <v>0</v>
          </cell>
          <cell r="AK309">
            <v>0</v>
          </cell>
          <cell r="AM309">
            <v>0</v>
          </cell>
          <cell r="AN309">
            <v>0</v>
          </cell>
          <cell r="AO309">
            <v>0</v>
          </cell>
          <cell r="AP309">
            <v>0</v>
          </cell>
          <cell r="AQ309">
            <v>0</v>
          </cell>
          <cell r="AR309">
            <v>0</v>
          </cell>
          <cell r="AS309">
            <v>0</v>
          </cell>
          <cell r="AT309">
            <v>0</v>
          </cell>
          <cell r="AU309">
            <v>0</v>
          </cell>
          <cell r="AV309">
            <v>0</v>
          </cell>
          <cell r="AW309">
            <v>0</v>
          </cell>
          <cell r="AX309">
            <v>0</v>
          </cell>
          <cell r="BA309">
            <v>0</v>
          </cell>
          <cell r="BC309">
            <v>0</v>
          </cell>
          <cell r="BD309">
            <v>4884</v>
          </cell>
          <cell r="BF309">
            <v>0</v>
          </cell>
          <cell r="BG309">
            <v>0</v>
          </cell>
          <cell r="BH309">
            <v>0</v>
          </cell>
          <cell r="BI309">
            <v>10815</v>
          </cell>
          <cell r="BJ309">
            <v>8903</v>
          </cell>
          <cell r="BK309">
            <v>8903</v>
          </cell>
          <cell r="BL309">
            <v>0</v>
          </cell>
          <cell r="BM309">
            <v>0</v>
          </cell>
          <cell r="BN309">
            <v>0</v>
          </cell>
          <cell r="BO309">
            <v>0</v>
          </cell>
          <cell r="BP309">
            <v>3162.8</v>
          </cell>
          <cell r="BQ309">
            <v>5697.6744186046499</v>
          </cell>
          <cell r="BR309">
            <v>0</v>
          </cell>
          <cell r="BS309">
            <v>0</v>
          </cell>
          <cell r="BT309">
            <v>22415</v>
          </cell>
          <cell r="BY309">
            <v>0</v>
          </cell>
          <cell r="BZ309">
            <v>0</v>
          </cell>
          <cell r="CA309">
            <v>0</v>
          </cell>
          <cell r="CB309">
            <v>0</v>
          </cell>
          <cell r="CC309">
            <v>1155686</v>
          </cell>
          <cell r="CD309">
            <v>5739274</v>
          </cell>
          <cell r="CE309">
            <v>194674</v>
          </cell>
          <cell r="CF309">
            <v>0</v>
          </cell>
          <cell r="CG309">
            <v>194674</v>
          </cell>
          <cell r="CH309">
            <v>194674</v>
          </cell>
          <cell r="CI309">
            <v>194674</v>
          </cell>
          <cell r="CJ309">
            <v>194674</v>
          </cell>
          <cell r="CK309">
            <v>0</v>
          </cell>
          <cell r="CL309">
            <v>0</v>
          </cell>
          <cell r="CM309">
            <v>0</v>
          </cell>
          <cell r="CN309">
            <v>0</v>
          </cell>
          <cell r="CO309">
            <v>0</v>
          </cell>
          <cell r="CP309">
            <v>-4113</v>
          </cell>
          <cell r="CQ309">
            <v>1705705</v>
          </cell>
          <cell r="CR309">
            <v>1631128</v>
          </cell>
          <cell r="CS309">
            <v>1611535</v>
          </cell>
          <cell r="CT309">
            <v>1574072</v>
          </cell>
          <cell r="CU309">
            <v>1536590</v>
          </cell>
          <cell r="CV309">
            <v>31976</v>
          </cell>
          <cell r="CW309">
            <v>0</v>
          </cell>
          <cell r="CX309">
            <v>0</v>
          </cell>
          <cell r="CY309">
            <v>0</v>
          </cell>
          <cell r="CZ309">
            <v>0</v>
          </cell>
          <cell r="DA309">
            <v>0</v>
          </cell>
          <cell r="DC309">
            <v>0</v>
          </cell>
          <cell r="DD309">
            <v>0</v>
          </cell>
          <cell r="DE309">
            <v>0</v>
          </cell>
          <cell r="DF309">
            <v>0</v>
          </cell>
          <cell r="DG309">
            <v>0</v>
          </cell>
          <cell r="DH309">
            <v>0</v>
          </cell>
          <cell r="DI309">
            <v>0</v>
          </cell>
          <cell r="DJ309">
            <v>0</v>
          </cell>
          <cell r="DK309">
            <v>0</v>
          </cell>
          <cell r="DL309">
            <v>0</v>
          </cell>
        </row>
        <row r="310">
          <cell r="A310">
            <v>1655</v>
          </cell>
          <cell r="B310" t="str">
            <v>Halderberge</v>
          </cell>
          <cell r="C310">
            <v>10</v>
          </cell>
          <cell r="D310">
            <v>-15555</v>
          </cell>
          <cell r="E310">
            <v>-7777</v>
          </cell>
          <cell r="F310">
            <v>0</v>
          </cell>
          <cell r="G310">
            <v>0</v>
          </cell>
          <cell r="H310">
            <v>-21789</v>
          </cell>
          <cell r="I310">
            <v>-3615</v>
          </cell>
          <cell r="K310">
            <v>0</v>
          </cell>
          <cell r="L310">
            <v>119158</v>
          </cell>
          <cell r="M310">
            <v>117346</v>
          </cell>
          <cell r="N310">
            <v>0</v>
          </cell>
          <cell r="O310">
            <v>0</v>
          </cell>
          <cell r="P310">
            <v>0</v>
          </cell>
          <cell r="Q310">
            <v>0</v>
          </cell>
          <cell r="R310">
            <v>0</v>
          </cell>
          <cell r="S310">
            <v>0</v>
          </cell>
          <cell r="T310">
            <v>0</v>
          </cell>
          <cell r="U310">
            <v>0</v>
          </cell>
          <cell r="V310">
            <v>12000</v>
          </cell>
          <cell r="W310">
            <v>65056</v>
          </cell>
          <cell r="X310">
            <v>0</v>
          </cell>
          <cell r="Z310">
            <v>0</v>
          </cell>
          <cell r="AA310">
            <v>0</v>
          </cell>
          <cell r="AB310">
            <v>0</v>
          </cell>
          <cell r="AD310">
            <v>0</v>
          </cell>
          <cell r="AE310">
            <v>0</v>
          </cell>
          <cell r="AF310">
            <v>0</v>
          </cell>
          <cell r="AG310">
            <v>0</v>
          </cell>
          <cell r="AH310">
            <v>0</v>
          </cell>
          <cell r="AI310">
            <v>0</v>
          </cell>
          <cell r="AJ310">
            <v>0</v>
          </cell>
          <cell r="AK310">
            <v>0</v>
          </cell>
          <cell r="AM310">
            <v>0</v>
          </cell>
          <cell r="AN310">
            <v>0</v>
          </cell>
          <cell r="AO310">
            <v>0</v>
          </cell>
          <cell r="AP310">
            <v>0</v>
          </cell>
          <cell r="AQ310">
            <v>0</v>
          </cell>
          <cell r="AR310">
            <v>0</v>
          </cell>
          <cell r="AS310">
            <v>0</v>
          </cell>
          <cell r="AT310">
            <v>0</v>
          </cell>
          <cell r="AU310">
            <v>2370</v>
          </cell>
          <cell r="AV310">
            <v>0</v>
          </cell>
          <cell r="AW310">
            <v>0</v>
          </cell>
          <cell r="AX310">
            <v>0</v>
          </cell>
          <cell r="BA310">
            <v>0</v>
          </cell>
          <cell r="BC310">
            <v>0</v>
          </cell>
          <cell r="BD310">
            <v>10383</v>
          </cell>
          <cell r="BF310">
            <v>0</v>
          </cell>
          <cell r="BG310">
            <v>0</v>
          </cell>
          <cell r="BH310">
            <v>0</v>
          </cell>
          <cell r="BI310">
            <v>39555</v>
          </cell>
          <cell r="BJ310">
            <v>32560</v>
          </cell>
          <cell r="BK310">
            <v>32560</v>
          </cell>
          <cell r="BL310">
            <v>0</v>
          </cell>
          <cell r="BM310">
            <v>0</v>
          </cell>
          <cell r="BN310">
            <v>0</v>
          </cell>
          <cell r="BO310">
            <v>159548</v>
          </cell>
          <cell r="BP310">
            <v>14232.6</v>
          </cell>
          <cell r="BQ310">
            <v>25639.534883720899</v>
          </cell>
          <cell r="BR310">
            <v>0</v>
          </cell>
          <cell r="BS310">
            <v>0</v>
          </cell>
          <cell r="BT310">
            <v>46920</v>
          </cell>
          <cell r="BY310">
            <v>0</v>
          </cell>
          <cell r="BZ310">
            <v>0</v>
          </cell>
          <cell r="CA310">
            <v>0</v>
          </cell>
          <cell r="CB310">
            <v>0</v>
          </cell>
          <cell r="CC310">
            <v>2629098</v>
          </cell>
          <cell r="CD310">
            <v>15591695</v>
          </cell>
          <cell r="CE310">
            <v>602617</v>
          </cell>
          <cell r="CF310">
            <v>0</v>
          </cell>
          <cell r="CG310">
            <v>602617</v>
          </cell>
          <cell r="CH310">
            <v>602617</v>
          </cell>
          <cell r="CI310">
            <v>602617</v>
          </cell>
          <cell r="CJ310">
            <v>602617</v>
          </cell>
          <cell r="CK310">
            <v>0</v>
          </cell>
          <cell r="CL310">
            <v>0</v>
          </cell>
          <cell r="CM310">
            <v>0</v>
          </cell>
          <cell r="CN310">
            <v>0</v>
          </cell>
          <cell r="CO310">
            <v>0</v>
          </cell>
          <cell r="CP310">
            <v>-1300</v>
          </cell>
          <cell r="CQ310">
            <v>5095329</v>
          </cell>
          <cell r="CR310">
            <v>4827977</v>
          </cell>
          <cell r="CS310">
            <v>4709184</v>
          </cell>
          <cell r="CT310">
            <v>4538712</v>
          </cell>
          <cell r="CU310">
            <v>4397756</v>
          </cell>
          <cell r="CV310">
            <v>61429</v>
          </cell>
          <cell r="CW310">
            <v>0</v>
          </cell>
          <cell r="CX310">
            <v>0</v>
          </cell>
          <cell r="CY310">
            <v>0</v>
          </cell>
          <cell r="CZ310">
            <v>0</v>
          </cell>
          <cell r="DA310">
            <v>0</v>
          </cell>
          <cell r="DC310">
            <v>0</v>
          </cell>
          <cell r="DD310">
            <v>0</v>
          </cell>
          <cell r="DE310">
            <v>0</v>
          </cell>
          <cell r="DF310">
            <v>0</v>
          </cell>
          <cell r="DG310">
            <v>0</v>
          </cell>
          <cell r="DH310">
            <v>0</v>
          </cell>
          <cell r="DI310">
            <v>0</v>
          </cell>
          <cell r="DJ310">
            <v>0</v>
          </cell>
          <cell r="DK310">
            <v>0</v>
          </cell>
          <cell r="DL310">
            <v>0</v>
          </cell>
        </row>
        <row r="311">
          <cell r="A311">
            <v>1658</v>
          </cell>
          <cell r="B311" t="str">
            <v>Heeze-Leende</v>
          </cell>
          <cell r="C311">
            <v>10</v>
          </cell>
          <cell r="D311">
            <v>-18272</v>
          </cell>
          <cell r="E311">
            <v>-9136</v>
          </cell>
          <cell r="F311">
            <v>0</v>
          </cell>
          <cell r="G311">
            <v>0</v>
          </cell>
          <cell r="H311">
            <v>-12242</v>
          </cell>
          <cell r="I311">
            <v>-9173</v>
          </cell>
          <cell r="K311">
            <v>0</v>
          </cell>
          <cell r="L311">
            <v>37504</v>
          </cell>
          <cell r="M311">
            <v>32449</v>
          </cell>
          <cell r="N311">
            <v>0</v>
          </cell>
          <cell r="O311">
            <v>0</v>
          </cell>
          <cell r="P311">
            <v>0</v>
          </cell>
          <cell r="Q311">
            <v>0</v>
          </cell>
          <cell r="R311">
            <v>0</v>
          </cell>
          <cell r="S311">
            <v>0</v>
          </cell>
          <cell r="T311">
            <v>0</v>
          </cell>
          <cell r="U311">
            <v>0</v>
          </cell>
          <cell r="V311">
            <v>3000</v>
          </cell>
          <cell r="W311">
            <v>60452</v>
          </cell>
          <cell r="X311">
            <v>0</v>
          </cell>
          <cell r="Z311">
            <v>0</v>
          </cell>
          <cell r="AA311">
            <v>0</v>
          </cell>
          <cell r="AB311">
            <v>0</v>
          </cell>
          <cell r="AD311">
            <v>0</v>
          </cell>
          <cell r="AE311">
            <v>0</v>
          </cell>
          <cell r="AF311">
            <v>0</v>
          </cell>
          <cell r="AG311">
            <v>0</v>
          </cell>
          <cell r="AH311">
            <v>0</v>
          </cell>
          <cell r="AI311">
            <v>0</v>
          </cell>
          <cell r="AJ311">
            <v>0</v>
          </cell>
          <cell r="AK311">
            <v>0</v>
          </cell>
          <cell r="AM311">
            <v>0</v>
          </cell>
          <cell r="AN311">
            <v>0</v>
          </cell>
          <cell r="AO311">
            <v>0</v>
          </cell>
          <cell r="AP311">
            <v>0</v>
          </cell>
          <cell r="AQ311">
            <v>0</v>
          </cell>
          <cell r="AR311">
            <v>0</v>
          </cell>
          <cell r="AS311">
            <v>0</v>
          </cell>
          <cell r="AT311">
            <v>0</v>
          </cell>
          <cell r="AU311">
            <v>2370</v>
          </cell>
          <cell r="AV311">
            <v>0</v>
          </cell>
          <cell r="AW311">
            <v>0</v>
          </cell>
          <cell r="AX311">
            <v>0</v>
          </cell>
          <cell r="BA311">
            <v>0</v>
          </cell>
          <cell r="BC311">
            <v>0</v>
          </cell>
          <cell r="BD311">
            <v>5516</v>
          </cell>
          <cell r="BF311">
            <v>0</v>
          </cell>
          <cell r="BG311">
            <v>0</v>
          </cell>
          <cell r="BH311">
            <v>0</v>
          </cell>
          <cell r="BI311">
            <v>14046</v>
          </cell>
          <cell r="BJ311">
            <v>11562</v>
          </cell>
          <cell r="BK311">
            <v>11562</v>
          </cell>
          <cell r="BL311">
            <v>0</v>
          </cell>
          <cell r="BM311">
            <v>0</v>
          </cell>
          <cell r="BN311">
            <v>0</v>
          </cell>
          <cell r="BO311">
            <v>40860</v>
          </cell>
          <cell r="BP311">
            <v>4744.2</v>
          </cell>
          <cell r="BQ311">
            <v>8546.5116279069807</v>
          </cell>
          <cell r="BR311">
            <v>0</v>
          </cell>
          <cell r="BS311">
            <v>0</v>
          </cell>
          <cell r="BT311">
            <v>25076</v>
          </cell>
          <cell r="BY311">
            <v>0</v>
          </cell>
          <cell r="BZ311">
            <v>0</v>
          </cell>
          <cell r="CA311">
            <v>0</v>
          </cell>
          <cell r="CB311">
            <v>0</v>
          </cell>
          <cell r="CC311">
            <v>1291128</v>
          </cell>
          <cell r="CD311">
            <v>5218130</v>
          </cell>
          <cell r="CE311">
            <v>194636</v>
          </cell>
          <cell r="CF311">
            <v>0</v>
          </cell>
          <cell r="CG311">
            <v>194636</v>
          </cell>
          <cell r="CH311">
            <v>194636</v>
          </cell>
          <cell r="CI311">
            <v>194636</v>
          </cell>
          <cell r="CJ311">
            <v>194636</v>
          </cell>
          <cell r="CK311">
            <v>0</v>
          </cell>
          <cell r="CL311">
            <v>0</v>
          </cell>
          <cell r="CM311">
            <v>0</v>
          </cell>
          <cell r="CN311">
            <v>0</v>
          </cell>
          <cell r="CO311">
            <v>0</v>
          </cell>
          <cell r="CP311">
            <v>-3287</v>
          </cell>
          <cell r="CQ311">
            <v>1033738</v>
          </cell>
          <cell r="CR311">
            <v>988655</v>
          </cell>
          <cell r="CS311">
            <v>959947</v>
          </cell>
          <cell r="CT311">
            <v>939459</v>
          </cell>
          <cell r="CU311">
            <v>937528</v>
          </cell>
          <cell r="CV311">
            <v>44723</v>
          </cell>
          <cell r="CW311">
            <v>0</v>
          </cell>
          <cell r="CX311">
            <v>0</v>
          </cell>
          <cell r="CY311">
            <v>0</v>
          </cell>
          <cell r="CZ311">
            <v>0</v>
          </cell>
          <cell r="DA311">
            <v>0</v>
          </cell>
          <cell r="DC311">
            <v>0</v>
          </cell>
          <cell r="DD311">
            <v>0</v>
          </cell>
          <cell r="DE311">
            <v>0</v>
          </cell>
          <cell r="DF311">
            <v>0</v>
          </cell>
          <cell r="DG311">
            <v>0</v>
          </cell>
          <cell r="DH311">
            <v>0</v>
          </cell>
          <cell r="DI311">
            <v>0</v>
          </cell>
          <cell r="DJ311">
            <v>0</v>
          </cell>
          <cell r="DK311">
            <v>0</v>
          </cell>
          <cell r="DL311">
            <v>0</v>
          </cell>
        </row>
        <row r="312">
          <cell r="A312">
            <v>794</v>
          </cell>
          <cell r="B312" t="str">
            <v>Helmond</v>
          </cell>
          <cell r="C312">
            <v>10</v>
          </cell>
          <cell r="D312">
            <v>179883</v>
          </cell>
          <cell r="E312">
            <v>89941</v>
          </cell>
          <cell r="F312">
            <v>0</v>
          </cell>
          <cell r="G312">
            <v>0</v>
          </cell>
          <cell r="H312">
            <v>-20736</v>
          </cell>
          <cell r="I312">
            <v>-3667</v>
          </cell>
          <cell r="K312">
            <v>9380</v>
          </cell>
          <cell r="L312">
            <v>595929</v>
          </cell>
          <cell r="M312">
            <v>603373</v>
          </cell>
          <cell r="N312">
            <v>0</v>
          </cell>
          <cell r="O312">
            <v>0</v>
          </cell>
          <cell r="P312">
            <v>0</v>
          </cell>
          <cell r="Q312">
            <v>0</v>
          </cell>
          <cell r="R312">
            <v>0</v>
          </cell>
          <cell r="S312">
            <v>685676</v>
          </cell>
          <cell r="T312">
            <v>618554</v>
          </cell>
          <cell r="U312">
            <v>666296</v>
          </cell>
          <cell r="V312">
            <v>15500</v>
          </cell>
          <cell r="W312">
            <v>359988</v>
          </cell>
          <cell r="X312">
            <v>0</v>
          </cell>
          <cell r="Z312">
            <v>0</v>
          </cell>
          <cell r="AA312">
            <v>40000</v>
          </cell>
          <cell r="AB312">
            <v>0</v>
          </cell>
          <cell r="AD312">
            <v>157425</v>
          </cell>
          <cell r="AE312">
            <v>0</v>
          </cell>
          <cell r="AF312">
            <v>0</v>
          </cell>
          <cell r="AG312">
            <v>0</v>
          </cell>
          <cell r="AH312">
            <v>0</v>
          </cell>
          <cell r="AI312">
            <v>0</v>
          </cell>
          <cell r="AJ312">
            <v>0</v>
          </cell>
          <cell r="AK312">
            <v>264084</v>
          </cell>
          <cell r="AM312">
            <v>0</v>
          </cell>
          <cell r="AN312">
            <v>0</v>
          </cell>
          <cell r="AO312">
            <v>0</v>
          </cell>
          <cell r="AP312">
            <v>0</v>
          </cell>
          <cell r="AQ312">
            <v>0</v>
          </cell>
          <cell r="AR312">
            <v>0</v>
          </cell>
          <cell r="AS312">
            <v>0</v>
          </cell>
          <cell r="AT312">
            <v>20000</v>
          </cell>
          <cell r="AU312">
            <v>21330</v>
          </cell>
          <cell r="AV312">
            <v>3083751.2513611601</v>
          </cell>
          <cell r="AW312">
            <v>0</v>
          </cell>
          <cell r="AX312">
            <v>0</v>
          </cell>
          <cell r="BA312">
            <v>0</v>
          </cell>
          <cell r="BC312">
            <v>0</v>
          </cell>
          <cell r="BD312">
            <v>31805</v>
          </cell>
          <cell r="BF312">
            <v>0</v>
          </cell>
          <cell r="BG312">
            <v>0</v>
          </cell>
          <cell r="BH312">
            <v>0</v>
          </cell>
          <cell r="BI312">
            <v>161237</v>
          </cell>
          <cell r="BJ312">
            <v>132722</v>
          </cell>
          <cell r="BK312">
            <v>132722</v>
          </cell>
          <cell r="BL312">
            <v>0</v>
          </cell>
          <cell r="BM312">
            <v>0</v>
          </cell>
          <cell r="BN312">
            <v>0</v>
          </cell>
          <cell r="BO312">
            <v>176573</v>
          </cell>
          <cell r="BP312">
            <v>36372.199999999997</v>
          </cell>
          <cell r="BQ312">
            <v>65523.255813953503</v>
          </cell>
          <cell r="BR312">
            <v>0</v>
          </cell>
          <cell r="BS312">
            <v>0</v>
          </cell>
          <cell r="BT312">
            <v>160628</v>
          </cell>
          <cell r="BY312">
            <v>1236416.7819186701</v>
          </cell>
          <cell r="BZ312">
            <v>1433295.8331939001</v>
          </cell>
          <cell r="CA312">
            <v>1450114.64661943</v>
          </cell>
          <cell r="CB312">
            <v>1497603.0609973699</v>
          </cell>
          <cell r="CC312">
            <v>6969568</v>
          </cell>
          <cell r="CD312">
            <v>80642915</v>
          </cell>
          <cell r="CE312">
            <v>4549214</v>
          </cell>
          <cell r="CF312">
            <v>0</v>
          </cell>
          <cell r="CG312">
            <v>4549214</v>
          </cell>
          <cell r="CH312">
            <v>4549214</v>
          </cell>
          <cell r="CI312">
            <v>4549214</v>
          </cell>
          <cell r="CJ312">
            <v>4549214</v>
          </cell>
          <cell r="CK312">
            <v>20968562</v>
          </cell>
          <cell r="CL312">
            <v>20958038</v>
          </cell>
          <cell r="CM312">
            <v>20957867</v>
          </cell>
          <cell r="CN312">
            <v>20957493</v>
          </cell>
          <cell r="CO312">
            <v>20958012</v>
          </cell>
          <cell r="CP312">
            <v>-1318</v>
          </cell>
          <cell r="CQ312">
            <v>18461510</v>
          </cell>
          <cell r="CR312">
            <v>17646343</v>
          </cell>
          <cell r="CS312">
            <v>17291309</v>
          </cell>
          <cell r="CT312">
            <v>17007691</v>
          </cell>
          <cell r="CU312">
            <v>16658269</v>
          </cell>
          <cell r="CV312">
            <v>-170077</v>
          </cell>
          <cell r="CW312">
            <v>0</v>
          </cell>
          <cell r="CX312">
            <v>0</v>
          </cell>
          <cell r="CY312">
            <v>0</v>
          </cell>
          <cell r="CZ312">
            <v>0</v>
          </cell>
          <cell r="DA312">
            <v>0</v>
          </cell>
          <cell r="DC312">
            <v>240000</v>
          </cell>
          <cell r="DD312">
            <v>0</v>
          </cell>
          <cell r="DE312">
            <v>0</v>
          </cell>
          <cell r="DF312">
            <v>0</v>
          </cell>
          <cell r="DG312">
            <v>0</v>
          </cell>
          <cell r="DH312">
            <v>0</v>
          </cell>
          <cell r="DI312">
            <v>0</v>
          </cell>
          <cell r="DJ312">
            <v>0</v>
          </cell>
          <cell r="DK312">
            <v>0</v>
          </cell>
          <cell r="DL312">
            <v>0</v>
          </cell>
        </row>
        <row r="313">
          <cell r="A313">
            <v>797</v>
          </cell>
          <cell r="B313" t="str">
            <v>Heusden</v>
          </cell>
          <cell r="C313">
            <v>10</v>
          </cell>
          <cell r="D313">
            <v>-102771</v>
          </cell>
          <cell r="E313">
            <v>-51385</v>
          </cell>
          <cell r="F313">
            <v>0</v>
          </cell>
          <cell r="G313">
            <v>42152</v>
          </cell>
          <cell r="H313">
            <v>-31927</v>
          </cell>
          <cell r="I313">
            <v>-21305</v>
          </cell>
          <cell r="K313">
            <v>0</v>
          </cell>
          <cell r="L313">
            <v>160840</v>
          </cell>
          <cell r="M313">
            <v>155605</v>
          </cell>
          <cell r="N313">
            <v>0</v>
          </cell>
          <cell r="O313">
            <v>0</v>
          </cell>
          <cell r="P313">
            <v>0</v>
          </cell>
          <cell r="Q313">
            <v>0</v>
          </cell>
          <cell r="R313">
            <v>0</v>
          </cell>
          <cell r="S313">
            <v>0</v>
          </cell>
          <cell r="T313">
            <v>0</v>
          </cell>
          <cell r="U313">
            <v>0</v>
          </cell>
          <cell r="V313">
            <v>6000</v>
          </cell>
          <cell r="W313">
            <v>180383</v>
          </cell>
          <cell r="X313">
            <v>0</v>
          </cell>
          <cell r="Z313">
            <v>0</v>
          </cell>
          <cell r="AA313">
            <v>0</v>
          </cell>
          <cell r="AB313">
            <v>0</v>
          </cell>
          <cell r="AD313">
            <v>0</v>
          </cell>
          <cell r="AE313">
            <v>0</v>
          </cell>
          <cell r="AF313">
            <v>0</v>
          </cell>
          <cell r="AG313">
            <v>0</v>
          </cell>
          <cell r="AH313">
            <v>0</v>
          </cell>
          <cell r="AI313">
            <v>0</v>
          </cell>
          <cell r="AJ313">
            <v>0</v>
          </cell>
          <cell r="AK313">
            <v>0</v>
          </cell>
          <cell r="AM313">
            <v>0</v>
          </cell>
          <cell r="AN313">
            <v>0</v>
          </cell>
          <cell r="AO313">
            <v>0</v>
          </cell>
          <cell r="AP313">
            <v>0</v>
          </cell>
          <cell r="AQ313">
            <v>0</v>
          </cell>
          <cell r="AR313">
            <v>0</v>
          </cell>
          <cell r="AS313">
            <v>0</v>
          </cell>
          <cell r="AT313">
            <v>0</v>
          </cell>
          <cell r="AU313">
            <v>4740</v>
          </cell>
          <cell r="AV313">
            <v>0</v>
          </cell>
          <cell r="AW313">
            <v>0</v>
          </cell>
          <cell r="AX313">
            <v>0</v>
          </cell>
          <cell r="BA313">
            <v>0</v>
          </cell>
          <cell r="BC313">
            <v>0</v>
          </cell>
          <cell r="BD313">
            <v>15276</v>
          </cell>
          <cell r="BF313">
            <v>0</v>
          </cell>
          <cell r="BG313">
            <v>0</v>
          </cell>
          <cell r="BH313">
            <v>0</v>
          </cell>
          <cell r="BI313">
            <v>51910</v>
          </cell>
          <cell r="BJ313">
            <v>42730</v>
          </cell>
          <cell r="BK313">
            <v>42730</v>
          </cell>
          <cell r="BL313">
            <v>0</v>
          </cell>
          <cell r="BM313">
            <v>0</v>
          </cell>
          <cell r="BN313">
            <v>0</v>
          </cell>
          <cell r="BO313">
            <v>81720</v>
          </cell>
          <cell r="BP313">
            <v>25302.400000000001</v>
          </cell>
          <cell r="BQ313">
            <v>45581.395348837199</v>
          </cell>
          <cell r="BR313">
            <v>0</v>
          </cell>
          <cell r="BS313">
            <v>0</v>
          </cell>
          <cell r="BT313">
            <v>63557</v>
          </cell>
          <cell r="BY313">
            <v>0</v>
          </cell>
          <cell r="BZ313">
            <v>0</v>
          </cell>
          <cell r="CA313">
            <v>0</v>
          </cell>
          <cell r="CB313">
            <v>0</v>
          </cell>
          <cell r="CC313">
            <v>3163174</v>
          </cell>
          <cell r="CD313">
            <v>16815720</v>
          </cell>
          <cell r="CE313">
            <v>774576</v>
          </cell>
          <cell r="CF313">
            <v>-2495</v>
          </cell>
          <cell r="CG313">
            <v>774576</v>
          </cell>
          <cell r="CH313">
            <v>774576</v>
          </cell>
          <cell r="CI313">
            <v>774576</v>
          </cell>
          <cell r="CJ313">
            <v>774576</v>
          </cell>
          <cell r="CK313">
            <v>0</v>
          </cell>
          <cell r="CL313">
            <v>0</v>
          </cell>
          <cell r="CM313">
            <v>0</v>
          </cell>
          <cell r="CN313">
            <v>0</v>
          </cell>
          <cell r="CO313">
            <v>0</v>
          </cell>
          <cell r="CP313">
            <v>-7330</v>
          </cell>
          <cell r="CQ313">
            <v>3749092</v>
          </cell>
          <cell r="CR313">
            <v>3586474</v>
          </cell>
          <cell r="CS313">
            <v>3509436</v>
          </cell>
          <cell r="CT313">
            <v>3418766</v>
          </cell>
          <cell r="CU313">
            <v>3334634</v>
          </cell>
          <cell r="CV313">
            <v>-41657</v>
          </cell>
          <cell r="CW313">
            <v>0</v>
          </cell>
          <cell r="CX313">
            <v>0</v>
          </cell>
          <cell r="CY313">
            <v>0</v>
          </cell>
          <cell r="CZ313">
            <v>0</v>
          </cell>
          <cell r="DA313">
            <v>0</v>
          </cell>
          <cell r="DC313">
            <v>0</v>
          </cell>
          <cell r="DD313">
            <v>0</v>
          </cell>
          <cell r="DE313">
            <v>0</v>
          </cell>
          <cell r="DF313">
            <v>0</v>
          </cell>
          <cell r="DG313">
            <v>0</v>
          </cell>
          <cell r="DH313">
            <v>0</v>
          </cell>
          <cell r="DI313">
            <v>0</v>
          </cell>
          <cell r="DJ313">
            <v>0</v>
          </cell>
          <cell r="DK313">
            <v>0</v>
          </cell>
          <cell r="DL313">
            <v>0</v>
          </cell>
        </row>
        <row r="314">
          <cell r="A314">
            <v>798</v>
          </cell>
          <cell r="B314" t="str">
            <v>Hilvarenbeek</v>
          </cell>
          <cell r="C314">
            <v>10</v>
          </cell>
          <cell r="D314">
            <v>-10059</v>
          </cell>
          <cell r="E314">
            <v>-5029</v>
          </cell>
          <cell r="F314">
            <v>0</v>
          </cell>
          <cell r="G314">
            <v>0</v>
          </cell>
          <cell r="H314">
            <v>-16553</v>
          </cell>
          <cell r="I314">
            <v>-9025</v>
          </cell>
          <cell r="K314">
            <v>0</v>
          </cell>
          <cell r="L314">
            <v>38797</v>
          </cell>
          <cell r="M314">
            <v>35711</v>
          </cell>
          <cell r="N314">
            <v>0</v>
          </cell>
          <cell r="O314">
            <v>0</v>
          </cell>
          <cell r="P314">
            <v>0</v>
          </cell>
          <cell r="Q314">
            <v>0</v>
          </cell>
          <cell r="R314">
            <v>0</v>
          </cell>
          <cell r="S314">
            <v>0</v>
          </cell>
          <cell r="T314">
            <v>0</v>
          </cell>
          <cell r="U314">
            <v>0</v>
          </cell>
          <cell r="V314">
            <v>0</v>
          </cell>
          <cell r="W314">
            <v>66672</v>
          </cell>
          <cell r="X314">
            <v>0</v>
          </cell>
          <cell r="Z314">
            <v>0</v>
          </cell>
          <cell r="AA314">
            <v>0</v>
          </cell>
          <cell r="AB314">
            <v>0</v>
          </cell>
          <cell r="AD314">
            <v>0</v>
          </cell>
          <cell r="AE314">
            <v>0</v>
          </cell>
          <cell r="AF314">
            <v>0</v>
          </cell>
          <cell r="AG314">
            <v>0</v>
          </cell>
          <cell r="AH314">
            <v>0</v>
          </cell>
          <cell r="AI314">
            <v>0</v>
          </cell>
          <cell r="AJ314">
            <v>0</v>
          </cell>
          <cell r="AK314">
            <v>0</v>
          </cell>
          <cell r="AM314">
            <v>0</v>
          </cell>
          <cell r="AN314">
            <v>0</v>
          </cell>
          <cell r="AO314">
            <v>0</v>
          </cell>
          <cell r="AP314">
            <v>0</v>
          </cell>
          <cell r="AQ314">
            <v>0</v>
          </cell>
          <cell r="AR314">
            <v>0</v>
          </cell>
          <cell r="AS314">
            <v>0</v>
          </cell>
          <cell r="AT314">
            <v>0</v>
          </cell>
          <cell r="AU314">
            <v>0</v>
          </cell>
          <cell r="AV314">
            <v>0</v>
          </cell>
          <cell r="AW314">
            <v>0</v>
          </cell>
          <cell r="AX314">
            <v>0</v>
          </cell>
          <cell r="BA314">
            <v>0</v>
          </cell>
          <cell r="BC314">
            <v>0</v>
          </cell>
          <cell r="BD314">
            <v>5365</v>
          </cell>
          <cell r="BF314">
            <v>0</v>
          </cell>
          <cell r="BG314">
            <v>0</v>
          </cell>
          <cell r="BH314">
            <v>0</v>
          </cell>
          <cell r="BI314">
            <v>14719</v>
          </cell>
          <cell r="BJ314">
            <v>12116</v>
          </cell>
          <cell r="BK314">
            <v>12116</v>
          </cell>
          <cell r="BL314">
            <v>0</v>
          </cell>
          <cell r="BM314">
            <v>0</v>
          </cell>
          <cell r="BN314">
            <v>0</v>
          </cell>
          <cell r="BO314">
            <v>109933</v>
          </cell>
          <cell r="BP314">
            <v>6325.6</v>
          </cell>
          <cell r="BQ314">
            <v>11395.3488372093</v>
          </cell>
          <cell r="BR314">
            <v>0</v>
          </cell>
          <cell r="BS314">
            <v>0</v>
          </cell>
          <cell r="BT314">
            <v>26508</v>
          </cell>
          <cell r="BY314">
            <v>0</v>
          </cell>
          <cell r="BZ314">
            <v>0</v>
          </cell>
          <cell r="CA314">
            <v>0</v>
          </cell>
          <cell r="CB314">
            <v>0</v>
          </cell>
          <cell r="CC314">
            <v>1064458</v>
          </cell>
          <cell r="CD314">
            <v>5646616</v>
          </cell>
          <cell r="CE314">
            <v>222977</v>
          </cell>
          <cell r="CF314">
            <v>-6979</v>
          </cell>
          <cell r="CG314">
            <v>222977</v>
          </cell>
          <cell r="CH314">
            <v>222977</v>
          </cell>
          <cell r="CI314">
            <v>222977</v>
          </cell>
          <cell r="CJ314">
            <v>222977</v>
          </cell>
          <cell r="CK314">
            <v>0</v>
          </cell>
          <cell r="CL314">
            <v>0</v>
          </cell>
          <cell r="CM314">
            <v>0</v>
          </cell>
          <cell r="CN314">
            <v>0</v>
          </cell>
          <cell r="CO314">
            <v>0</v>
          </cell>
          <cell r="CP314">
            <v>-2228</v>
          </cell>
          <cell r="CQ314">
            <v>1506496</v>
          </cell>
          <cell r="CR314">
            <v>1422059</v>
          </cell>
          <cell r="CS314">
            <v>1346921</v>
          </cell>
          <cell r="CT314">
            <v>1318160</v>
          </cell>
          <cell r="CU314">
            <v>1312738</v>
          </cell>
          <cell r="CV314">
            <v>27781</v>
          </cell>
          <cell r="CW314">
            <v>0</v>
          </cell>
          <cell r="CX314">
            <v>0</v>
          </cell>
          <cell r="CY314">
            <v>0</v>
          </cell>
          <cell r="CZ314">
            <v>0</v>
          </cell>
          <cell r="DA314">
            <v>0</v>
          </cell>
          <cell r="DC314">
            <v>0</v>
          </cell>
          <cell r="DD314">
            <v>0</v>
          </cell>
          <cell r="DE314">
            <v>0</v>
          </cell>
          <cell r="DF314">
            <v>0</v>
          </cell>
          <cell r="DG314">
            <v>0</v>
          </cell>
          <cell r="DH314">
            <v>0</v>
          </cell>
          <cell r="DI314">
            <v>0</v>
          </cell>
          <cell r="DJ314">
            <v>0</v>
          </cell>
          <cell r="DK314">
            <v>0</v>
          </cell>
          <cell r="DL314">
            <v>0</v>
          </cell>
        </row>
        <row r="315">
          <cell r="A315">
            <v>1659</v>
          </cell>
          <cell r="B315" t="str">
            <v>Laarbeek</v>
          </cell>
          <cell r="C315">
            <v>10</v>
          </cell>
          <cell r="D315">
            <v>-29159</v>
          </cell>
          <cell r="E315">
            <v>-14580</v>
          </cell>
          <cell r="F315">
            <v>0</v>
          </cell>
          <cell r="G315">
            <v>0</v>
          </cell>
          <cell r="H315">
            <v>-11712</v>
          </cell>
          <cell r="I315">
            <v>-5974</v>
          </cell>
          <cell r="K315">
            <v>0</v>
          </cell>
          <cell r="L315">
            <v>76162</v>
          </cell>
          <cell r="M315">
            <v>67041</v>
          </cell>
          <cell r="N315">
            <v>0</v>
          </cell>
          <cell r="O315">
            <v>0</v>
          </cell>
          <cell r="P315">
            <v>0</v>
          </cell>
          <cell r="Q315">
            <v>0</v>
          </cell>
          <cell r="R315">
            <v>0</v>
          </cell>
          <cell r="S315">
            <v>0</v>
          </cell>
          <cell r="T315">
            <v>0</v>
          </cell>
          <cell r="U315">
            <v>0</v>
          </cell>
          <cell r="V315">
            <v>0</v>
          </cell>
          <cell r="W315">
            <v>88636</v>
          </cell>
          <cell r="X315">
            <v>0</v>
          </cell>
          <cell r="Z315">
            <v>0</v>
          </cell>
          <cell r="AA315">
            <v>0</v>
          </cell>
          <cell r="AB315">
            <v>0</v>
          </cell>
          <cell r="AD315">
            <v>0</v>
          </cell>
          <cell r="AE315">
            <v>0</v>
          </cell>
          <cell r="AF315">
            <v>0</v>
          </cell>
          <cell r="AG315">
            <v>0</v>
          </cell>
          <cell r="AH315">
            <v>0</v>
          </cell>
          <cell r="AI315">
            <v>0</v>
          </cell>
          <cell r="AJ315">
            <v>0</v>
          </cell>
          <cell r="AK315">
            <v>0</v>
          </cell>
          <cell r="AM315">
            <v>0</v>
          </cell>
          <cell r="AN315">
            <v>0</v>
          </cell>
          <cell r="AO315">
            <v>0</v>
          </cell>
          <cell r="AP315">
            <v>0</v>
          </cell>
          <cell r="AQ315">
            <v>0</v>
          </cell>
          <cell r="AR315">
            <v>0</v>
          </cell>
          <cell r="AS315">
            <v>0</v>
          </cell>
          <cell r="AT315">
            <v>0</v>
          </cell>
          <cell r="AU315">
            <v>2370</v>
          </cell>
          <cell r="AV315">
            <v>0</v>
          </cell>
          <cell r="AW315">
            <v>0</v>
          </cell>
          <cell r="AX315">
            <v>0</v>
          </cell>
          <cell r="BA315">
            <v>0</v>
          </cell>
          <cell r="BC315">
            <v>0</v>
          </cell>
          <cell r="BD315">
            <v>7702</v>
          </cell>
          <cell r="BF315">
            <v>0</v>
          </cell>
          <cell r="BG315">
            <v>0</v>
          </cell>
          <cell r="BH315">
            <v>0</v>
          </cell>
          <cell r="BI315">
            <v>27454</v>
          </cell>
          <cell r="BJ315">
            <v>22599</v>
          </cell>
          <cell r="BK315">
            <v>22599</v>
          </cell>
          <cell r="BL315">
            <v>0</v>
          </cell>
          <cell r="BM315">
            <v>0</v>
          </cell>
          <cell r="BN315">
            <v>0</v>
          </cell>
          <cell r="BO315">
            <v>79288</v>
          </cell>
          <cell r="BP315">
            <v>3162.8</v>
          </cell>
          <cell r="BQ315">
            <v>5697.6744186046499</v>
          </cell>
          <cell r="BR315">
            <v>0</v>
          </cell>
          <cell r="BS315">
            <v>0</v>
          </cell>
          <cell r="BT315">
            <v>35058</v>
          </cell>
          <cell r="BY315">
            <v>0</v>
          </cell>
          <cell r="BZ315">
            <v>0</v>
          </cell>
          <cell r="CA315">
            <v>0</v>
          </cell>
          <cell r="CB315">
            <v>0</v>
          </cell>
          <cell r="CC315">
            <v>1669128</v>
          </cell>
          <cell r="CD315">
            <v>9678690</v>
          </cell>
          <cell r="CE315">
            <v>629068</v>
          </cell>
          <cell r="CF315">
            <v>-2520</v>
          </cell>
          <cell r="CG315">
            <v>629068</v>
          </cell>
          <cell r="CH315">
            <v>629068</v>
          </cell>
          <cell r="CI315">
            <v>629068</v>
          </cell>
          <cell r="CJ315">
            <v>629068</v>
          </cell>
          <cell r="CK315">
            <v>0</v>
          </cell>
          <cell r="CL315">
            <v>0</v>
          </cell>
          <cell r="CM315">
            <v>0</v>
          </cell>
          <cell r="CN315">
            <v>0</v>
          </cell>
          <cell r="CO315">
            <v>0</v>
          </cell>
          <cell r="CP315">
            <v>-1771</v>
          </cell>
          <cell r="CQ315">
            <v>2609542</v>
          </cell>
          <cell r="CR315">
            <v>2442743</v>
          </cell>
          <cell r="CS315">
            <v>2359464</v>
          </cell>
          <cell r="CT315">
            <v>2269470</v>
          </cell>
          <cell r="CU315">
            <v>2188234</v>
          </cell>
          <cell r="CV315">
            <v>3873</v>
          </cell>
          <cell r="CW315">
            <v>0</v>
          </cell>
          <cell r="CX315">
            <v>0</v>
          </cell>
          <cell r="CY315">
            <v>0</v>
          </cell>
          <cell r="CZ315">
            <v>0</v>
          </cell>
          <cell r="DA315">
            <v>0</v>
          </cell>
          <cell r="DC315">
            <v>0</v>
          </cell>
          <cell r="DD315">
            <v>0</v>
          </cell>
          <cell r="DE315">
            <v>0</v>
          </cell>
          <cell r="DF315">
            <v>0</v>
          </cell>
          <cell r="DG315">
            <v>0</v>
          </cell>
          <cell r="DH315">
            <v>0</v>
          </cell>
          <cell r="DI315">
            <v>0</v>
          </cell>
          <cell r="DJ315">
            <v>0</v>
          </cell>
          <cell r="DK315">
            <v>0</v>
          </cell>
          <cell r="DL315">
            <v>0</v>
          </cell>
        </row>
        <row r="316">
          <cell r="A316">
            <v>1685</v>
          </cell>
          <cell r="B316" t="str">
            <v>Landerd</v>
          </cell>
          <cell r="C316">
            <v>10</v>
          </cell>
          <cell r="D316">
            <v>-24691</v>
          </cell>
          <cell r="E316">
            <v>-12346</v>
          </cell>
          <cell r="F316">
            <v>0</v>
          </cell>
          <cell r="G316">
            <v>0</v>
          </cell>
          <cell r="H316">
            <v>-9040</v>
          </cell>
          <cell r="I316">
            <v>-2812</v>
          </cell>
          <cell r="K316">
            <v>0</v>
          </cell>
          <cell r="L316">
            <v>45025</v>
          </cell>
          <cell r="M316">
            <v>36163</v>
          </cell>
          <cell r="N316">
            <v>0</v>
          </cell>
          <cell r="O316">
            <v>0</v>
          </cell>
          <cell r="P316">
            <v>0</v>
          </cell>
          <cell r="Q316">
            <v>0</v>
          </cell>
          <cell r="R316">
            <v>0</v>
          </cell>
          <cell r="S316">
            <v>0</v>
          </cell>
          <cell r="T316">
            <v>0</v>
          </cell>
          <cell r="U316">
            <v>0</v>
          </cell>
          <cell r="V316">
            <v>0</v>
          </cell>
          <cell r="W316">
            <v>46468</v>
          </cell>
          <cell r="X316">
            <v>0</v>
          </cell>
          <cell r="Z316">
            <v>0</v>
          </cell>
          <cell r="AA316">
            <v>0</v>
          </cell>
          <cell r="AB316">
            <v>0</v>
          </cell>
          <cell r="AD316">
            <v>0</v>
          </cell>
          <cell r="AE316">
            <v>0</v>
          </cell>
          <cell r="AF316">
            <v>0</v>
          </cell>
          <cell r="AG316">
            <v>0</v>
          </cell>
          <cell r="AH316">
            <v>0</v>
          </cell>
          <cell r="AI316">
            <v>0</v>
          </cell>
          <cell r="AJ316">
            <v>0</v>
          </cell>
          <cell r="AK316">
            <v>0</v>
          </cell>
          <cell r="AM316">
            <v>0</v>
          </cell>
          <cell r="AN316">
            <v>0</v>
          </cell>
          <cell r="AO316">
            <v>0</v>
          </cell>
          <cell r="AP316">
            <v>0</v>
          </cell>
          <cell r="AQ316">
            <v>0</v>
          </cell>
          <cell r="AR316">
            <v>0</v>
          </cell>
          <cell r="AS316">
            <v>0</v>
          </cell>
          <cell r="AT316">
            <v>0</v>
          </cell>
          <cell r="AU316">
            <v>0</v>
          </cell>
          <cell r="AV316">
            <v>0</v>
          </cell>
          <cell r="AW316">
            <v>0</v>
          </cell>
          <cell r="AX316">
            <v>0</v>
          </cell>
          <cell r="BA316">
            <v>0</v>
          </cell>
          <cell r="BC316">
            <v>0</v>
          </cell>
          <cell r="BD316">
            <v>5382</v>
          </cell>
          <cell r="BF316">
            <v>0</v>
          </cell>
          <cell r="BG316">
            <v>0</v>
          </cell>
          <cell r="BH316">
            <v>0</v>
          </cell>
          <cell r="BI316">
            <v>15110</v>
          </cell>
          <cell r="BJ316">
            <v>12437</v>
          </cell>
          <cell r="BK316">
            <v>12437</v>
          </cell>
          <cell r="BL316">
            <v>0</v>
          </cell>
          <cell r="BM316">
            <v>0</v>
          </cell>
          <cell r="BN316">
            <v>0</v>
          </cell>
          <cell r="BO316">
            <v>114311</v>
          </cell>
          <cell r="BP316">
            <v>0</v>
          </cell>
          <cell r="BQ316">
            <v>0</v>
          </cell>
          <cell r="BR316">
            <v>0</v>
          </cell>
          <cell r="BS316">
            <v>0</v>
          </cell>
          <cell r="BT316">
            <v>25623</v>
          </cell>
          <cell r="BY316">
            <v>0</v>
          </cell>
          <cell r="BZ316">
            <v>0</v>
          </cell>
          <cell r="CA316">
            <v>0</v>
          </cell>
          <cell r="CB316">
            <v>0</v>
          </cell>
          <cell r="CC316">
            <v>1079876</v>
          </cell>
          <cell r="CD316">
            <v>7538270</v>
          </cell>
          <cell r="CE316">
            <v>1098311</v>
          </cell>
          <cell r="CF316">
            <v>0</v>
          </cell>
          <cell r="CG316">
            <v>1098311</v>
          </cell>
          <cell r="CH316">
            <v>1098311</v>
          </cell>
          <cell r="CI316">
            <v>1098311</v>
          </cell>
          <cell r="CJ316">
            <v>1098311</v>
          </cell>
          <cell r="CK316">
            <v>0</v>
          </cell>
          <cell r="CL316">
            <v>0</v>
          </cell>
          <cell r="CM316">
            <v>0</v>
          </cell>
          <cell r="CN316">
            <v>0</v>
          </cell>
          <cell r="CO316">
            <v>0</v>
          </cell>
          <cell r="CP316">
            <v>-1014</v>
          </cell>
          <cell r="CQ316">
            <v>1990831</v>
          </cell>
          <cell r="CR316">
            <v>1837846</v>
          </cell>
          <cell r="CS316">
            <v>1739575</v>
          </cell>
          <cell r="CT316">
            <v>1660260</v>
          </cell>
          <cell r="CU316">
            <v>1589107</v>
          </cell>
          <cell r="CV316">
            <v>10954</v>
          </cell>
          <cell r="CW316">
            <v>0</v>
          </cell>
          <cell r="CX316">
            <v>0</v>
          </cell>
          <cell r="CY316">
            <v>0</v>
          </cell>
          <cell r="CZ316">
            <v>0</v>
          </cell>
          <cell r="DA316">
            <v>0</v>
          </cell>
          <cell r="DC316">
            <v>0</v>
          </cell>
          <cell r="DD316">
            <v>0</v>
          </cell>
          <cell r="DE316">
            <v>0</v>
          </cell>
          <cell r="DF316">
            <v>0</v>
          </cell>
          <cell r="DG316">
            <v>0</v>
          </cell>
          <cell r="DH316">
            <v>0</v>
          </cell>
          <cell r="DI316">
            <v>0</v>
          </cell>
          <cell r="DJ316">
            <v>0</v>
          </cell>
          <cell r="DK316">
            <v>0</v>
          </cell>
          <cell r="DL316">
            <v>0</v>
          </cell>
        </row>
        <row r="317">
          <cell r="A317">
            <v>809</v>
          </cell>
          <cell r="B317" t="str">
            <v>Loon op Zand</v>
          </cell>
          <cell r="C317">
            <v>10</v>
          </cell>
          <cell r="D317">
            <v>-25189</v>
          </cell>
          <cell r="E317">
            <v>-12595</v>
          </cell>
          <cell r="F317">
            <v>0</v>
          </cell>
          <cell r="G317">
            <v>0</v>
          </cell>
          <cell r="H317">
            <v>-12314</v>
          </cell>
          <cell r="I317">
            <v>-7977</v>
          </cell>
          <cell r="K317">
            <v>0</v>
          </cell>
          <cell r="L317">
            <v>71009</v>
          </cell>
          <cell r="M317">
            <v>70636</v>
          </cell>
          <cell r="N317">
            <v>0</v>
          </cell>
          <cell r="O317">
            <v>0</v>
          </cell>
          <cell r="P317">
            <v>0</v>
          </cell>
          <cell r="Q317">
            <v>0</v>
          </cell>
          <cell r="R317">
            <v>0</v>
          </cell>
          <cell r="S317">
            <v>0</v>
          </cell>
          <cell r="T317">
            <v>0</v>
          </cell>
          <cell r="U317">
            <v>0</v>
          </cell>
          <cell r="V317">
            <v>3000</v>
          </cell>
          <cell r="W317">
            <v>81219</v>
          </cell>
          <cell r="X317">
            <v>0</v>
          </cell>
          <cell r="Z317">
            <v>0</v>
          </cell>
          <cell r="AA317">
            <v>0</v>
          </cell>
          <cell r="AB317">
            <v>0</v>
          </cell>
          <cell r="AD317">
            <v>0</v>
          </cell>
          <cell r="AE317">
            <v>0</v>
          </cell>
          <cell r="AF317">
            <v>0</v>
          </cell>
          <cell r="AG317">
            <v>0</v>
          </cell>
          <cell r="AH317">
            <v>0</v>
          </cell>
          <cell r="AI317">
            <v>0</v>
          </cell>
          <cell r="AJ317">
            <v>0</v>
          </cell>
          <cell r="AK317">
            <v>0</v>
          </cell>
          <cell r="AM317">
            <v>0</v>
          </cell>
          <cell r="AN317">
            <v>0</v>
          </cell>
          <cell r="AO317">
            <v>0</v>
          </cell>
          <cell r="AP317">
            <v>0</v>
          </cell>
          <cell r="AQ317">
            <v>0</v>
          </cell>
          <cell r="AR317">
            <v>0</v>
          </cell>
          <cell r="AS317">
            <v>0</v>
          </cell>
          <cell r="AT317">
            <v>0</v>
          </cell>
          <cell r="AU317">
            <v>4740</v>
          </cell>
          <cell r="AV317">
            <v>0</v>
          </cell>
          <cell r="AW317">
            <v>0</v>
          </cell>
          <cell r="AX317">
            <v>0</v>
          </cell>
          <cell r="BA317">
            <v>0</v>
          </cell>
          <cell r="BC317">
            <v>0</v>
          </cell>
          <cell r="BD317">
            <v>8106</v>
          </cell>
          <cell r="BF317">
            <v>0</v>
          </cell>
          <cell r="BG317">
            <v>0</v>
          </cell>
          <cell r="BH317">
            <v>0</v>
          </cell>
          <cell r="BI317">
            <v>30843</v>
          </cell>
          <cell r="BJ317">
            <v>25388</v>
          </cell>
          <cell r="BK317">
            <v>25388</v>
          </cell>
          <cell r="BL317">
            <v>0</v>
          </cell>
          <cell r="BM317">
            <v>0</v>
          </cell>
          <cell r="BN317">
            <v>0</v>
          </cell>
          <cell r="BO317">
            <v>51561</v>
          </cell>
          <cell r="BP317">
            <v>7907</v>
          </cell>
          <cell r="BQ317">
            <v>14244.186046511601</v>
          </cell>
          <cell r="BR317">
            <v>0</v>
          </cell>
          <cell r="BS317">
            <v>0</v>
          </cell>
          <cell r="BT317">
            <v>34315</v>
          </cell>
          <cell r="BY317">
            <v>0</v>
          </cell>
          <cell r="BZ317">
            <v>0</v>
          </cell>
          <cell r="CA317">
            <v>0</v>
          </cell>
          <cell r="CB317">
            <v>0</v>
          </cell>
          <cell r="CC317">
            <v>1956000</v>
          </cell>
          <cell r="CD317">
            <v>10523352</v>
          </cell>
          <cell r="CE317">
            <v>411046</v>
          </cell>
          <cell r="CF317">
            <v>0</v>
          </cell>
          <cell r="CG317">
            <v>411046</v>
          </cell>
          <cell r="CH317">
            <v>411046</v>
          </cell>
          <cell r="CI317">
            <v>411046</v>
          </cell>
          <cell r="CJ317">
            <v>411046</v>
          </cell>
          <cell r="CK317">
            <v>0</v>
          </cell>
          <cell r="CL317">
            <v>0</v>
          </cell>
          <cell r="CM317">
            <v>0</v>
          </cell>
          <cell r="CN317">
            <v>0</v>
          </cell>
          <cell r="CO317">
            <v>0</v>
          </cell>
          <cell r="CP317">
            <v>-2897</v>
          </cell>
          <cell r="CQ317">
            <v>2910489</v>
          </cell>
          <cell r="CR317">
            <v>2733752</v>
          </cell>
          <cell r="CS317">
            <v>2655748</v>
          </cell>
          <cell r="CT317">
            <v>2570973</v>
          </cell>
          <cell r="CU317">
            <v>2439863</v>
          </cell>
          <cell r="CV317">
            <v>17958</v>
          </cell>
          <cell r="CW317">
            <v>0</v>
          </cell>
          <cell r="CX317">
            <v>0</v>
          </cell>
          <cell r="CY317">
            <v>0</v>
          </cell>
          <cell r="CZ317">
            <v>0</v>
          </cell>
          <cell r="DA317">
            <v>0</v>
          </cell>
          <cell r="DC317">
            <v>0</v>
          </cell>
          <cell r="DD317">
            <v>0</v>
          </cell>
          <cell r="DE317">
            <v>0</v>
          </cell>
          <cell r="DF317">
            <v>0</v>
          </cell>
          <cell r="DG317">
            <v>0</v>
          </cell>
          <cell r="DH317">
            <v>0</v>
          </cell>
          <cell r="DI317">
            <v>0</v>
          </cell>
          <cell r="DJ317">
            <v>0</v>
          </cell>
          <cell r="DK317">
            <v>0</v>
          </cell>
          <cell r="DL317">
            <v>0</v>
          </cell>
        </row>
        <row r="318">
          <cell r="A318">
            <v>1948</v>
          </cell>
          <cell r="B318" t="str">
            <v>Meierijstad</v>
          </cell>
          <cell r="C318">
            <v>10</v>
          </cell>
          <cell r="D318">
            <v>-95473</v>
          </cell>
          <cell r="E318">
            <v>-47736</v>
          </cell>
          <cell r="F318">
            <v>0</v>
          </cell>
          <cell r="G318">
            <v>0</v>
          </cell>
          <cell r="H318">
            <v>-105453</v>
          </cell>
          <cell r="I318">
            <v>-59572</v>
          </cell>
          <cell r="K318">
            <v>0</v>
          </cell>
          <cell r="L318">
            <v>296592</v>
          </cell>
          <cell r="M318">
            <v>266332</v>
          </cell>
          <cell r="N318">
            <v>0</v>
          </cell>
          <cell r="O318">
            <v>0</v>
          </cell>
          <cell r="P318">
            <v>0</v>
          </cell>
          <cell r="Q318">
            <v>0</v>
          </cell>
          <cell r="R318">
            <v>0</v>
          </cell>
          <cell r="S318">
            <v>0</v>
          </cell>
          <cell r="T318">
            <v>0</v>
          </cell>
          <cell r="U318">
            <v>0</v>
          </cell>
          <cell r="V318">
            <v>24000</v>
          </cell>
          <cell r="W318">
            <v>324028</v>
          </cell>
          <cell r="X318">
            <v>0</v>
          </cell>
          <cell r="Z318">
            <v>0</v>
          </cell>
          <cell r="AA318">
            <v>0</v>
          </cell>
          <cell r="AB318">
            <v>0</v>
          </cell>
          <cell r="AD318">
            <v>20000</v>
          </cell>
          <cell r="AE318">
            <v>0</v>
          </cell>
          <cell r="AF318">
            <v>0</v>
          </cell>
          <cell r="AG318">
            <v>0</v>
          </cell>
          <cell r="AH318">
            <v>0</v>
          </cell>
          <cell r="AI318">
            <v>0</v>
          </cell>
          <cell r="AJ318">
            <v>0</v>
          </cell>
          <cell r="AK318">
            <v>0</v>
          </cell>
          <cell r="AM318">
            <v>0</v>
          </cell>
          <cell r="AN318">
            <v>0</v>
          </cell>
          <cell r="AO318">
            <v>0</v>
          </cell>
          <cell r="AP318">
            <v>0</v>
          </cell>
          <cell r="AQ318">
            <v>0</v>
          </cell>
          <cell r="AR318">
            <v>0</v>
          </cell>
          <cell r="AS318">
            <v>0</v>
          </cell>
          <cell r="AT318">
            <v>0</v>
          </cell>
          <cell r="AU318">
            <v>7110</v>
          </cell>
          <cell r="AV318">
            <v>0</v>
          </cell>
          <cell r="AW318">
            <v>0</v>
          </cell>
          <cell r="AX318">
            <v>0</v>
          </cell>
          <cell r="BA318">
            <v>0</v>
          </cell>
          <cell r="BC318">
            <v>0</v>
          </cell>
          <cell r="BD318">
            <v>140125</v>
          </cell>
          <cell r="BF318">
            <v>0</v>
          </cell>
          <cell r="BG318">
            <v>0</v>
          </cell>
          <cell r="BH318">
            <v>0</v>
          </cell>
          <cell r="BI318">
            <v>95881</v>
          </cell>
          <cell r="BJ318">
            <v>78924</v>
          </cell>
          <cell r="BK318">
            <v>78924</v>
          </cell>
          <cell r="BL318">
            <v>0</v>
          </cell>
          <cell r="BM318">
            <v>0</v>
          </cell>
          <cell r="BN318">
            <v>0</v>
          </cell>
          <cell r="BO318">
            <v>267049</v>
          </cell>
          <cell r="BP318">
            <v>50604.800000000003</v>
          </cell>
          <cell r="BQ318">
            <v>91162.790697674398</v>
          </cell>
          <cell r="BR318">
            <v>0</v>
          </cell>
          <cell r="BS318">
            <v>0</v>
          </cell>
          <cell r="BT318">
            <v>121773</v>
          </cell>
          <cell r="BY318">
            <v>0</v>
          </cell>
          <cell r="BZ318">
            <v>0</v>
          </cell>
          <cell r="CA318">
            <v>0</v>
          </cell>
          <cell r="CB318">
            <v>0</v>
          </cell>
          <cell r="CC318">
            <v>5718897</v>
          </cell>
          <cell r="CD318">
            <v>41046284</v>
          </cell>
          <cell r="CE318">
            <v>1914460</v>
          </cell>
          <cell r="CF318">
            <v>-58032</v>
          </cell>
          <cell r="CG318">
            <v>1914460</v>
          </cell>
          <cell r="CH318">
            <v>1914460</v>
          </cell>
          <cell r="CI318">
            <v>1914460</v>
          </cell>
          <cell r="CJ318">
            <v>1914460</v>
          </cell>
          <cell r="CK318">
            <v>0</v>
          </cell>
          <cell r="CL318">
            <v>0</v>
          </cell>
          <cell r="CM318">
            <v>0</v>
          </cell>
          <cell r="CN318">
            <v>0</v>
          </cell>
          <cell r="CO318">
            <v>0</v>
          </cell>
          <cell r="CP318">
            <v>-12716</v>
          </cell>
          <cell r="CQ318">
            <v>14958885</v>
          </cell>
          <cell r="CR318">
            <v>14188429</v>
          </cell>
          <cell r="CS318">
            <v>13774925</v>
          </cell>
          <cell r="CT318">
            <v>13470340</v>
          </cell>
          <cell r="CU318">
            <v>13207151</v>
          </cell>
          <cell r="CV318">
            <v>-35535</v>
          </cell>
          <cell r="CW318">
            <v>0</v>
          </cell>
          <cell r="CX318">
            <v>0</v>
          </cell>
          <cell r="CY318">
            <v>0</v>
          </cell>
          <cell r="CZ318">
            <v>0</v>
          </cell>
          <cell r="DA318">
            <v>0</v>
          </cell>
          <cell r="DC318">
            <v>0</v>
          </cell>
          <cell r="DD318">
            <v>0</v>
          </cell>
          <cell r="DE318">
            <v>0</v>
          </cell>
          <cell r="DF318">
            <v>0</v>
          </cell>
          <cell r="DG318">
            <v>0</v>
          </cell>
          <cell r="DH318">
            <v>0</v>
          </cell>
          <cell r="DI318">
            <v>0</v>
          </cell>
          <cell r="DJ318">
            <v>0</v>
          </cell>
          <cell r="DK318">
            <v>0</v>
          </cell>
          <cell r="DL318">
            <v>0</v>
          </cell>
        </row>
        <row r="319">
          <cell r="A319">
            <v>815</v>
          </cell>
          <cell r="B319" t="str">
            <v>Mill en Sint Hubert</v>
          </cell>
          <cell r="C319">
            <v>10</v>
          </cell>
          <cell r="D319">
            <v>-415</v>
          </cell>
          <cell r="E319">
            <v>-208</v>
          </cell>
          <cell r="F319">
            <v>0</v>
          </cell>
          <cell r="G319">
            <v>24377</v>
          </cell>
          <cell r="H319">
            <v>-20881</v>
          </cell>
          <cell r="I319">
            <v>-14183</v>
          </cell>
          <cell r="K319">
            <v>0</v>
          </cell>
          <cell r="L319">
            <v>33426</v>
          </cell>
          <cell r="M319">
            <v>25998</v>
          </cell>
          <cell r="N319">
            <v>0</v>
          </cell>
          <cell r="O319">
            <v>0</v>
          </cell>
          <cell r="P319">
            <v>0</v>
          </cell>
          <cell r="Q319">
            <v>0</v>
          </cell>
          <cell r="R319">
            <v>0</v>
          </cell>
          <cell r="S319">
            <v>0</v>
          </cell>
          <cell r="T319">
            <v>0</v>
          </cell>
          <cell r="U319">
            <v>0</v>
          </cell>
          <cell r="V319">
            <v>6000</v>
          </cell>
          <cell r="W319">
            <v>45484</v>
          </cell>
          <cell r="X319">
            <v>0</v>
          </cell>
          <cell r="Z319">
            <v>0</v>
          </cell>
          <cell r="AA319">
            <v>0</v>
          </cell>
          <cell r="AB319">
            <v>0</v>
          </cell>
          <cell r="AD319">
            <v>0</v>
          </cell>
          <cell r="AE319">
            <v>0</v>
          </cell>
          <cell r="AF319">
            <v>0</v>
          </cell>
          <cell r="AG319">
            <v>0</v>
          </cell>
          <cell r="AH319">
            <v>0</v>
          </cell>
          <cell r="AI319">
            <v>0</v>
          </cell>
          <cell r="AJ319">
            <v>0</v>
          </cell>
          <cell r="AK319">
            <v>0</v>
          </cell>
          <cell r="AM319">
            <v>0</v>
          </cell>
          <cell r="AN319">
            <v>0</v>
          </cell>
          <cell r="AO319">
            <v>0</v>
          </cell>
          <cell r="AP319">
            <v>0</v>
          </cell>
          <cell r="AQ319">
            <v>0</v>
          </cell>
          <cell r="AR319">
            <v>0</v>
          </cell>
          <cell r="AS319">
            <v>0</v>
          </cell>
          <cell r="AT319">
            <v>0</v>
          </cell>
          <cell r="AU319">
            <v>0</v>
          </cell>
          <cell r="AV319">
            <v>0</v>
          </cell>
          <cell r="AW319">
            <v>0</v>
          </cell>
          <cell r="AX319">
            <v>0</v>
          </cell>
          <cell r="BA319">
            <v>0</v>
          </cell>
          <cell r="BC319">
            <v>0</v>
          </cell>
          <cell r="BD319">
            <v>3794</v>
          </cell>
          <cell r="BF319">
            <v>0</v>
          </cell>
          <cell r="BG319">
            <v>0</v>
          </cell>
          <cell r="BH319">
            <v>0</v>
          </cell>
          <cell r="BI319">
            <v>14785</v>
          </cell>
          <cell r="BJ319">
            <v>12170</v>
          </cell>
          <cell r="BK319">
            <v>12170</v>
          </cell>
          <cell r="BL319">
            <v>0</v>
          </cell>
          <cell r="BM319">
            <v>0</v>
          </cell>
          <cell r="BN319">
            <v>0</v>
          </cell>
          <cell r="BO319">
            <v>96799</v>
          </cell>
          <cell r="BP319">
            <v>3162.8</v>
          </cell>
          <cell r="BQ319">
            <v>5697.6744186046499</v>
          </cell>
          <cell r="BR319">
            <v>0</v>
          </cell>
          <cell r="BS319">
            <v>0</v>
          </cell>
          <cell r="BT319">
            <v>19265</v>
          </cell>
          <cell r="BY319">
            <v>0</v>
          </cell>
          <cell r="BZ319">
            <v>0</v>
          </cell>
          <cell r="CA319">
            <v>0</v>
          </cell>
          <cell r="CB319">
            <v>0</v>
          </cell>
          <cell r="CC319">
            <v>879846</v>
          </cell>
          <cell r="CD319">
            <v>6244828</v>
          </cell>
          <cell r="CE319">
            <v>300957</v>
          </cell>
          <cell r="CF319">
            <v>-15051</v>
          </cell>
          <cell r="CG319">
            <v>300957</v>
          </cell>
          <cell r="CH319">
            <v>300957</v>
          </cell>
          <cell r="CI319">
            <v>300957</v>
          </cell>
          <cell r="CJ319">
            <v>300957</v>
          </cell>
          <cell r="CK319">
            <v>0</v>
          </cell>
          <cell r="CL319">
            <v>0</v>
          </cell>
          <cell r="CM319">
            <v>0</v>
          </cell>
          <cell r="CN319">
            <v>0</v>
          </cell>
          <cell r="CO319">
            <v>0</v>
          </cell>
          <cell r="CP319">
            <v>-2884</v>
          </cell>
          <cell r="CQ319">
            <v>2509907</v>
          </cell>
          <cell r="CR319">
            <v>2384298</v>
          </cell>
          <cell r="CS319">
            <v>2337325</v>
          </cell>
          <cell r="CT319">
            <v>2275204</v>
          </cell>
          <cell r="CU319">
            <v>2187253</v>
          </cell>
          <cell r="CV319">
            <v>8585</v>
          </cell>
          <cell r="CW319">
            <v>0</v>
          </cell>
          <cell r="CX319">
            <v>0</v>
          </cell>
          <cell r="CY319">
            <v>0</v>
          </cell>
          <cell r="CZ319">
            <v>0</v>
          </cell>
          <cell r="DA319">
            <v>0</v>
          </cell>
          <cell r="DC319">
            <v>0</v>
          </cell>
          <cell r="DD319">
            <v>0</v>
          </cell>
          <cell r="DE319">
            <v>0</v>
          </cell>
          <cell r="DF319">
            <v>0</v>
          </cell>
          <cell r="DG319">
            <v>0</v>
          </cell>
          <cell r="DH319">
            <v>0</v>
          </cell>
          <cell r="DI319">
            <v>0</v>
          </cell>
          <cell r="DJ319">
            <v>0</v>
          </cell>
          <cell r="DK319">
            <v>0</v>
          </cell>
          <cell r="DL319">
            <v>0</v>
          </cell>
        </row>
        <row r="320">
          <cell r="A320">
            <v>1709</v>
          </cell>
          <cell r="B320" t="str">
            <v>Moerdijk</v>
          </cell>
          <cell r="C320">
            <v>10</v>
          </cell>
          <cell r="D320">
            <v>52042</v>
          </cell>
          <cell r="E320">
            <v>26021</v>
          </cell>
          <cell r="F320">
            <v>0</v>
          </cell>
          <cell r="G320">
            <v>1497970</v>
          </cell>
          <cell r="H320">
            <v>-22405</v>
          </cell>
          <cell r="I320">
            <v>-3010</v>
          </cell>
          <cell r="K320">
            <v>0</v>
          </cell>
          <cell r="L320">
            <v>126062</v>
          </cell>
          <cell r="M320">
            <v>121703</v>
          </cell>
          <cell r="N320">
            <v>0</v>
          </cell>
          <cell r="O320">
            <v>0</v>
          </cell>
          <cell r="P320">
            <v>0</v>
          </cell>
          <cell r="Q320">
            <v>0</v>
          </cell>
          <cell r="R320">
            <v>0</v>
          </cell>
          <cell r="S320">
            <v>0</v>
          </cell>
          <cell r="T320">
            <v>0</v>
          </cell>
          <cell r="U320">
            <v>0</v>
          </cell>
          <cell r="V320">
            <v>17500</v>
          </cell>
          <cell r="W320">
            <v>141507</v>
          </cell>
          <cell r="X320">
            <v>0</v>
          </cell>
          <cell r="Z320">
            <v>0</v>
          </cell>
          <cell r="AA320">
            <v>0</v>
          </cell>
          <cell r="AB320">
            <v>0</v>
          </cell>
          <cell r="AD320">
            <v>0</v>
          </cell>
          <cell r="AE320">
            <v>0</v>
          </cell>
          <cell r="AF320">
            <v>0</v>
          </cell>
          <cell r="AG320">
            <v>0</v>
          </cell>
          <cell r="AH320">
            <v>0</v>
          </cell>
          <cell r="AI320">
            <v>0</v>
          </cell>
          <cell r="AJ320">
            <v>0</v>
          </cell>
          <cell r="AK320">
            <v>0</v>
          </cell>
          <cell r="AM320">
            <v>0</v>
          </cell>
          <cell r="AN320">
            <v>0</v>
          </cell>
          <cell r="AO320">
            <v>0</v>
          </cell>
          <cell r="AP320">
            <v>0</v>
          </cell>
          <cell r="AQ320">
            <v>0</v>
          </cell>
          <cell r="AR320">
            <v>0</v>
          </cell>
          <cell r="AS320">
            <v>0</v>
          </cell>
          <cell r="AT320">
            <v>0</v>
          </cell>
          <cell r="AU320">
            <v>26070</v>
          </cell>
          <cell r="AV320">
            <v>0</v>
          </cell>
          <cell r="AW320">
            <v>0</v>
          </cell>
          <cell r="AX320">
            <v>0</v>
          </cell>
          <cell r="BA320">
            <v>0</v>
          </cell>
          <cell r="BC320">
            <v>0</v>
          </cell>
          <cell r="BD320">
            <v>12969</v>
          </cell>
          <cell r="BF320">
            <v>0</v>
          </cell>
          <cell r="BG320">
            <v>0</v>
          </cell>
          <cell r="BH320">
            <v>0</v>
          </cell>
          <cell r="BI320">
            <v>48212</v>
          </cell>
          <cell r="BJ320">
            <v>39686</v>
          </cell>
          <cell r="BK320">
            <v>39686</v>
          </cell>
          <cell r="BL320">
            <v>0</v>
          </cell>
          <cell r="BM320">
            <v>0</v>
          </cell>
          <cell r="BN320">
            <v>0</v>
          </cell>
          <cell r="BO320">
            <v>719913</v>
          </cell>
          <cell r="BP320">
            <v>17395.400000000001</v>
          </cell>
          <cell r="BQ320">
            <v>31337.209302325598</v>
          </cell>
          <cell r="BR320">
            <v>0</v>
          </cell>
          <cell r="BS320">
            <v>0</v>
          </cell>
          <cell r="BT320">
            <v>68372</v>
          </cell>
          <cell r="BY320">
            <v>0</v>
          </cell>
          <cell r="BZ320">
            <v>0</v>
          </cell>
          <cell r="CA320">
            <v>0</v>
          </cell>
          <cell r="CB320">
            <v>0</v>
          </cell>
          <cell r="CC320">
            <v>2906080</v>
          </cell>
          <cell r="CD320">
            <v>15406926</v>
          </cell>
          <cell r="CE320">
            <v>1892712</v>
          </cell>
          <cell r="CF320">
            <v>0</v>
          </cell>
          <cell r="CG320">
            <v>1892712</v>
          </cell>
          <cell r="CH320">
            <v>1892712</v>
          </cell>
          <cell r="CI320">
            <v>1892712</v>
          </cell>
          <cell r="CJ320">
            <v>1892712</v>
          </cell>
          <cell r="CK320">
            <v>0</v>
          </cell>
          <cell r="CL320">
            <v>0</v>
          </cell>
          <cell r="CM320">
            <v>0</v>
          </cell>
          <cell r="CN320">
            <v>0</v>
          </cell>
          <cell r="CO320">
            <v>0</v>
          </cell>
          <cell r="CP320">
            <v>-1085</v>
          </cell>
          <cell r="CQ320">
            <v>2876664</v>
          </cell>
          <cell r="CR320">
            <v>2738952</v>
          </cell>
          <cell r="CS320">
            <v>2651810</v>
          </cell>
          <cell r="CT320">
            <v>2561496</v>
          </cell>
          <cell r="CU320">
            <v>2507421</v>
          </cell>
          <cell r="CV320">
            <v>-9815</v>
          </cell>
          <cell r="CW320">
            <v>0</v>
          </cell>
          <cell r="CX320">
            <v>0</v>
          </cell>
          <cell r="CY320">
            <v>0</v>
          </cell>
          <cell r="CZ320">
            <v>0</v>
          </cell>
          <cell r="DA320">
            <v>0</v>
          </cell>
          <cell r="DC320">
            <v>0</v>
          </cell>
          <cell r="DD320">
            <v>0</v>
          </cell>
          <cell r="DE320">
            <v>0</v>
          </cell>
          <cell r="DF320">
            <v>0</v>
          </cell>
          <cell r="DG320">
            <v>0</v>
          </cell>
          <cell r="DH320">
            <v>0</v>
          </cell>
          <cell r="DI320">
            <v>7958000</v>
          </cell>
          <cell r="DJ320">
            <v>0</v>
          </cell>
          <cell r="DK320">
            <v>0</v>
          </cell>
          <cell r="DL320">
            <v>0</v>
          </cell>
        </row>
        <row r="321">
          <cell r="A321">
            <v>820</v>
          </cell>
          <cell r="B321" t="str">
            <v>Nuenen c.a.</v>
          </cell>
          <cell r="C321">
            <v>10</v>
          </cell>
          <cell r="D321">
            <v>46384</v>
          </cell>
          <cell r="E321">
            <v>23192</v>
          </cell>
          <cell r="F321">
            <v>0</v>
          </cell>
          <cell r="G321">
            <v>0</v>
          </cell>
          <cell r="H321">
            <v>-18891</v>
          </cell>
          <cell r="I321">
            <v>-6472</v>
          </cell>
          <cell r="K321">
            <v>0</v>
          </cell>
          <cell r="L321">
            <v>66851</v>
          </cell>
          <cell r="M321">
            <v>52995</v>
          </cell>
          <cell r="N321">
            <v>0</v>
          </cell>
          <cell r="O321">
            <v>0</v>
          </cell>
          <cell r="P321">
            <v>0</v>
          </cell>
          <cell r="Q321">
            <v>0</v>
          </cell>
          <cell r="R321">
            <v>0</v>
          </cell>
          <cell r="S321">
            <v>0</v>
          </cell>
          <cell r="T321">
            <v>0</v>
          </cell>
          <cell r="U321">
            <v>0</v>
          </cell>
          <cell r="V321">
            <v>0</v>
          </cell>
          <cell r="W321">
            <v>69905</v>
          </cell>
          <cell r="X321">
            <v>0</v>
          </cell>
          <cell r="Z321">
            <v>0</v>
          </cell>
          <cell r="AA321">
            <v>0</v>
          </cell>
          <cell r="AB321">
            <v>0</v>
          </cell>
          <cell r="AD321">
            <v>0</v>
          </cell>
          <cell r="AE321">
            <v>0</v>
          </cell>
          <cell r="AF321">
            <v>0</v>
          </cell>
          <cell r="AG321">
            <v>0</v>
          </cell>
          <cell r="AH321">
            <v>0</v>
          </cell>
          <cell r="AI321">
            <v>0</v>
          </cell>
          <cell r="AJ321">
            <v>0</v>
          </cell>
          <cell r="AK321">
            <v>0</v>
          </cell>
          <cell r="AM321">
            <v>0</v>
          </cell>
          <cell r="AN321">
            <v>0</v>
          </cell>
          <cell r="AO321">
            <v>0</v>
          </cell>
          <cell r="AP321">
            <v>0</v>
          </cell>
          <cell r="AQ321">
            <v>0</v>
          </cell>
          <cell r="AR321">
            <v>0</v>
          </cell>
          <cell r="AS321">
            <v>0</v>
          </cell>
          <cell r="AT321">
            <v>0</v>
          </cell>
          <cell r="AU321">
            <v>4740</v>
          </cell>
          <cell r="AV321">
            <v>0</v>
          </cell>
          <cell r="AW321">
            <v>0</v>
          </cell>
          <cell r="AX321">
            <v>0</v>
          </cell>
          <cell r="BA321">
            <v>0</v>
          </cell>
          <cell r="BC321">
            <v>0</v>
          </cell>
          <cell r="BD321">
            <v>8027</v>
          </cell>
          <cell r="BF321">
            <v>0</v>
          </cell>
          <cell r="BG321">
            <v>0</v>
          </cell>
          <cell r="BH321">
            <v>0</v>
          </cell>
          <cell r="BI321">
            <v>17422</v>
          </cell>
          <cell r="BJ321">
            <v>14341</v>
          </cell>
          <cell r="BK321">
            <v>14341</v>
          </cell>
          <cell r="BL321">
            <v>0</v>
          </cell>
          <cell r="BM321">
            <v>0</v>
          </cell>
          <cell r="BN321">
            <v>0</v>
          </cell>
          <cell r="BO321">
            <v>0</v>
          </cell>
          <cell r="BP321">
            <v>28465.200000000001</v>
          </cell>
          <cell r="BQ321">
            <v>51279.069767441899</v>
          </cell>
          <cell r="BR321">
            <v>125000</v>
          </cell>
          <cell r="BS321">
            <v>0</v>
          </cell>
          <cell r="BT321">
            <v>33825</v>
          </cell>
          <cell r="BY321">
            <v>0</v>
          </cell>
          <cell r="BZ321">
            <v>0</v>
          </cell>
          <cell r="CA321">
            <v>0</v>
          </cell>
          <cell r="CB321">
            <v>0</v>
          </cell>
          <cell r="CC321">
            <v>1541981</v>
          </cell>
          <cell r="CD321">
            <v>7387743</v>
          </cell>
          <cell r="CE321">
            <v>541374</v>
          </cell>
          <cell r="CF321">
            <v>0</v>
          </cell>
          <cell r="CG321">
            <v>541374</v>
          </cell>
          <cell r="CH321">
            <v>541374</v>
          </cell>
          <cell r="CI321">
            <v>541374</v>
          </cell>
          <cell r="CJ321">
            <v>541374</v>
          </cell>
          <cell r="CK321">
            <v>0</v>
          </cell>
          <cell r="CL321">
            <v>0</v>
          </cell>
          <cell r="CM321">
            <v>0</v>
          </cell>
          <cell r="CN321">
            <v>0</v>
          </cell>
          <cell r="CO321">
            <v>0</v>
          </cell>
          <cell r="CP321">
            <v>-2338</v>
          </cell>
          <cell r="CQ321">
            <v>1479340</v>
          </cell>
          <cell r="CR321">
            <v>1447583</v>
          </cell>
          <cell r="CS321">
            <v>1430222</v>
          </cell>
          <cell r="CT321">
            <v>1427033</v>
          </cell>
          <cell r="CU321">
            <v>1407515</v>
          </cell>
          <cell r="CV321">
            <v>-11710</v>
          </cell>
          <cell r="CW321">
            <v>0</v>
          </cell>
          <cell r="CX321">
            <v>0</v>
          </cell>
          <cell r="CY321">
            <v>0</v>
          </cell>
          <cell r="CZ321">
            <v>0</v>
          </cell>
          <cell r="DA321">
            <v>0</v>
          </cell>
          <cell r="DC321">
            <v>0</v>
          </cell>
          <cell r="DD321">
            <v>0</v>
          </cell>
          <cell r="DE321">
            <v>0</v>
          </cell>
          <cell r="DF321">
            <v>0</v>
          </cell>
          <cell r="DG321">
            <v>0</v>
          </cell>
          <cell r="DH321">
            <v>0</v>
          </cell>
          <cell r="DI321">
            <v>0</v>
          </cell>
          <cell r="DJ321">
            <v>0</v>
          </cell>
          <cell r="DK321">
            <v>0</v>
          </cell>
          <cell r="DL321">
            <v>0</v>
          </cell>
        </row>
        <row r="322">
          <cell r="A322">
            <v>823</v>
          </cell>
          <cell r="B322" t="str">
            <v>Oirschot</v>
          </cell>
          <cell r="C322">
            <v>10</v>
          </cell>
          <cell r="D322">
            <v>-23063</v>
          </cell>
          <cell r="E322">
            <v>-11531</v>
          </cell>
          <cell r="F322">
            <v>0</v>
          </cell>
          <cell r="G322">
            <v>0</v>
          </cell>
          <cell r="H322">
            <v>-30728</v>
          </cell>
          <cell r="I322">
            <v>-20850</v>
          </cell>
          <cell r="K322">
            <v>0</v>
          </cell>
          <cell r="L322">
            <v>42259</v>
          </cell>
          <cell r="M322">
            <v>41996</v>
          </cell>
          <cell r="N322">
            <v>0</v>
          </cell>
          <cell r="O322">
            <v>0</v>
          </cell>
          <cell r="P322">
            <v>0</v>
          </cell>
          <cell r="Q322">
            <v>0</v>
          </cell>
          <cell r="R322">
            <v>0</v>
          </cell>
          <cell r="S322">
            <v>0</v>
          </cell>
          <cell r="T322">
            <v>0</v>
          </cell>
          <cell r="U322">
            <v>0</v>
          </cell>
          <cell r="V322">
            <v>6000</v>
          </cell>
          <cell r="W322">
            <v>56368</v>
          </cell>
          <cell r="X322">
            <v>0</v>
          </cell>
          <cell r="Z322">
            <v>0</v>
          </cell>
          <cell r="AA322">
            <v>0</v>
          </cell>
          <cell r="AB322">
            <v>0</v>
          </cell>
          <cell r="AD322">
            <v>0</v>
          </cell>
          <cell r="AE322">
            <v>0</v>
          </cell>
          <cell r="AF322">
            <v>0</v>
          </cell>
          <cell r="AG322">
            <v>0</v>
          </cell>
          <cell r="AH322">
            <v>0</v>
          </cell>
          <cell r="AI322">
            <v>0</v>
          </cell>
          <cell r="AJ322">
            <v>0</v>
          </cell>
          <cell r="AK322">
            <v>0</v>
          </cell>
          <cell r="AM322">
            <v>0</v>
          </cell>
          <cell r="AN322">
            <v>0</v>
          </cell>
          <cell r="AO322">
            <v>0</v>
          </cell>
          <cell r="AP322">
            <v>0</v>
          </cell>
          <cell r="AQ322">
            <v>0</v>
          </cell>
          <cell r="AR322">
            <v>0</v>
          </cell>
          <cell r="AS322">
            <v>0</v>
          </cell>
          <cell r="AT322">
            <v>0</v>
          </cell>
          <cell r="AU322">
            <v>0</v>
          </cell>
          <cell r="AV322">
            <v>0</v>
          </cell>
          <cell r="AW322">
            <v>0</v>
          </cell>
          <cell r="AX322">
            <v>0</v>
          </cell>
          <cell r="BA322">
            <v>0</v>
          </cell>
          <cell r="BC322">
            <v>0</v>
          </cell>
          <cell r="BD322">
            <v>6494</v>
          </cell>
          <cell r="BF322">
            <v>0</v>
          </cell>
          <cell r="BG322">
            <v>0</v>
          </cell>
          <cell r="BH322">
            <v>0</v>
          </cell>
          <cell r="BI322">
            <v>18069</v>
          </cell>
          <cell r="BJ322">
            <v>14873</v>
          </cell>
          <cell r="BK322">
            <v>14873</v>
          </cell>
          <cell r="BL322">
            <v>0</v>
          </cell>
          <cell r="BM322">
            <v>0</v>
          </cell>
          <cell r="BN322">
            <v>0</v>
          </cell>
          <cell r="BO322">
            <v>58371</v>
          </cell>
          <cell r="BP322">
            <v>4744.2</v>
          </cell>
          <cell r="BQ322">
            <v>8546.5116279069807</v>
          </cell>
          <cell r="BR322">
            <v>0</v>
          </cell>
          <cell r="BS322">
            <v>0</v>
          </cell>
          <cell r="BT322">
            <v>28459</v>
          </cell>
          <cell r="BY322">
            <v>0</v>
          </cell>
          <cell r="BZ322">
            <v>0</v>
          </cell>
          <cell r="CA322">
            <v>0</v>
          </cell>
          <cell r="CB322">
            <v>0</v>
          </cell>
          <cell r="CC322">
            <v>1191869</v>
          </cell>
          <cell r="CD322">
            <v>7097620</v>
          </cell>
          <cell r="CE322">
            <v>175576</v>
          </cell>
          <cell r="CF322">
            <v>-33256</v>
          </cell>
          <cell r="CG322">
            <v>175576</v>
          </cell>
          <cell r="CH322">
            <v>175576</v>
          </cell>
          <cell r="CI322">
            <v>175576</v>
          </cell>
          <cell r="CJ322">
            <v>175576</v>
          </cell>
          <cell r="CK322">
            <v>0</v>
          </cell>
          <cell r="CL322">
            <v>0</v>
          </cell>
          <cell r="CM322">
            <v>0</v>
          </cell>
          <cell r="CN322">
            <v>0</v>
          </cell>
          <cell r="CO322">
            <v>0</v>
          </cell>
          <cell r="CP322">
            <v>-2522</v>
          </cell>
          <cell r="CQ322">
            <v>2598395</v>
          </cell>
          <cell r="CR322">
            <v>2451496</v>
          </cell>
          <cell r="CS322">
            <v>2377278</v>
          </cell>
          <cell r="CT322">
            <v>2327497</v>
          </cell>
          <cell r="CU322">
            <v>2265201</v>
          </cell>
          <cell r="CV322">
            <v>-6316</v>
          </cell>
          <cell r="CW322">
            <v>0</v>
          </cell>
          <cell r="CX322">
            <v>0</v>
          </cell>
          <cell r="CY322">
            <v>0</v>
          </cell>
          <cell r="CZ322">
            <v>0</v>
          </cell>
          <cell r="DA322">
            <v>0</v>
          </cell>
          <cell r="DC322">
            <v>0</v>
          </cell>
          <cell r="DD322">
            <v>0</v>
          </cell>
          <cell r="DE322">
            <v>0</v>
          </cell>
          <cell r="DF322">
            <v>0</v>
          </cell>
          <cell r="DG322">
            <v>0</v>
          </cell>
          <cell r="DH322">
            <v>0</v>
          </cell>
          <cell r="DI322">
            <v>0</v>
          </cell>
          <cell r="DJ322">
            <v>0</v>
          </cell>
          <cell r="DK322">
            <v>0</v>
          </cell>
          <cell r="DL322">
            <v>0</v>
          </cell>
        </row>
        <row r="323">
          <cell r="A323">
            <v>824</v>
          </cell>
          <cell r="B323" t="str">
            <v>Oisterwijk</v>
          </cell>
          <cell r="C323">
            <v>10</v>
          </cell>
          <cell r="D323">
            <v>-43408</v>
          </cell>
          <cell r="E323">
            <v>-21704</v>
          </cell>
          <cell r="F323">
            <v>0</v>
          </cell>
          <cell r="G323">
            <v>55946</v>
          </cell>
          <cell r="H323">
            <v>-14961</v>
          </cell>
          <cell r="I323">
            <v>-8940</v>
          </cell>
          <cell r="K323">
            <v>0</v>
          </cell>
          <cell r="L323">
            <v>91681</v>
          </cell>
          <cell r="M323">
            <v>80493</v>
          </cell>
          <cell r="N323">
            <v>0</v>
          </cell>
          <cell r="O323">
            <v>0</v>
          </cell>
          <cell r="P323">
            <v>0</v>
          </cell>
          <cell r="Q323">
            <v>0</v>
          </cell>
          <cell r="R323">
            <v>0</v>
          </cell>
          <cell r="S323">
            <v>0</v>
          </cell>
          <cell r="T323">
            <v>0</v>
          </cell>
          <cell r="U323">
            <v>0</v>
          </cell>
          <cell r="V323">
            <v>6750</v>
          </cell>
          <cell r="W323">
            <v>106130</v>
          </cell>
          <cell r="X323">
            <v>0</v>
          </cell>
          <cell r="Z323">
            <v>0</v>
          </cell>
          <cell r="AA323">
            <v>0</v>
          </cell>
          <cell r="AB323">
            <v>0</v>
          </cell>
          <cell r="AD323">
            <v>0</v>
          </cell>
          <cell r="AE323">
            <v>0</v>
          </cell>
          <cell r="AF323">
            <v>0</v>
          </cell>
          <cell r="AG323">
            <v>0</v>
          </cell>
          <cell r="AH323">
            <v>0</v>
          </cell>
          <cell r="AI323">
            <v>0</v>
          </cell>
          <cell r="AJ323">
            <v>0</v>
          </cell>
          <cell r="AK323">
            <v>0</v>
          </cell>
          <cell r="AM323">
            <v>0</v>
          </cell>
          <cell r="AN323">
            <v>0</v>
          </cell>
          <cell r="AO323">
            <v>0</v>
          </cell>
          <cell r="AP323">
            <v>0</v>
          </cell>
          <cell r="AQ323">
            <v>0</v>
          </cell>
          <cell r="AR323">
            <v>0</v>
          </cell>
          <cell r="AS323">
            <v>0</v>
          </cell>
          <cell r="AT323">
            <v>0</v>
          </cell>
          <cell r="AU323">
            <v>7110</v>
          </cell>
          <cell r="AV323">
            <v>0</v>
          </cell>
          <cell r="AW323">
            <v>0</v>
          </cell>
          <cell r="AX323">
            <v>0</v>
          </cell>
          <cell r="BA323">
            <v>0</v>
          </cell>
          <cell r="BC323">
            <v>0</v>
          </cell>
          <cell r="BD323">
            <v>9104</v>
          </cell>
          <cell r="BF323">
            <v>0</v>
          </cell>
          <cell r="BG323">
            <v>0</v>
          </cell>
          <cell r="BH323">
            <v>0</v>
          </cell>
          <cell r="BI323">
            <v>31838</v>
          </cell>
          <cell r="BJ323">
            <v>26207</v>
          </cell>
          <cell r="BK323">
            <v>26207</v>
          </cell>
          <cell r="BL323">
            <v>0</v>
          </cell>
          <cell r="BM323">
            <v>0</v>
          </cell>
          <cell r="BN323">
            <v>0</v>
          </cell>
          <cell r="BO323">
            <v>0</v>
          </cell>
          <cell r="BP323">
            <v>22139.599999999999</v>
          </cell>
          <cell r="BQ323">
            <v>39883.720930232601</v>
          </cell>
          <cell r="BR323">
            <v>0</v>
          </cell>
          <cell r="BS323">
            <v>0</v>
          </cell>
          <cell r="BT323">
            <v>36674</v>
          </cell>
          <cell r="BY323">
            <v>0</v>
          </cell>
          <cell r="BZ323">
            <v>0</v>
          </cell>
          <cell r="CA323">
            <v>0</v>
          </cell>
          <cell r="CB323">
            <v>0</v>
          </cell>
          <cell r="CC323">
            <v>2074361</v>
          </cell>
          <cell r="CD323">
            <v>11897321</v>
          </cell>
          <cell r="CE323">
            <v>1756250</v>
          </cell>
          <cell r="CF323">
            <v>0</v>
          </cell>
          <cell r="CG323">
            <v>1756250</v>
          </cell>
          <cell r="CH323">
            <v>1756250</v>
          </cell>
          <cell r="CI323">
            <v>1756250</v>
          </cell>
          <cell r="CJ323">
            <v>1756250</v>
          </cell>
          <cell r="CK323">
            <v>0</v>
          </cell>
          <cell r="CL323">
            <v>0</v>
          </cell>
          <cell r="CM323">
            <v>0</v>
          </cell>
          <cell r="CN323">
            <v>0</v>
          </cell>
          <cell r="CO323">
            <v>0</v>
          </cell>
          <cell r="CP323">
            <v>-3238</v>
          </cell>
          <cell r="CQ323">
            <v>3448088</v>
          </cell>
          <cell r="CR323">
            <v>3280833</v>
          </cell>
          <cell r="CS323">
            <v>3149917</v>
          </cell>
          <cell r="CT323">
            <v>3060064</v>
          </cell>
          <cell r="CU323">
            <v>3008755</v>
          </cell>
          <cell r="CV323">
            <v>-56808</v>
          </cell>
          <cell r="CW323">
            <v>0</v>
          </cell>
          <cell r="CX323">
            <v>0</v>
          </cell>
          <cell r="CY323">
            <v>0</v>
          </cell>
          <cell r="CZ323">
            <v>0</v>
          </cell>
          <cell r="DA323">
            <v>0</v>
          </cell>
          <cell r="DC323">
            <v>0</v>
          </cell>
          <cell r="DD323">
            <v>0</v>
          </cell>
          <cell r="DE323">
            <v>0</v>
          </cell>
          <cell r="DF323">
            <v>0</v>
          </cell>
          <cell r="DG323">
            <v>0</v>
          </cell>
          <cell r="DH323">
            <v>0</v>
          </cell>
          <cell r="DI323">
            <v>0</v>
          </cell>
          <cell r="DJ323">
            <v>0</v>
          </cell>
          <cell r="DK323">
            <v>0</v>
          </cell>
          <cell r="DL323">
            <v>0</v>
          </cell>
        </row>
        <row r="324">
          <cell r="A324">
            <v>826</v>
          </cell>
          <cell r="B324" t="str">
            <v>Oosterhout</v>
          </cell>
          <cell r="C324">
            <v>10</v>
          </cell>
          <cell r="D324">
            <v>25661</v>
          </cell>
          <cell r="E324">
            <v>12830</v>
          </cell>
          <cell r="F324">
            <v>0</v>
          </cell>
          <cell r="G324">
            <v>55775</v>
          </cell>
          <cell r="H324">
            <v>-10713</v>
          </cell>
          <cell r="I324">
            <v>0</v>
          </cell>
          <cell r="K324">
            <v>0</v>
          </cell>
          <cell r="L324">
            <v>249617</v>
          </cell>
          <cell r="M324">
            <v>257405</v>
          </cell>
          <cell r="N324">
            <v>0</v>
          </cell>
          <cell r="O324">
            <v>0</v>
          </cell>
          <cell r="P324">
            <v>0</v>
          </cell>
          <cell r="Q324">
            <v>0</v>
          </cell>
          <cell r="R324">
            <v>0</v>
          </cell>
          <cell r="S324">
            <v>0</v>
          </cell>
          <cell r="T324">
            <v>0</v>
          </cell>
          <cell r="U324">
            <v>0</v>
          </cell>
          <cell r="V324">
            <v>30000</v>
          </cell>
          <cell r="W324">
            <v>208373</v>
          </cell>
          <cell r="X324">
            <v>0</v>
          </cell>
          <cell r="Z324">
            <v>0</v>
          </cell>
          <cell r="AA324">
            <v>0</v>
          </cell>
          <cell r="AB324">
            <v>0</v>
          </cell>
          <cell r="AD324">
            <v>0</v>
          </cell>
          <cell r="AE324">
            <v>0</v>
          </cell>
          <cell r="AF324">
            <v>0</v>
          </cell>
          <cell r="AG324">
            <v>0</v>
          </cell>
          <cell r="AH324">
            <v>0</v>
          </cell>
          <cell r="AI324">
            <v>0</v>
          </cell>
          <cell r="AJ324">
            <v>0</v>
          </cell>
          <cell r="AK324">
            <v>0</v>
          </cell>
          <cell r="AM324">
            <v>0</v>
          </cell>
          <cell r="AN324">
            <v>0</v>
          </cell>
          <cell r="AO324">
            <v>0</v>
          </cell>
          <cell r="AP324">
            <v>0</v>
          </cell>
          <cell r="AQ324">
            <v>0</v>
          </cell>
          <cell r="AR324">
            <v>0</v>
          </cell>
          <cell r="AS324">
            <v>0</v>
          </cell>
          <cell r="AT324">
            <v>0</v>
          </cell>
          <cell r="AU324">
            <v>7110</v>
          </cell>
          <cell r="AV324">
            <v>0</v>
          </cell>
          <cell r="AW324">
            <v>0</v>
          </cell>
          <cell r="AX324">
            <v>0</v>
          </cell>
          <cell r="BA324">
            <v>0</v>
          </cell>
          <cell r="BC324">
            <v>0</v>
          </cell>
          <cell r="BD324">
            <v>19168</v>
          </cell>
          <cell r="BF324">
            <v>0</v>
          </cell>
          <cell r="BG324">
            <v>0</v>
          </cell>
          <cell r="BH324">
            <v>0</v>
          </cell>
          <cell r="BI324">
            <v>78969</v>
          </cell>
          <cell r="BJ324">
            <v>65003</v>
          </cell>
          <cell r="BK324">
            <v>65003</v>
          </cell>
          <cell r="BL324">
            <v>0</v>
          </cell>
          <cell r="BM324">
            <v>0</v>
          </cell>
          <cell r="BN324">
            <v>0</v>
          </cell>
          <cell r="BO324">
            <v>309855</v>
          </cell>
          <cell r="BP324">
            <v>23721</v>
          </cell>
          <cell r="BQ324">
            <v>42732.5581395349</v>
          </cell>
          <cell r="BR324">
            <v>0</v>
          </cell>
          <cell r="BS324">
            <v>0</v>
          </cell>
          <cell r="BT324">
            <v>84497</v>
          </cell>
          <cell r="BY324">
            <v>0</v>
          </cell>
          <cell r="BZ324">
            <v>0</v>
          </cell>
          <cell r="CA324">
            <v>0</v>
          </cell>
          <cell r="CB324">
            <v>0</v>
          </cell>
          <cell r="CC324">
            <v>4577550</v>
          </cell>
          <cell r="CD324">
            <v>25455324</v>
          </cell>
          <cell r="CE324">
            <v>1799399</v>
          </cell>
          <cell r="CF324">
            <v>0</v>
          </cell>
          <cell r="CG324">
            <v>1799399</v>
          </cell>
          <cell r="CH324">
            <v>1799399</v>
          </cell>
          <cell r="CI324">
            <v>1799399</v>
          </cell>
          <cell r="CJ324">
            <v>1799399</v>
          </cell>
          <cell r="CK324">
            <v>0</v>
          </cell>
          <cell r="CL324">
            <v>0</v>
          </cell>
          <cell r="CM324">
            <v>0</v>
          </cell>
          <cell r="CN324">
            <v>0</v>
          </cell>
          <cell r="CO324">
            <v>0</v>
          </cell>
          <cell r="CP324">
            <v>0</v>
          </cell>
          <cell r="CQ324">
            <v>6100234</v>
          </cell>
          <cell r="CR324">
            <v>5910920</v>
          </cell>
          <cell r="CS324">
            <v>5792457</v>
          </cell>
          <cell r="CT324">
            <v>5718749</v>
          </cell>
          <cell r="CU324">
            <v>5659044</v>
          </cell>
          <cell r="CV324">
            <v>-52095</v>
          </cell>
          <cell r="CW324">
            <v>0</v>
          </cell>
          <cell r="CX324">
            <v>0</v>
          </cell>
          <cell r="CY324">
            <v>0</v>
          </cell>
          <cell r="CZ324">
            <v>0</v>
          </cell>
          <cell r="DA324">
            <v>0</v>
          </cell>
          <cell r="DC324">
            <v>0</v>
          </cell>
          <cell r="DD324">
            <v>0</v>
          </cell>
          <cell r="DE324">
            <v>0</v>
          </cell>
          <cell r="DF324">
            <v>0</v>
          </cell>
          <cell r="DG324">
            <v>0</v>
          </cell>
          <cell r="DH324">
            <v>0</v>
          </cell>
          <cell r="DI324">
            <v>0</v>
          </cell>
          <cell r="DJ324">
            <v>0</v>
          </cell>
          <cell r="DK324">
            <v>0</v>
          </cell>
          <cell r="DL324">
            <v>0</v>
          </cell>
        </row>
        <row r="325">
          <cell r="A325">
            <v>828</v>
          </cell>
          <cell r="B325" t="str">
            <v>Oss</v>
          </cell>
          <cell r="C325">
            <v>10</v>
          </cell>
          <cell r="D325">
            <v>-46859</v>
          </cell>
          <cell r="E325">
            <v>-23430</v>
          </cell>
          <cell r="F325">
            <v>0</v>
          </cell>
          <cell r="G325">
            <v>0</v>
          </cell>
          <cell r="H325">
            <v>-31514</v>
          </cell>
          <cell r="I325">
            <v>-29364</v>
          </cell>
          <cell r="K325">
            <v>0</v>
          </cell>
          <cell r="L325">
            <v>433159</v>
          </cell>
          <cell r="M325">
            <v>406439</v>
          </cell>
          <cell r="N325">
            <v>0</v>
          </cell>
          <cell r="O325">
            <v>0</v>
          </cell>
          <cell r="P325">
            <v>0</v>
          </cell>
          <cell r="Q325">
            <v>0</v>
          </cell>
          <cell r="R325">
            <v>0</v>
          </cell>
          <cell r="S325">
            <v>0</v>
          </cell>
          <cell r="T325">
            <v>0</v>
          </cell>
          <cell r="U325">
            <v>0</v>
          </cell>
          <cell r="V325">
            <v>118750</v>
          </cell>
          <cell r="W325">
            <v>355517</v>
          </cell>
          <cell r="X325">
            <v>0</v>
          </cell>
          <cell r="Z325">
            <v>0</v>
          </cell>
          <cell r="AA325">
            <v>0</v>
          </cell>
          <cell r="AB325">
            <v>0</v>
          </cell>
          <cell r="AD325">
            <v>125158</v>
          </cell>
          <cell r="AE325">
            <v>0</v>
          </cell>
          <cell r="AF325">
            <v>0</v>
          </cell>
          <cell r="AG325">
            <v>0</v>
          </cell>
          <cell r="AH325">
            <v>0</v>
          </cell>
          <cell r="AI325">
            <v>0</v>
          </cell>
          <cell r="AJ325">
            <v>0</v>
          </cell>
          <cell r="AK325">
            <v>0</v>
          </cell>
          <cell r="AM325">
            <v>0</v>
          </cell>
          <cell r="AN325">
            <v>0</v>
          </cell>
          <cell r="AO325">
            <v>0</v>
          </cell>
          <cell r="AP325">
            <v>0</v>
          </cell>
          <cell r="AQ325">
            <v>0</v>
          </cell>
          <cell r="AR325">
            <v>0</v>
          </cell>
          <cell r="AS325">
            <v>0</v>
          </cell>
          <cell r="AT325">
            <v>19000</v>
          </cell>
          <cell r="AU325">
            <v>0</v>
          </cell>
          <cell r="AV325">
            <v>3264263.93086163</v>
          </cell>
          <cell r="AW325">
            <v>0</v>
          </cell>
          <cell r="AX325">
            <v>0</v>
          </cell>
          <cell r="BA325">
            <v>0</v>
          </cell>
          <cell r="BC325">
            <v>0</v>
          </cell>
          <cell r="BD325">
            <v>31725</v>
          </cell>
          <cell r="BF325">
            <v>0</v>
          </cell>
          <cell r="BG325">
            <v>0</v>
          </cell>
          <cell r="BH325">
            <v>0</v>
          </cell>
          <cell r="BI325">
            <v>137817</v>
          </cell>
          <cell r="BJ325">
            <v>113444</v>
          </cell>
          <cell r="BK325">
            <v>113444</v>
          </cell>
          <cell r="BL325">
            <v>50000</v>
          </cell>
          <cell r="BM325">
            <v>0</v>
          </cell>
          <cell r="BN325">
            <v>0</v>
          </cell>
          <cell r="BO325">
            <v>334662</v>
          </cell>
          <cell r="BP325">
            <v>34790.800000000003</v>
          </cell>
          <cell r="BQ325">
            <v>62674.418604651197</v>
          </cell>
          <cell r="BR325">
            <v>0</v>
          </cell>
          <cell r="BS325">
            <v>0</v>
          </cell>
          <cell r="BT325">
            <v>150268</v>
          </cell>
          <cell r="BY325">
            <v>0</v>
          </cell>
          <cell r="BZ325">
            <v>0</v>
          </cell>
          <cell r="CA325">
            <v>0</v>
          </cell>
          <cell r="CB325">
            <v>0</v>
          </cell>
          <cell r="CC325">
            <v>7365328</v>
          </cell>
          <cell r="CD325">
            <v>74362776</v>
          </cell>
          <cell r="CE325">
            <v>3544885</v>
          </cell>
          <cell r="CF325">
            <v>0</v>
          </cell>
          <cell r="CG325">
            <v>3544885</v>
          </cell>
          <cell r="CH325">
            <v>3544885</v>
          </cell>
          <cell r="CI325">
            <v>3544885</v>
          </cell>
          <cell r="CJ325">
            <v>3544885</v>
          </cell>
          <cell r="CK325">
            <v>18704728</v>
          </cell>
          <cell r="CL325">
            <v>18695340</v>
          </cell>
          <cell r="CM325">
            <v>18695188</v>
          </cell>
          <cell r="CN325">
            <v>18694854</v>
          </cell>
          <cell r="CO325">
            <v>18695317</v>
          </cell>
          <cell r="CP325">
            <v>-10540</v>
          </cell>
          <cell r="CQ325">
            <v>19857926</v>
          </cell>
          <cell r="CR325">
            <v>18952245</v>
          </cell>
          <cell r="CS325">
            <v>18429817</v>
          </cell>
          <cell r="CT325">
            <v>18014750</v>
          </cell>
          <cell r="CU325">
            <v>17561796</v>
          </cell>
          <cell r="CV325">
            <v>122143</v>
          </cell>
          <cell r="CW325">
            <v>0</v>
          </cell>
          <cell r="CX325">
            <v>0</v>
          </cell>
          <cell r="CY325">
            <v>0</v>
          </cell>
          <cell r="CZ325">
            <v>0</v>
          </cell>
          <cell r="DA325">
            <v>80000</v>
          </cell>
          <cell r="DC325">
            <v>0</v>
          </cell>
          <cell r="DD325">
            <v>0</v>
          </cell>
          <cell r="DE325">
            <v>0</v>
          </cell>
          <cell r="DF325">
            <v>0</v>
          </cell>
          <cell r="DG325">
            <v>0</v>
          </cell>
          <cell r="DH325">
            <v>0</v>
          </cell>
          <cell r="DI325">
            <v>0</v>
          </cell>
          <cell r="DJ325">
            <v>0</v>
          </cell>
          <cell r="DK325">
            <v>0</v>
          </cell>
          <cell r="DL325">
            <v>0</v>
          </cell>
        </row>
        <row r="326">
          <cell r="A326">
            <v>1667</v>
          </cell>
          <cell r="B326" t="str">
            <v>Reusel-De Mierden</v>
          </cell>
          <cell r="C326">
            <v>10</v>
          </cell>
          <cell r="D326">
            <v>2455</v>
          </cell>
          <cell r="E326">
            <v>1227</v>
          </cell>
          <cell r="F326">
            <v>0</v>
          </cell>
          <cell r="G326">
            <v>0</v>
          </cell>
          <cell r="H326">
            <v>-20470</v>
          </cell>
          <cell r="I326">
            <v>-10855</v>
          </cell>
          <cell r="K326">
            <v>0</v>
          </cell>
          <cell r="L326">
            <v>43772</v>
          </cell>
          <cell r="M326">
            <v>42258</v>
          </cell>
          <cell r="N326">
            <v>0</v>
          </cell>
          <cell r="O326">
            <v>0</v>
          </cell>
          <cell r="P326">
            <v>0</v>
          </cell>
          <cell r="Q326">
            <v>0</v>
          </cell>
          <cell r="R326">
            <v>0</v>
          </cell>
          <cell r="S326">
            <v>0</v>
          </cell>
          <cell r="T326">
            <v>0</v>
          </cell>
          <cell r="U326">
            <v>0</v>
          </cell>
          <cell r="V326">
            <v>0</v>
          </cell>
          <cell r="W326">
            <v>48983</v>
          </cell>
          <cell r="X326">
            <v>0</v>
          </cell>
          <cell r="Z326">
            <v>0</v>
          </cell>
          <cell r="AA326">
            <v>0</v>
          </cell>
          <cell r="AB326">
            <v>0</v>
          </cell>
          <cell r="AD326">
            <v>0</v>
          </cell>
          <cell r="AE326">
            <v>0</v>
          </cell>
          <cell r="AF326">
            <v>0</v>
          </cell>
          <cell r="AG326">
            <v>0</v>
          </cell>
          <cell r="AH326">
            <v>0</v>
          </cell>
          <cell r="AI326">
            <v>0</v>
          </cell>
          <cell r="AJ326">
            <v>0</v>
          </cell>
          <cell r="AK326">
            <v>0</v>
          </cell>
          <cell r="AM326">
            <v>0</v>
          </cell>
          <cell r="AN326">
            <v>0</v>
          </cell>
          <cell r="AO326">
            <v>0</v>
          </cell>
          <cell r="AP326">
            <v>0</v>
          </cell>
          <cell r="AQ326">
            <v>0</v>
          </cell>
          <cell r="AR326">
            <v>0</v>
          </cell>
          <cell r="AS326">
            <v>0</v>
          </cell>
          <cell r="AT326">
            <v>0</v>
          </cell>
          <cell r="AU326">
            <v>2370</v>
          </cell>
          <cell r="AV326">
            <v>0</v>
          </cell>
          <cell r="AW326">
            <v>0</v>
          </cell>
          <cell r="AX326">
            <v>0</v>
          </cell>
          <cell r="BA326">
            <v>0</v>
          </cell>
          <cell r="BC326">
            <v>0</v>
          </cell>
          <cell r="BD326">
            <v>4531</v>
          </cell>
          <cell r="BF326">
            <v>0</v>
          </cell>
          <cell r="BG326">
            <v>0</v>
          </cell>
          <cell r="BH326">
            <v>0</v>
          </cell>
          <cell r="BI326">
            <v>13090</v>
          </cell>
          <cell r="BJ326">
            <v>10775</v>
          </cell>
          <cell r="BK326">
            <v>10775</v>
          </cell>
          <cell r="BL326">
            <v>0</v>
          </cell>
          <cell r="BM326">
            <v>0</v>
          </cell>
          <cell r="BN326">
            <v>0</v>
          </cell>
          <cell r="BO326">
            <v>0</v>
          </cell>
          <cell r="BP326">
            <v>15814</v>
          </cell>
          <cell r="BQ326">
            <v>28488.372093023299</v>
          </cell>
          <cell r="BR326">
            <v>0</v>
          </cell>
          <cell r="BS326">
            <v>0</v>
          </cell>
          <cell r="BT326">
            <v>22957</v>
          </cell>
          <cell r="BY326">
            <v>0</v>
          </cell>
          <cell r="BZ326">
            <v>0</v>
          </cell>
          <cell r="CA326">
            <v>0</v>
          </cell>
          <cell r="CB326">
            <v>0</v>
          </cell>
          <cell r="CC326">
            <v>893074</v>
          </cell>
          <cell r="CD326">
            <v>6544394</v>
          </cell>
          <cell r="CE326">
            <v>298111</v>
          </cell>
          <cell r="CF326">
            <v>-19840</v>
          </cell>
          <cell r="CG326">
            <v>298111</v>
          </cell>
          <cell r="CH326">
            <v>298111</v>
          </cell>
          <cell r="CI326">
            <v>298111</v>
          </cell>
          <cell r="CJ326">
            <v>298111</v>
          </cell>
          <cell r="CK326">
            <v>0</v>
          </cell>
          <cell r="CL326">
            <v>0</v>
          </cell>
          <cell r="CM326">
            <v>0</v>
          </cell>
          <cell r="CN326">
            <v>0</v>
          </cell>
          <cell r="CO326">
            <v>0</v>
          </cell>
          <cell r="CP326">
            <v>-939</v>
          </cell>
          <cell r="CQ326">
            <v>2690117</v>
          </cell>
          <cell r="CR326">
            <v>2569627</v>
          </cell>
          <cell r="CS326">
            <v>2498657</v>
          </cell>
          <cell r="CT326">
            <v>2417543</v>
          </cell>
          <cell r="CU326">
            <v>2331179</v>
          </cell>
          <cell r="CV326">
            <v>-805</v>
          </cell>
          <cell r="CW326">
            <v>0</v>
          </cell>
          <cell r="CX326">
            <v>0</v>
          </cell>
          <cell r="CY326">
            <v>0</v>
          </cell>
          <cell r="CZ326">
            <v>0</v>
          </cell>
          <cell r="DA326">
            <v>0</v>
          </cell>
          <cell r="DC326">
            <v>0</v>
          </cell>
          <cell r="DD326">
            <v>0</v>
          </cell>
          <cell r="DE326">
            <v>0</v>
          </cell>
          <cell r="DF326">
            <v>0</v>
          </cell>
          <cell r="DG326">
            <v>0</v>
          </cell>
          <cell r="DH326">
            <v>0</v>
          </cell>
          <cell r="DI326">
            <v>0</v>
          </cell>
          <cell r="DJ326">
            <v>0</v>
          </cell>
          <cell r="DK326">
            <v>0</v>
          </cell>
          <cell r="DL326">
            <v>0</v>
          </cell>
        </row>
        <row r="327">
          <cell r="A327">
            <v>1674</v>
          </cell>
          <cell r="B327" t="str">
            <v>Roosendaal</v>
          </cell>
          <cell r="C327">
            <v>10</v>
          </cell>
          <cell r="D327">
            <v>-18508</v>
          </cell>
          <cell r="E327">
            <v>-9254</v>
          </cell>
          <cell r="F327">
            <v>0</v>
          </cell>
          <cell r="G327">
            <v>0</v>
          </cell>
          <cell r="H327">
            <v>0</v>
          </cell>
          <cell r="I327">
            <v>0</v>
          </cell>
          <cell r="K327">
            <v>0</v>
          </cell>
          <cell r="L327">
            <v>426613</v>
          </cell>
          <cell r="M327">
            <v>425556</v>
          </cell>
          <cell r="N327">
            <v>0</v>
          </cell>
          <cell r="O327">
            <v>0</v>
          </cell>
          <cell r="P327">
            <v>0</v>
          </cell>
          <cell r="Q327">
            <v>0</v>
          </cell>
          <cell r="R327">
            <v>0</v>
          </cell>
          <cell r="S327">
            <v>0</v>
          </cell>
          <cell r="T327">
            <v>0</v>
          </cell>
          <cell r="U327">
            <v>0</v>
          </cell>
          <cell r="V327">
            <v>36000</v>
          </cell>
          <cell r="W327">
            <v>299342</v>
          </cell>
          <cell r="X327">
            <v>0</v>
          </cell>
          <cell r="Z327">
            <v>0</v>
          </cell>
          <cell r="AA327">
            <v>0</v>
          </cell>
          <cell r="AB327">
            <v>0</v>
          </cell>
          <cell r="AD327">
            <v>176004</v>
          </cell>
          <cell r="AE327">
            <v>0</v>
          </cell>
          <cell r="AF327">
            <v>0</v>
          </cell>
          <cell r="AG327">
            <v>0</v>
          </cell>
          <cell r="AH327">
            <v>0</v>
          </cell>
          <cell r="AI327">
            <v>0</v>
          </cell>
          <cell r="AJ327">
            <v>0</v>
          </cell>
          <cell r="AK327">
            <v>0</v>
          </cell>
          <cell r="AM327">
            <v>0</v>
          </cell>
          <cell r="AN327">
            <v>0</v>
          </cell>
          <cell r="AO327">
            <v>0</v>
          </cell>
          <cell r="AP327">
            <v>0</v>
          </cell>
          <cell r="AQ327">
            <v>0</v>
          </cell>
          <cell r="AR327">
            <v>0</v>
          </cell>
          <cell r="AS327">
            <v>0</v>
          </cell>
          <cell r="AT327">
            <v>0</v>
          </cell>
          <cell r="AU327">
            <v>2370</v>
          </cell>
          <cell r="AV327">
            <v>0</v>
          </cell>
          <cell r="AW327">
            <v>0</v>
          </cell>
          <cell r="AX327">
            <v>0</v>
          </cell>
          <cell r="BA327">
            <v>0</v>
          </cell>
          <cell r="BC327">
            <v>20000</v>
          </cell>
          <cell r="BD327">
            <v>27087</v>
          </cell>
          <cell r="BF327">
            <v>0</v>
          </cell>
          <cell r="BG327">
            <v>0</v>
          </cell>
          <cell r="BH327">
            <v>0</v>
          </cell>
          <cell r="BI327">
            <v>129568</v>
          </cell>
          <cell r="BJ327">
            <v>106653</v>
          </cell>
          <cell r="BK327">
            <v>106653</v>
          </cell>
          <cell r="BL327">
            <v>0</v>
          </cell>
          <cell r="BM327">
            <v>0</v>
          </cell>
          <cell r="BN327">
            <v>0</v>
          </cell>
          <cell r="BO327">
            <v>147388</v>
          </cell>
          <cell r="BP327">
            <v>1581.4</v>
          </cell>
          <cell r="BQ327">
            <v>2848.8372093023299</v>
          </cell>
          <cell r="BR327">
            <v>0</v>
          </cell>
          <cell r="BS327">
            <v>0</v>
          </cell>
          <cell r="BT327">
            <v>123780</v>
          </cell>
          <cell r="BY327">
            <v>0</v>
          </cell>
          <cell r="BZ327">
            <v>0</v>
          </cell>
          <cell r="CA327">
            <v>0</v>
          </cell>
          <cell r="CB327">
            <v>0</v>
          </cell>
          <cell r="CC327">
            <v>6673912</v>
          </cell>
          <cell r="CD327">
            <v>45525422</v>
          </cell>
          <cell r="CE327">
            <v>2020956</v>
          </cell>
          <cell r="CF327">
            <v>0</v>
          </cell>
          <cell r="CG327">
            <v>2020956</v>
          </cell>
          <cell r="CH327">
            <v>2020956</v>
          </cell>
          <cell r="CI327">
            <v>2020956</v>
          </cell>
          <cell r="CJ327">
            <v>2020956</v>
          </cell>
          <cell r="CK327">
            <v>0</v>
          </cell>
          <cell r="CL327">
            <v>0</v>
          </cell>
          <cell r="CM327">
            <v>0</v>
          </cell>
          <cell r="CN327">
            <v>0</v>
          </cell>
          <cell r="CO327">
            <v>0</v>
          </cell>
          <cell r="CP327">
            <v>0</v>
          </cell>
          <cell r="CQ327">
            <v>14326576</v>
          </cell>
          <cell r="CR327">
            <v>13720963</v>
          </cell>
          <cell r="CS327">
            <v>13425954</v>
          </cell>
          <cell r="CT327">
            <v>13191197</v>
          </cell>
          <cell r="CU327">
            <v>12884979</v>
          </cell>
          <cell r="CV327">
            <v>-151448</v>
          </cell>
          <cell r="CW327">
            <v>0</v>
          </cell>
          <cell r="CX327">
            <v>0</v>
          </cell>
          <cell r="CY327">
            <v>0</v>
          </cell>
          <cell r="CZ327">
            <v>0</v>
          </cell>
          <cell r="DA327">
            <v>0</v>
          </cell>
          <cell r="DC327">
            <v>0</v>
          </cell>
          <cell r="DD327">
            <v>0</v>
          </cell>
          <cell r="DE327">
            <v>0</v>
          </cell>
          <cell r="DF327">
            <v>0</v>
          </cell>
          <cell r="DG327">
            <v>0</v>
          </cell>
          <cell r="DH327">
            <v>0</v>
          </cell>
          <cell r="DI327">
            <v>0</v>
          </cell>
          <cell r="DJ327">
            <v>0</v>
          </cell>
          <cell r="DK327">
            <v>0</v>
          </cell>
          <cell r="DL327">
            <v>0</v>
          </cell>
        </row>
        <row r="328">
          <cell r="A328">
            <v>840</v>
          </cell>
          <cell r="B328" t="str">
            <v>Rucphen</v>
          </cell>
          <cell r="C328">
            <v>10</v>
          </cell>
          <cell r="D328">
            <v>-2396</v>
          </cell>
          <cell r="E328">
            <v>-1198</v>
          </cell>
          <cell r="F328">
            <v>0</v>
          </cell>
          <cell r="G328">
            <v>0</v>
          </cell>
          <cell r="H328">
            <v>-32700</v>
          </cell>
          <cell r="I328">
            <v>-18131</v>
          </cell>
          <cell r="K328">
            <v>0</v>
          </cell>
          <cell r="L328">
            <v>64941</v>
          </cell>
          <cell r="M328">
            <v>61518</v>
          </cell>
          <cell r="N328">
            <v>0</v>
          </cell>
          <cell r="O328">
            <v>0</v>
          </cell>
          <cell r="P328">
            <v>0</v>
          </cell>
          <cell r="Q328">
            <v>0</v>
          </cell>
          <cell r="R328">
            <v>0</v>
          </cell>
          <cell r="S328">
            <v>0</v>
          </cell>
          <cell r="T328">
            <v>0</v>
          </cell>
          <cell r="U328">
            <v>0</v>
          </cell>
          <cell r="V328">
            <v>9000</v>
          </cell>
          <cell r="W328">
            <v>0</v>
          </cell>
          <cell r="X328">
            <v>0</v>
          </cell>
          <cell r="Z328">
            <v>0</v>
          </cell>
          <cell r="AA328">
            <v>0</v>
          </cell>
          <cell r="AB328">
            <v>0</v>
          </cell>
          <cell r="AD328">
            <v>44978</v>
          </cell>
          <cell r="AE328">
            <v>0</v>
          </cell>
          <cell r="AF328">
            <v>0</v>
          </cell>
          <cell r="AG328">
            <v>0</v>
          </cell>
          <cell r="AH328">
            <v>0</v>
          </cell>
          <cell r="AI328">
            <v>0</v>
          </cell>
          <cell r="AJ328">
            <v>0</v>
          </cell>
          <cell r="AK328">
            <v>0</v>
          </cell>
          <cell r="AM328">
            <v>0</v>
          </cell>
          <cell r="AN328">
            <v>0</v>
          </cell>
          <cell r="AO328">
            <v>0</v>
          </cell>
          <cell r="AP328">
            <v>0</v>
          </cell>
          <cell r="AQ328">
            <v>0</v>
          </cell>
          <cell r="AR328">
            <v>0</v>
          </cell>
          <cell r="AS328">
            <v>0</v>
          </cell>
          <cell r="AT328">
            <v>0</v>
          </cell>
          <cell r="AU328">
            <v>0</v>
          </cell>
          <cell r="AV328">
            <v>0</v>
          </cell>
          <cell r="AW328">
            <v>0</v>
          </cell>
          <cell r="AX328">
            <v>0</v>
          </cell>
          <cell r="BA328">
            <v>0</v>
          </cell>
          <cell r="BC328">
            <v>0</v>
          </cell>
          <cell r="BD328">
            <v>7844</v>
          </cell>
          <cell r="BF328">
            <v>0</v>
          </cell>
          <cell r="BG328">
            <v>0</v>
          </cell>
          <cell r="BH328">
            <v>0</v>
          </cell>
          <cell r="BI328">
            <v>31951</v>
          </cell>
          <cell r="BJ328">
            <v>26301</v>
          </cell>
          <cell r="BK328">
            <v>26301</v>
          </cell>
          <cell r="BL328">
            <v>0</v>
          </cell>
          <cell r="BM328">
            <v>0</v>
          </cell>
          <cell r="BN328">
            <v>0</v>
          </cell>
          <cell r="BO328">
            <v>46697</v>
          </cell>
          <cell r="BP328">
            <v>4744.2</v>
          </cell>
          <cell r="BQ328">
            <v>8546.5116279069807</v>
          </cell>
          <cell r="BR328">
            <v>0</v>
          </cell>
          <cell r="BS328">
            <v>0</v>
          </cell>
          <cell r="BT328">
            <v>31536</v>
          </cell>
          <cell r="BY328">
            <v>0</v>
          </cell>
          <cell r="BZ328">
            <v>0</v>
          </cell>
          <cell r="CA328">
            <v>0</v>
          </cell>
          <cell r="CB328">
            <v>0</v>
          </cell>
          <cell r="CC328">
            <v>2125473</v>
          </cell>
          <cell r="CD328">
            <v>14855817</v>
          </cell>
          <cell r="CE328">
            <v>352841</v>
          </cell>
          <cell r="CF328">
            <v>-29486</v>
          </cell>
          <cell r="CG328">
            <v>352841</v>
          </cell>
          <cell r="CH328">
            <v>352841</v>
          </cell>
          <cell r="CI328">
            <v>352841</v>
          </cell>
          <cell r="CJ328">
            <v>352841</v>
          </cell>
          <cell r="CK328">
            <v>0</v>
          </cell>
          <cell r="CL328">
            <v>0</v>
          </cell>
          <cell r="CM328">
            <v>0</v>
          </cell>
          <cell r="CN328">
            <v>0</v>
          </cell>
          <cell r="CO328">
            <v>0</v>
          </cell>
          <cell r="CP328">
            <v>-2129</v>
          </cell>
          <cell r="CQ328">
            <v>6354510</v>
          </cell>
          <cell r="CR328">
            <v>6056473</v>
          </cell>
          <cell r="CS328">
            <v>5918032</v>
          </cell>
          <cell r="CT328">
            <v>5761268</v>
          </cell>
          <cell r="CU328">
            <v>5556004</v>
          </cell>
          <cell r="CV328">
            <v>-24759</v>
          </cell>
          <cell r="CW328">
            <v>0</v>
          </cell>
          <cell r="CX328">
            <v>0</v>
          </cell>
          <cell r="CY328">
            <v>0</v>
          </cell>
          <cell r="CZ328">
            <v>0</v>
          </cell>
          <cell r="DA328">
            <v>0</v>
          </cell>
          <cell r="DC328">
            <v>0</v>
          </cell>
          <cell r="DD328">
            <v>0</v>
          </cell>
          <cell r="DE328">
            <v>0</v>
          </cell>
          <cell r="DF328">
            <v>0</v>
          </cell>
          <cell r="DG328">
            <v>0</v>
          </cell>
          <cell r="DH328">
            <v>0</v>
          </cell>
          <cell r="DI328">
            <v>0</v>
          </cell>
          <cell r="DJ328">
            <v>0</v>
          </cell>
          <cell r="DK328">
            <v>0</v>
          </cell>
          <cell r="DL328">
            <v>0</v>
          </cell>
        </row>
        <row r="329">
          <cell r="A329">
            <v>796</v>
          </cell>
          <cell r="B329" t="str">
            <v>'s-Hertogenbosch</v>
          </cell>
          <cell r="C329">
            <v>10</v>
          </cell>
          <cell r="D329">
            <v>57848</v>
          </cell>
          <cell r="E329">
            <v>28924</v>
          </cell>
          <cell r="F329">
            <v>0</v>
          </cell>
          <cell r="G329">
            <v>0</v>
          </cell>
          <cell r="H329">
            <v>-101156</v>
          </cell>
          <cell r="I329">
            <v>-83839</v>
          </cell>
          <cell r="K329">
            <v>7500</v>
          </cell>
          <cell r="L329">
            <v>727721</v>
          </cell>
          <cell r="M329">
            <v>763715</v>
          </cell>
          <cell r="N329">
            <v>0</v>
          </cell>
          <cell r="O329">
            <v>0</v>
          </cell>
          <cell r="P329">
            <v>150000</v>
          </cell>
          <cell r="Q329">
            <v>0</v>
          </cell>
          <cell r="R329">
            <v>0</v>
          </cell>
          <cell r="S329">
            <v>760982</v>
          </cell>
          <cell r="T329">
            <v>760982</v>
          </cell>
          <cell r="U329">
            <v>760982</v>
          </cell>
          <cell r="V329">
            <v>170500</v>
          </cell>
          <cell r="W329">
            <v>535512</v>
          </cell>
          <cell r="X329">
            <v>0</v>
          </cell>
          <cell r="Z329">
            <v>0</v>
          </cell>
          <cell r="AA329">
            <v>40000</v>
          </cell>
          <cell r="AB329">
            <v>0</v>
          </cell>
          <cell r="AD329">
            <v>252272</v>
          </cell>
          <cell r="AE329">
            <v>0</v>
          </cell>
          <cell r="AF329">
            <v>0</v>
          </cell>
          <cell r="AG329">
            <v>0</v>
          </cell>
          <cell r="AH329">
            <v>0</v>
          </cell>
          <cell r="AI329">
            <v>0</v>
          </cell>
          <cell r="AJ329">
            <v>0</v>
          </cell>
          <cell r="AK329">
            <v>340803</v>
          </cell>
          <cell r="AM329">
            <v>0</v>
          </cell>
          <cell r="AN329">
            <v>0</v>
          </cell>
          <cell r="AO329">
            <v>0</v>
          </cell>
          <cell r="AP329">
            <v>0</v>
          </cell>
          <cell r="AQ329">
            <v>0</v>
          </cell>
          <cell r="AR329">
            <v>0</v>
          </cell>
          <cell r="AS329">
            <v>0</v>
          </cell>
          <cell r="AT329">
            <v>20000</v>
          </cell>
          <cell r="AU329">
            <v>7110</v>
          </cell>
          <cell r="AV329">
            <v>5334161.9301744904</v>
          </cell>
          <cell r="AW329">
            <v>157716</v>
          </cell>
          <cell r="AX329">
            <v>0</v>
          </cell>
          <cell r="BA329">
            <v>0</v>
          </cell>
          <cell r="BC329">
            <v>0</v>
          </cell>
          <cell r="BD329">
            <v>53502</v>
          </cell>
          <cell r="BF329">
            <v>0</v>
          </cell>
          <cell r="BG329">
            <v>0</v>
          </cell>
          <cell r="BH329">
            <v>0</v>
          </cell>
          <cell r="BI329">
            <v>240692</v>
          </cell>
          <cell r="BJ329">
            <v>198125</v>
          </cell>
          <cell r="BK329">
            <v>198125</v>
          </cell>
          <cell r="BL329">
            <v>0</v>
          </cell>
          <cell r="BM329">
            <v>0</v>
          </cell>
          <cell r="BN329">
            <v>251020</v>
          </cell>
          <cell r="BO329">
            <v>302558</v>
          </cell>
          <cell r="BP329">
            <v>33209.4</v>
          </cell>
          <cell r="BQ329">
            <v>59825.581395348803</v>
          </cell>
          <cell r="BR329">
            <v>0</v>
          </cell>
          <cell r="BS329">
            <v>0</v>
          </cell>
          <cell r="BT329">
            <v>248691</v>
          </cell>
          <cell r="BY329">
            <v>3703268.9399355501</v>
          </cell>
          <cell r="BZ329">
            <v>4291191.4359341701</v>
          </cell>
          <cell r="CA329">
            <v>4341415.9707682198</v>
          </cell>
          <cell r="CB329">
            <v>4483226.4220643695</v>
          </cell>
          <cell r="CC329">
            <v>11130756</v>
          </cell>
          <cell r="CD329">
            <v>108806530</v>
          </cell>
          <cell r="CE329">
            <v>4895083</v>
          </cell>
          <cell r="CF329">
            <v>-60974</v>
          </cell>
          <cell r="CG329">
            <v>4895083</v>
          </cell>
          <cell r="CH329">
            <v>4895083</v>
          </cell>
          <cell r="CI329">
            <v>4895083</v>
          </cell>
          <cell r="CJ329">
            <v>4895083</v>
          </cell>
          <cell r="CK329">
            <v>29501114</v>
          </cell>
          <cell r="CL329">
            <v>29486307</v>
          </cell>
          <cell r="CM329">
            <v>29486067</v>
          </cell>
          <cell r="CN329">
            <v>29485541</v>
          </cell>
          <cell r="CO329">
            <v>29486271</v>
          </cell>
          <cell r="CP329">
            <v>-21140</v>
          </cell>
          <cell r="CQ329">
            <v>23082034</v>
          </cell>
          <cell r="CR329">
            <v>22158937</v>
          </cell>
          <cell r="CS329">
            <v>21660914</v>
          </cell>
          <cell r="CT329">
            <v>21215639</v>
          </cell>
          <cell r="CU329">
            <v>20683725</v>
          </cell>
          <cell r="CV329">
            <v>-12180</v>
          </cell>
          <cell r="CW329">
            <v>0</v>
          </cell>
          <cell r="CX329">
            <v>0</v>
          </cell>
          <cell r="CY329">
            <v>0</v>
          </cell>
          <cell r="CZ329">
            <v>250000</v>
          </cell>
          <cell r="DA329">
            <v>0</v>
          </cell>
          <cell r="DC329">
            <v>0</v>
          </cell>
          <cell r="DD329">
            <v>0</v>
          </cell>
          <cell r="DE329">
            <v>0</v>
          </cell>
          <cell r="DF329">
            <v>0</v>
          </cell>
          <cell r="DG329">
            <v>0</v>
          </cell>
          <cell r="DH329">
            <v>0</v>
          </cell>
          <cell r="DI329">
            <v>0</v>
          </cell>
          <cell r="DJ329">
            <v>0</v>
          </cell>
          <cell r="DK329">
            <v>0</v>
          </cell>
          <cell r="DL329">
            <v>0</v>
          </cell>
        </row>
        <row r="330">
          <cell r="A330">
            <v>1702</v>
          </cell>
          <cell r="B330" t="str">
            <v>Sint-Anthonis</v>
          </cell>
          <cell r="C330">
            <v>10</v>
          </cell>
          <cell r="D330">
            <v>9629</v>
          </cell>
          <cell r="E330">
            <v>4815</v>
          </cell>
          <cell r="F330">
            <v>0</v>
          </cell>
          <cell r="G330">
            <v>0</v>
          </cell>
          <cell r="H330">
            <v>-29198</v>
          </cell>
          <cell r="I330">
            <v>-14936</v>
          </cell>
          <cell r="K330">
            <v>0</v>
          </cell>
          <cell r="L330">
            <v>32033</v>
          </cell>
          <cell r="M330">
            <v>31211</v>
          </cell>
          <cell r="N330">
            <v>0</v>
          </cell>
          <cell r="O330">
            <v>0</v>
          </cell>
          <cell r="P330">
            <v>0</v>
          </cell>
          <cell r="Q330">
            <v>0</v>
          </cell>
          <cell r="R330">
            <v>0</v>
          </cell>
          <cell r="S330">
            <v>0</v>
          </cell>
          <cell r="T330">
            <v>0</v>
          </cell>
          <cell r="U330">
            <v>0</v>
          </cell>
          <cell r="V330">
            <v>3000</v>
          </cell>
          <cell r="W330">
            <v>52482</v>
          </cell>
          <cell r="X330">
            <v>0</v>
          </cell>
          <cell r="Z330">
            <v>0</v>
          </cell>
          <cell r="AA330">
            <v>0</v>
          </cell>
          <cell r="AB330">
            <v>0</v>
          </cell>
          <cell r="AD330">
            <v>0</v>
          </cell>
          <cell r="AE330">
            <v>0</v>
          </cell>
          <cell r="AF330">
            <v>0</v>
          </cell>
          <cell r="AG330">
            <v>0</v>
          </cell>
          <cell r="AH330">
            <v>0</v>
          </cell>
          <cell r="AI330">
            <v>0</v>
          </cell>
          <cell r="AJ330">
            <v>0</v>
          </cell>
          <cell r="AK330">
            <v>0</v>
          </cell>
          <cell r="AM330">
            <v>0</v>
          </cell>
          <cell r="AN330">
            <v>0</v>
          </cell>
          <cell r="AO330">
            <v>0</v>
          </cell>
          <cell r="AP330">
            <v>0</v>
          </cell>
          <cell r="AQ330">
            <v>0</v>
          </cell>
          <cell r="AR330">
            <v>0</v>
          </cell>
          <cell r="AS330">
            <v>0</v>
          </cell>
          <cell r="AT330">
            <v>0</v>
          </cell>
          <cell r="AU330">
            <v>0</v>
          </cell>
          <cell r="AV330">
            <v>0</v>
          </cell>
          <cell r="AW330">
            <v>0</v>
          </cell>
          <cell r="AX330">
            <v>0</v>
          </cell>
          <cell r="BA330">
            <v>0</v>
          </cell>
          <cell r="BC330">
            <v>0</v>
          </cell>
          <cell r="BD330">
            <v>4070</v>
          </cell>
          <cell r="BF330">
            <v>0</v>
          </cell>
          <cell r="BG330">
            <v>0</v>
          </cell>
          <cell r="BH330">
            <v>0</v>
          </cell>
          <cell r="BI330">
            <v>12138</v>
          </cell>
          <cell r="BJ330">
            <v>9992</v>
          </cell>
          <cell r="BK330">
            <v>9992</v>
          </cell>
          <cell r="BL330">
            <v>0</v>
          </cell>
          <cell r="BM330">
            <v>0</v>
          </cell>
          <cell r="BN330">
            <v>0</v>
          </cell>
          <cell r="BO330">
            <v>158576</v>
          </cell>
          <cell r="BP330">
            <v>0</v>
          </cell>
          <cell r="BQ330">
            <v>0</v>
          </cell>
          <cell r="BR330">
            <v>0</v>
          </cell>
          <cell r="BS330">
            <v>0</v>
          </cell>
          <cell r="BT330">
            <v>20980</v>
          </cell>
          <cell r="BY330">
            <v>0</v>
          </cell>
          <cell r="BZ330">
            <v>0</v>
          </cell>
          <cell r="CA330">
            <v>0</v>
          </cell>
          <cell r="CB330">
            <v>0</v>
          </cell>
          <cell r="CC330">
            <v>894955</v>
          </cell>
          <cell r="CD330">
            <v>5106310</v>
          </cell>
          <cell r="CE330">
            <v>203009</v>
          </cell>
          <cell r="CF330">
            <v>-23651</v>
          </cell>
          <cell r="CG330">
            <v>203009</v>
          </cell>
          <cell r="CH330">
            <v>203009</v>
          </cell>
          <cell r="CI330">
            <v>203009</v>
          </cell>
          <cell r="CJ330">
            <v>203009</v>
          </cell>
          <cell r="CK330">
            <v>0</v>
          </cell>
          <cell r="CL330">
            <v>0</v>
          </cell>
          <cell r="CM330">
            <v>0</v>
          </cell>
          <cell r="CN330">
            <v>0</v>
          </cell>
          <cell r="CO330">
            <v>0</v>
          </cell>
          <cell r="CP330">
            <v>-1899</v>
          </cell>
          <cell r="CQ330">
            <v>1365894</v>
          </cell>
          <cell r="CR330">
            <v>1281587</v>
          </cell>
          <cell r="CS330">
            <v>1225491</v>
          </cell>
          <cell r="CT330">
            <v>1156588</v>
          </cell>
          <cell r="CU330">
            <v>1129449</v>
          </cell>
          <cell r="CV330">
            <v>22500</v>
          </cell>
          <cell r="CW330">
            <v>0</v>
          </cell>
          <cell r="CX330">
            <v>0</v>
          </cell>
          <cell r="CY330">
            <v>0</v>
          </cell>
          <cell r="CZ330">
            <v>0</v>
          </cell>
          <cell r="DA330">
            <v>0</v>
          </cell>
          <cell r="DC330">
            <v>0</v>
          </cell>
          <cell r="DD330">
            <v>0</v>
          </cell>
          <cell r="DE330">
            <v>0</v>
          </cell>
          <cell r="DF330">
            <v>0</v>
          </cell>
          <cell r="DG330">
            <v>0</v>
          </cell>
          <cell r="DH330">
            <v>0</v>
          </cell>
          <cell r="DI330">
            <v>0</v>
          </cell>
          <cell r="DJ330">
            <v>0</v>
          </cell>
          <cell r="DK330">
            <v>0</v>
          </cell>
          <cell r="DL330">
            <v>0</v>
          </cell>
        </row>
        <row r="331">
          <cell r="A331">
            <v>845</v>
          </cell>
          <cell r="B331" t="str">
            <v>Sint-Michielsgestel</v>
          </cell>
          <cell r="C331">
            <v>10</v>
          </cell>
          <cell r="D331">
            <v>-16472</v>
          </cell>
          <cell r="E331">
            <v>-8236</v>
          </cell>
          <cell r="F331">
            <v>0</v>
          </cell>
          <cell r="G331">
            <v>0</v>
          </cell>
          <cell r="H331">
            <v>-16690</v>
          </cell>
          <cell r="I331">
            <v>-16249</v>
          </cell>
          <cell r="K331">
            <v>0</v>
          </cell>
          <cell r="L331">
            <v>80997</v>
          </cell>
          <cell r="M331">
            <v>74445</v>
          </cell>
          <cell r="N331">
            <v>0</v>
          </cell>
          <cell r="O331">
            <v>0</v>
          </cell>
          <cell r="P331">
            <v>0</v>
          </cell>
          <cell r="Q331">
            <v>0</v>
          </cell>
          <cell r="R331">
            <v>0</v>
          </cell>
          <cell r="S331">
            <v>0</v>
          </cell>
          <cell r="T331">
            <v>0</v>
          </cell>
          <cell r="U331">
            <v>0</v>
          </cell>
          <cell r="V331">
            <v>3000</v>
          </cell>
          <cell r="W331">
            <v>87078</v>
          </cell>
          <cell r="X331">
            <v>0</v>
          </cell>
          <cell r="Z331">
            <v>0</v>
          </cell>
          <cell r="AA331">
            <v>0</v>
          </cell>
          <cell r="AB331">
            <v>0</v>
          </cell>
          <cell r="AD331">
            <v>0</v>
          </cell>
          <cell r="AE331">
            <v>0</v>
          </cell>
          <cell r="AF331">
            <v>0</v>
          </cell>
          <cell r="AG331">
            <v>0</v>
          </cell>
          <cell r="AH331">
            <v>0</v>
          </cell>
          <cell r="AI331">
            <v>0</v>
          </cell>
          <cell r="AJ331">
            <v>0</v>
          </cell>
          <cell r="AK331">
            <v>0</v>
          </cell>
          <cell r="AM331">
            <v>0</v>
          </cell>
          <cell r="AN331">
            <v>0</v>
          </cell>
          <cell r="AO331">
            <v>0</v>
          </cell>
          <cell r="AP331">
            <v>0</v>
          </cell>
          <cell r="AQ331">
            <v>0</v>
          </cell>
          <cell r="AR331">
            <v>0</v>
          </cell>
          <cell r="AS331">
            <v>0</v>
          </cell>
          <cell r="AT331">
            <v>0</v>
          </cell>
          <cell r="AU331">
            <v>0</v>
          </cell>
          <cell r="AV331">
            <v>0</v>
          </cell>
          <cell r="AW331">
            <v>0</v>
          </cell>
          <cell r="AX331">
            <v>0</v>
          </cell>
          <cell r="BA331">
            <v>0</v>
          </cell>
          <cell r="BC331">
            <v>0</v>
          </cell>
          <cell r="BD331">
            <v>10034</v>
          </cell>
          <cell r="BF331">
            <v>0</v>
          </cell>
          <cell r="BG331">
            <v>0</v>
          </cell>
          <cell r="BH331">
            <v>0</v>
          </cell>
          <cell r="BI331">
            <v>27736</v>
          </cell>
          <cell r="BJ331">
            <v>22831</v>
          </cell>
          <cell r="BK331">
            <v>22831</v>
          </cell>
          <cell r="BL331">
            <v>0</v>
          </cell>
          <cell r="BM331">
            <v>0</v>
          </cell>
          <cell r="BN331">
            <v>0</v>
          </cell>
          <cell r="BO331">
            <v>15566</v>
          </cell>
          <cell r="BP331">
            <v>0</v>
          </cell>
          <cell r="BQ331">
            <v>0</v>
          </cell>
          <cell r="BR331">
            <v>0</v>
          </cell>
          <cell r="BS331">
            <v>0</v>
          </cell>
          <cell r="BT331">
            <v>44392</v>
          </cell>
          <cell r="BY331">
            <v>0</v>
          </cell>
          <cell r="BZ331">
            <v>0</v>
          </cell>
          <cell r="CA331">
            <v>0</v>
          </cell>
          <cell r="CB331">
            <v>0</v>
          </cell>
          <cell r="CC331">
            <v>2109674</v>
          </cell>
          <cell r="CD331">
            <v>13051393</v>
          </cell>
          <cell r="CE331">
            <v>467068</v>
          </cell>
          <cell r="CF331">
            <v>0</v>
          </cell>
          <cell r="CG331">
            <v>467068</v>
          </cell>
          <cell r="CH331">
            <v>467068</v>
          </cell>
          <cell r="CI331">
            <v>467068</v>
          </cell>
          <cell r="CJ331">
            <v>467068</v>
          </cell>
          <cell r="CK331">
            <v>0</v>
          </cell>
          <cell r="CL331">
            <v>0</v>
          </cell>
          <cell r="CM331">
            <v>0</v>
          </cell>
          <cell r="CN331">
            <v>0</v>
          </cell>
          <cell r="CO331">
            <v>0</v>
          </cell>
          <cell r="CP331">
            <v>-5813</v>
          </cell>
          <cell r="CQ331">
            <v>4443913</v>
          </cell>
          <cell r="CR331">
            <v>4222591</v>
          </cell>
          <cell r="CS331">
            <v>4083194</v>
          </cell>
          <cell r="CT331">
            <v>3967282</v>
          </cell>
          <cell r="CU331">
            <v>3891946</v>
          </cell>
          <cell r="CV331">
            <v>60765</v>
          </cell>
          <cell r="CW331">
            <v>0</v>
          </cell>
          <cell r="CX331">
            <v>0</v>
          </cell>
          <cell r="CY331">
            <v>0</v>
          </cell>
          <cell r="CZ331">
            <v>0</v>
          </cell>
          <cell r="DA331">
            <v>0</v>
          </cell>
          <cell r="DC331">
            <v>0</v>
          </cell>
          <cell r="DD331">
            <v>0</v>
          </cell>
          <cell r="DE331">
            <v>0</v>
          </cell>
          <cell r="DF331">
            <v>0</v>
          </cell>
          <cell r="DG331">
            <v>0</v>
          </cell>
          <cell r="DH331">
            <v>0</v>
          </cell>
          <cell r="DI331">
            <v>0</v>
          </cell>
          <cell r="DJ331">
            <v>0</v>
          </cell>
          <cell r="DK331">
            <v>0</v>
          </cell>
          <cell r="DL331">
            <v>0</v>
          </cell>
        </row>
        <row r="332">
          <cell r="A332">
            <v>847</v>
          </cell>
          <cell r="B332" t="str">
            <v>Someren</v>
          </cell>
          <cell r="C332">
            <v>10</v>
          </cell>
          <cell r="D332">
            <v>-20322</v>
          </cell>
          <cell r="E332">
            <v>-10161</v>
          </cell>
          <cell r="F332">
            <v>0</v>
          </cell>
          <cell r="G332">
            <v>0</v>
          </cell>
          <cell r="H332">
            <v>0</v>
          </cell>
          <cell r="I332">
            <v>-5731</v>
          </cell>
          <cell r="K332">
            <v>0</v>
          </cell>
          <cell r="L332">
            <v>71029</v>
          </cell>
          <cell r="M332">
            <v>57495</v>
          </cell>
          <cell r="N332">
            <v>0</v>
          </cell>
          <cell r="O332">
            <v>0</v>
          </cell>
          <cell r="P332">
            <v>0</v>
          </cell>
          <cell r="Q332">
            <v>0</v>
          </cell>
          <cell r="R332">
            <v>0</v>
          </cell>
          <cell r="S332">
            <v>0</v>
          </cell>
          <cell r="T332">
            <v>0</v>
          </cell>
          <cell r="U332">
            <v>0</v>
          </cell>
          <cell r="V332">
            <v>0</v>
          </cell>
          <cell r="W332">
            <v>78917</v>
          </cell>
          <cell r="X332">
            <v>0</v>
          </cell>
          <cell r="Z332">
            <v>0</v>
          </cell>
          <cell r="AA332">
            <v>0</v>
          </cell>
          <cell r="AB332">
            <v>0</v>
          </cell>
          <cell r="AD332">
            <v>0</v>
          </cell>
          <cell r="AE332">
            <v>0</v>
          </cell>
          <cell r="AF332">
            <v>0</v>
          </cell>
          <cell r="AG332">
            <v>0</v>
          </cell>
          <cell r="AH332">
            <v>0</v>
          </cell>
          <cell r="AI332">
            <v>0</v>
          </cell>
          <cell r="AJ332">
            <v>0</v>
          </cell>
          <cell r="AK332">
            <v>0</v>
          </cell>
          <cell r="AM332">
            <v>0</v>
          </cell>
          <cell r="AN332">
            <v>0</v>
          </cell>
          <cell r="AO332">
            <v>0</v>
          </cell>
          <cell r="AP332">
            <v>0</v>
          </cell>
          <cell r="AQ332">
            <v>0</v>
          </cell>
          <cell r="AR332">
            <v>0</v>
          </cell>
          <cell r="AS332">
            <v>0</v>
          </cell>
          <cell r="AT332">
            <v>0</v>
          </cell>
          <cell r="AU332">
            <v>7110</v>
          </cell>
          <cell r="AV332">
            <v>0</v>
          </cell>
          <cell r="AW332">
            <v>0</v>
          </cell>
          <cell r="AX332">
            <v>0</v>
          </cell>
          <cell r="BA332">
            <v>0</v>
          </cell>
          <cell r="BC332">
            <v>0</v>
          </cell>
          <cell r="BD332">
            <v>6682</v>
          </cell>
          <cell r="BF332">
            <v>0</v>
          </cell>
          <cell r="BG332">
            <v>0</v>
          </cell>
          <cell r="BH332">
            <v>0</v>
          </cell>
          <cell r="BI332">
            <v>25048</v>
          </cell>
          <cell r="BJ332">
            <v>20619</v>
          </cell>
          <cell r="BK332">
            <v>20619</v>
          </cell>
          <cell r="BL332">
            <v>0</v>
          </cell>
          <cell r="BM332">
            <v>0</v>
          </cell>
          <cell r="BN332">
            <v>0</v>
          </cell>
          <cell r="BO332">
            <v>18971</v>
          </cell>
          <cell r="BP332">
            <v>3162.8</v>
          </cell>
          <cell r="BQ332">
            <v>5697.6744186046499</v>
          </cell>
          <cell r="BR332">
            <v>0</v>
          </cell>
          <cell r="BS332">
            <v>0</v>
          </cell>
          <cell r="BT332">
            <v>28944</v>
          </cell>
          <cell r="BY332">
            <v>0</v>
          </cell>
          <cell r="BZ332">
            <v>0</v>
          </cell>
          <cell r="CA332">
            <v>0</v>
          </cell>
          <cell r="CB332">
            <v>0</v>
          </cell>
          <cell r="CC332">
            <v>1375307</v>
          </cell>
          <cell r="CD332">
            <v>7176389</v>
          </cell>
          <cell r="CE332">
            <v>560382</v>
          </cell>
          <cell r="CF332">
            <v>0</v>
          </cell>
          <cell r="CG332">
            <v>560382</v>
          </cell>
          <cell r="CH332">
            <v>560382</v>
          </cell>
          <cell r="CI332">
            <v>560382</v>
          </cell>
          <cell r="CJ332">
            <v>560382</v>
          </cell>
          <cell r="CK332">
            <v>0</v>
          </cell>
          <cell r="CL332">
            <v>0</v>
          </cell>
          <cell r="CM332">
            <v>0</v>
          </cell>
          <cell r="CN332">
            <v>0</v>
          </cell>
          <cell r="CO332">
            <v>0</v>
          </cell>
          <cell r="CP332">
            <v>-2070</v>
          </cell>
          <cell r="CQ332">
            <v>1800974</v>
          </cell>
          <cell r="CR332">
            <v>1692580</v>
          </cell>
          <cell r="CS332">
            <v>1610621</v>
          </cell>
          <cell r="CT332">
            <v>1586194</v>
          </cell>
          <cell r="CU332">
            <v>1567534</v>
          </cell>
          <cell r="CV332">
            <v>-8115</v>
          </cell>
          <cell r="CW332">
            <v>0</v>
          </cell>
          <cell r="CX332">
            <v>0</v>
          </cell>
          <cell r="CY332">
            <v>0</v>
          </cell>
          <cell r="CZ332">
            <v>0</v>
          </cell>
          <cell r="DA332">
            <v>0</v>
          </cell>
          <cell r="DC332">
            <v>0</v>
          </cell>
          <cell r="DD332">
            <v>0</v>
          </cell>
          <cell r="DE332">
            <v>0</v>
          </cell>
          <cell r="DF332">
            <v>0</v>
          </cell>
          <cell r="DG332">
            <v>0</v>
          </cell>
          <cell r="DH332">
            <v>0</v>
          </cell>
          <cell r="DI332">
            <v>0</v>
          </cell>
          <cell r="DJ332">
            <v>0</v>
          </cell>
          <cell r="DK332">
            <v>0</v>
          </cell>
          <cell r="DL332">
            <v>0</v>
          </cell>
        </row>
        <row r="333">
          <cell r="A333">
            <v>848</v>
          </cell>
          <cell r="B333" t="str">
            <v>Son en Breugel</v>
          </cell>
          <cell r="C333">
            <v>10</v>
          </cell>
          <cell r="D333">
            <v>16439</v>
          </cell>
          <cell r="E333">
            <v>8219</v>
          </cell>
          <cell r="F333">
            <v>0</v>
          </cell>
          <cell r="G333">
            <v>0</v>
          </cell>
          <cell r="H333">
            <v>-12005</v>
          </cell>
          <cell r="I333">
            <v>-4342</v>
          </cell>
          <cell r="K333">
            <v>0</v>
          </cell>
          <cell r="L333">
            <v>54316</v>
          </cell>
          <cell r="M333">
            <v>53328</v>
          </cell>
          <cell r="N333">
            <v>0</v>
          </cell>
          <cell r="O333">
            <v>0</v>
          </cell>
          <cell r="P333">
            <v>0</v>
          </cell>
          <cell r="Q333">
            <v>0</v>
          </cell>
          <cell r="R333">
            <v>0</v>
          </cell>
          <cell r="S333">
            <v>0</v>
          </cell>
          <cell r="T333">
            <v>0</v>
          </cell>
          <cell r="U333">
            <v>0</v>
          </cell>
          <cell r="V333">
            <v>3000</v>
          </cell>
          <cell r="W333">
            <v>48489</v>
          </cell>
          <cell r="X333">
            <v>0</v>
          </cell>
          <cell r="Z333">
            <v>0</v>
          </cell>
          <cell r="AA333">
            <v>0</v>
          </cell>
          <cell r="AB333">
            <v>0</v>
          </cell>
          <cell r="AD333">
            <v>0</v>
          </cell>
          <cell r="AE333">
            <v>0</v>
          </cell>
          <cell r="AF333">
            <v>0</v>
          </cell>
          <cell r="AG333">
            <v>0</v>
          </cell>
          <cell r="AH333">
            <v>0</v>
          </cell>
          <cell r="AI333">
            <v>0</v>
          </cell>
          <cell r="AJ333">
            <v>0</v>
          </cell>
          <cell r="AK333">
            <v>0</v>
          </cell>
          <cell r="AM333">
            <v>0</v>
          </cell>
          <cell r="AN333">
            <v>0</v>
          </cell>
          <cell r="AO333">
            <v>0</v>
          </cell>
          <cell r="AP333">
            <v>0</v>
          </cell>
          <cell r="AQ333">
            <v>0</v>
          </cell>
          <cell r="AR333">
            <v>0</v>
          </cell>
          <cell r="AS333">
            <v>0</v>
          </cell>
          <cell r="AT333">
            <v>0</v>
          </cell>
          <cell r="AU333">
            <v>4740</v>
          </cell>
          <cell r="AV333">
            <v>0</v>
          </cell>
          <cell r="AW333">
            <v>0</v>
          </cell>
          <cell r="AX333">
            <v>0</v>
          </cell>
          <cell r="BA333">
            <v>0</v>
          </cell>
          <cell r="BC333">
            <v>0</v>
          </cell>
          <cell r="BD333">
            <v>5836</v>
          </cell>
          <cell r="BF333">
            <v>0</v>
          </cell>
          <cell r="BG333">
            <v>0</v>
          </cell>
          <cell r="BH333">
            <v>0</v>
          </cell>
          <cell r="BI333">
            <v>14041</v>
          </cell>
          <cell r="BJ333">
            <v>11558</v>
          </cell>
          <cell r="BK333">
            <v>11558</v>
          </cell>
          <cell r="BL333">
            <v>0</v>
          </cell>
          <cell r="BM333">
            <v>0</v>
          </cell>
          <cell r="BN333">
            <v>0</v>
          </cell>
          <cell r="BO333">
            <v>38914</v>
          </cell>
          <cell r="BP333">
            <v>12651.2</v>
          </cell>
          <cell r="BQ333">
            <v>22790.697674418599</v>
          </cell>
          <cell r="BR333">
            <v>0</v>
          </cell>
          <cell r="BS333">
            <v>0</v>
          </cell>
          <cell r="BT333">
            <v>25175</v>
          </cell>
          <cell r="BY333">
            <v>0</v>
          </cell>
          <cell r="BZ333">
            <v>0</v>
          </cell>
          <cell r="CA333">
            <v>0</v>
          </cell>
          <cell r="CB333">
            <v>0</v>
          </cell>
          <cell r="CC333">
            <v>1253241</v>
          </cell>
          <cell r="CD333">
            <v>5369036</v>
          </cell>
          <cell r="CE333">
            <v>296269</v>
          </cell>
          <cell r="CF333">
            <v>0</v>
          </cell>
          <cell r="CG333">
            <v>296269</v>
          </cell>
          <cell r="CH333">
            <v>296269</v>
          </cell>
          <cell r="CI333">
            <v>296269</v>
          </cell>
          <cell r="CJ333">
            <v>296269</v>
          </cell>
          <cell r="CK333">
            <v>0</v>
          </cell>
          <cell r="CL333">
            <v>0</v>
          </cell>
          <cell r="CM333">
            <v>0</v>
          </cell>
          <cell r="CN333">
            <v>0</v>
          </cell>
          <cell r="CO333">
            <v>0</v>
          </cell>
          <cell r="CP333">
            <v>-1558</v>
          </cell>
          <cell r="CQ333">
            <v>901596</v>
          </cell>
          <cell r="CR333">
            <v>858309</v>
          </cell>
          <cell r="CS333">
            <v>851673</v>
          </cell>
          <cell r="CT333">
            <v>816284</v>
          </cell>
          <cell r="CU333">
            <v>791922</v>
          </cell>
          <cell r="CV333">
            <v>29320</v>
          </cell>
          <cell r="CW333">
            <v>0</v>
          </cell>
          <cell r="CX333">
            <v>0</v>
          </cell>
          <cell r="CY333">
            <v>0</v>
          </cell>
          <cell r="CZ333">
            <v>0</v>
          </cell>
          <cell r="DA333">
            <v>0</v>
          </cell>
          <cell r="DC333">
            <v>0</v>
          </cell>
          <cell r="DD333">
            <v>0</v>
          </cell>
          <cell r="DE333">
            <v>0</v>
          </cell>
          <cell r="DF333">
            <v>0</v>
          </cell>
          <cell r="DG333">
            <v>0</v>
          </cell>
          <cell r="DH333">
            <v>0</v>
          </cell>
          <cell r="DI333">
            <v>0</v>
          </cell>
          <cell r="DJ333">
            <v>0</v>
          </cell>
          <cell r="DK333">
            <v>0</v>
          </cell>
          <cell r="DL333">
            <v>0</v>
          </cell>
        </row>
        <row r="334">
          <cell r="A334">
            <v>851</v>
          </cell>
          <cell r="B334" t="str">
            <v>Steenbergen</v>
          </cell>
          <cell r="C334">
            <v>10</v>
          </cell>
          <cell r="D334">
            <v>1592</v>
          </cell>
          <cell r="E334">
            <v>796</v>
          </cell>
          <cell r="F334">
            <v>0</v>
          </cell>
          <cell r="G334">
            <v>0</v>
          </cell>
          <cell r="H334">
            <v>-21621</v>
          </cell>
          <cell r="I334">
            <v>-11111</v>
          </cell>
          <cell r="K334">
            <v>0</v>
          </cell>
          <cell r="L334">
            <v>88578</v>
          </cell>
          <cell r="M334">
            <v>80992</v>
          </cell>
          <cell r="N334">
            <v>0</v>
          </cell>
          <cell r="O334">
            <v>0</v>
          </cell>
          <cell r="P334">
            <v>0</v>
          </cell>
          <cell r="Q334">
            <v>0</v>
          </cell>
          <cell r="R334">
            <v>0</v>
          </cell>
          <cell r="S334">
            <v>0</v>
          </cell>
          <cell r="T334">
            <v>0</v>
          </cell>
          <cell r="U334">
            <v>0</v>
          </cell>
          <cell r="V334">
            <v>6000</v>
          </cell>
          <cell r="W334">
            <v>89608</v>
          </cell>
          <cell r="X334">
            <v>0</v>
          </cell>
          <cell r="Z334">
            <v>0</v>
          </cell>
          <cell r="AA334">
            <v>0</v>
          </cell>
          <cell r="AB334">
            <v>0</v>
          </cell>
          <cell r="AD334">
            <v>0</v>
          </cell>
          <cell r="AE334">
            <v>0</v>
          </cell>
          <cell r="AF334">
            <v>0</v>
          </cell>
          <cell r="AG334">
            <v>0</v>
          </cell>
          <cell r="AH334">
            <v>0</v>
          </cell>
          <cell r="AI334">
            <v>0</v>
          </cell>
          <cell r="AJ334">
            <v>0</v>
          </cell>
          <cell r="AK334">
            <v>0</v>
          </cell>
          <cell r="AM334">
            <v>0</v>
          </cell>
          <cell r="AN334">
            <v>0</v>
          </cell>
          <cell r="AO334">
            <v>0</v>
          </cell>
          <cell r="AP334">
            <v>0</v>
          </cell>
          <cell r="AQ334">
            <v>0</v>
          </cell>
          <cell r="AR334">
            <v>0</v>
          </cell>
          <cell r="AS334">
            <v>0</v>
          </cell>
          <cell r="AT334">
            <v>0</v>
          </cell>
          <cell r="AU334">
            <v>4740</v>
          </cell>
          <cell r="AV334">
            <v>0</v>
          </cell>
          <cell r="AW334">
            <v>0</v>
          </cell>
          <cell r="AX334">
            <v>0</v>
          </cell>
          <cell r="BA334">
            <v>0</v>
          </cell>
          <cell r="BC334">
            <v>0</v>
          </cell>
          <cell r="BD334">
            <v>8414</v>
          </cell>
          <cell r="BF334">
            <v>0</v>
          </cell>
          <cell r="BG334">
            <v>0</v>
          </cell>
          <cell r="BH334">
            <v>0</v>
          </cell>
          <cell r="BI334">
            <v>35967</v>
          </cell>
          <cell r="BJ334">
            <v>29606</v>
          </cell>
          <cell r="BK334">
            <v>29606</v>
          </cell>
          <cell r="BL334">
            <v>0</v>
          </cell>
          <cell r="BM334">
            <v>0</v>
          </cell>
          <cell r="BN334">
            <v>0</v>
          </cell>
          <cell r="BO334">
            <v>39887</v>
          </cell>
          <cell r="BP334">
            <v>14232.6</v>
          </cell>
          <cell r="BQ334">
            <v>25639.534883720899</v>
          </cell>
          <cell r="BR334">
            <v>0</v>
          </cell>
          <cell r="BS334">
            <v>0</v>
          </cell>
          <cell r="BT334">
            <v>38110</v>
          </cell>
          <cell r="BY334">
            <v>0</v>
          </cell>
          <cell r="BZ334">
            <v>0</v>
          </cell>
          <cell r="CA334">
            <v>0</v>
          </cell>
          <cell r="CB334">
            <v>0</v>
          </cell>
          <cell r="CC334">
            <v>2150904</v>
          </cell>
          <cell r="CD334">
            <v>11018848</v>
          </cell>
          <cell r="CE334">
            <v>1231223</v>
          </cell>
          <cell r="CF334">
            <v>0</v>
          </cell>
          <cell r="CG334">
            <v>1231223</v>
          </cell>
          <cell r="CH334">
            <v>1231223</v>
          </cell>
          <cell r="CI334">
            <v>1231223</v>
          </cell>
          <cell r="CJ334">
            <v>1231223</v>
          </cell>
          <cell r="CK334">
            <v>0</v>
          </cell>
          <cell r="CL334">
            <v>0</v>
          </cell>
          <cell r="CM334">
            <v>0</v>
          </cell>
          <cell r="CN334">
            <v>0</v>
          </cell>
          <cell r="CO334">
            <v>0</v>
          </cell>
          <cell r="CP334">
            <v>-3969</v>
          </cell>
          <cell r="CQ334">
            <v>2656616</v>
          </cell>
          <cell r="CR334">
            <v>2533201</v>
          </cell>
          <cell r="CS334">
            <v>2478707</v>
          </cell>
          <cell r="CT334">
            <v>2421961</v>
          </cell>
          <cell r="CU334">
            <v>2352838</v>
          </cell>
          <cell r="CV334">
            <v>91995</v>
          </cell>
          <cell r="CW334">
            <v>0</v>
          </cell>
          <cell r="CX334">
            <v>0</v>
          </cell>
          <cell r="CY334">
            <v>0</v>
          </cell>
          <cell r="CZ334">
            <v>0</v>
          </cell>
          <cell r="DA334">
            <v>0</v>
          </cell>
          <cell r="DC334">
            <v>0</v>
          </cell>
          <cell r="DD334">
            <v>0</v>
          </cell>
          <cell r="DE334">
            <v>0</v>
          </cell>
          <cell r="DF334">
            <v>0</v>
          </cell>
          <cell r="DG334">
            <v>0</v>
          </cell>
          <cell r="DH334">
            <v>0</v>
          </cell>
          <cell r="DI334">
            <v>0</v>
          </cell>
          <cell r="DJ334">
            <v>0</v>
          </cell>
          <cell r="DK334">
            <v>0</v>
          </cell>
          <cell r="DL334">
            <v>0</v>
          </cell>
        </row>
        <row r="335">
          <cell r="A335">
            <v>855</v>
          </cell>
          <cell r="B335" t="str">
            <v>Tilburg</v>
          </cell>
          <cell r="C335">
            <v>10</v>
          </cell>
          <cell r="D335">
            <v>-59055</v>
          </cell>
          <cell r="E335">
            <v>-29527</v>
          </cell>
          <cell r="F335">
            <v>0</v>
          </cell>
          <cell r="G335">
            <v>155457</v>
          </cell>
          <cell r="H335">
            <v>-91056</v>
          </cell>
          <cell r="I335">
            <v>-64960</v>
          </cell>
          <cell r="K335">
            <v>0</v>
          </cell>
          <cell r="L335">
            <v>1274368</v>
          </cell>
          <cell r="M335">
            <v>1284643</v>
          </cell>
          <cell r="N335">
            <v>0</v>
          </cell>
          <cell r="O335">
            <v>0</v>
          </cell>
          <cell r="P335">
            <v>150000</v>
          </cell>
          <cell r="Q335">
            <v>0</v>
          </cell>
          <cell r="R335">
            <v>0</v>
          </cell>
          <cell r="S335">
            <v>2871340</v>
          </cell>
          <cell r="T335">
            <v>2366962</v>
          </cell>
          <cell r="U335">
            <v>2871340</v>
          </cell>
          <cell r="V335">
            <v>114000</v>
          </cell>
          <cell r="W335">
            <v>732222</v>
          </cell>
          <cell r="X335">
            <v>0</v>
          </cell>
          <cell r="Z335">
            <v>0</v>
          </cell>
          <cell r="AA335">
            <v>40000</v>
          </cell>
          <cell r="AB335">
            <v>0</v>
          </cell>
          <cell r="AD335">
            <v>532901</v>
          </cell>
          <cell r="AE335">
            <v>0</v>
          </cell>
          <cell r="AF335">
            <v>0</v>
          </cell>
          <cell r="AG335">
            <v>0</v>
          </cell>
          <cell r="AH335">
            <v>0</v>
          </cell>
          <cell r="AI335">
            <v>148777</v>
          </cell>
          <cell r="AJ335">
            <v>0</v>
          </cell>
          <cell r="AK335">
            <v>826949</v>
          </cell>
          <cell r="AM335">
            <v>0</v>
          </cell>
          <cell r="AN335">
            <v>0</v>
          </cell>
          <cell r="AO335">
            <v>0</v>
          </cell>
          <cell r="AP335">
            <v>0</v>
          </cell>
          <cell r="AQ335">
            <v>0</v>
          </cell>
          <cell r="AR335">
            <v>0</v>
          </cell>
          <cell r="AS335">
            <v>0</v>
          </cell>
          <cell r="AT335">
            <v>20000</v>
          </cell>
          <cell r="AU335">
            <v>7110</v>
          </cell>
          <cell r="AV335">
            <v>8155169.1697052</v>
          </cell>
          <cell r="AW335">
            <v>89463</v>
          </cell>
          <cell r="AX335">
            <v>0</v>
          </cell>
          <cell r="BA335">
            <v>0</v>
          </cell>
          <cell r="BC335">
            <v>0</v>
          </cell>
          <cell r="BD335">
            <v>75053</v>
          </cell>
          <cell r="BF335">
            <v>0</v>
          </cell>
          <cell r="BG335">
            <v>0</v>
          </cell>
          <cell r="BH335">
            <v>0</v>
          </cell>
          <cell r="BI335">
            <v>408064</v>
          </cell>
          <cell r="BJ335">
            <v>335897</v>
          </cell>
          <cell r="BK335">
            <v>335897</v>
          </cell>
          <cell r="BL335">
            <v>0</v>
          </cell>
          <cell r="BM335">
            <v>0</v>
          </cell>
          <cell r="BN335">
            <v>461230</v>
          </cell>
          <cell r="BO335">
            <v>368712</v>
          </cell>
          <cell r="BP335">
            <v>42697.8</v>
          </cell>
          <cell r="BQ335">
            <v>76918.604651162794</v>
          </cell>
          <cell r="BR335">
            <v>61000</v>
          </cell>
          <cell r="BS335">
            <v>0</v>
          </cell>
          <cell r="BT335">
            <v>369159</v>
          </cell>
          <cell r="BY335">
            <v>5192153.6065940596</v>
          </cell>
          <cell r="BZ335">
            <v>5691315.6644652998</v>
          </cell>
          <cell r="CA335">
            <v>5733957.6493085697</v>
          </cell>
          <cell r="CB335">
            <v>5854358.5476895701</v>
          </cell>
          <cell r="CC335">
            <v>17017639</v>
          </cell>
          <cell r="CD335">
            <v>177787437</v>
          </cell>
          <cell r="CE335">
            <v>9917833</v>
          </cell>
          <cell r="CF335">
            <v>-72921</v>
          </cell>
          <cell r="CG335">
            <v>9802833</v>
          </cell>
          <cell r="CH335">
            <v>9802833</v>
          </cell>
          <cell r="CI335">
            <v>9802833</v>
          </cell>
          <cell r="CJ335">
            <v>9802833</v>
          </cell>
          <cell r="CK335">
            <v>56628643</v>
          </cell>
          <cell r="CL335">
            <v>56600522</v>
          </cell>
          <cell r="CM335">
            <v>56600067</v>
          </cell>
          <cell r="CN335">
            <v>56599067</v>
          </cell>
          <cell r="CO335">
            <v>56600453</v>
          </cell>
          <cell r="CP335">
            <v>-12419</v>
          </cell>
          <cell r="CQ335">
            <v>30950533</v>
          </cell>
          <cell r="CR335">
            <v>29394971</v>
          </cell>
          <cell r="CS335">
            <v>28454112</v>
          </cell>
          <cell r="CT335">
            <v>27664173</v>
          </cell>
          <cell r="CU335">
            <v>26914346</v>
          </cell>
          <cell r="CV335">
            <v>439173</v>
          </cell>
          <cell r="CW335">
            <v>0</v>
          </cell>
          <cell r="CX335">
            <v>0</v>
          </cell>
          <cell r="CY335">
            <v>0</v>
          </cell>
          <cell r="CZ335">
            <v>0</v>
          </cell>
          <cell r="DA335">
            <v>0</v>
          </cell>
          <cell r="DC335">
            <v>0</v>
          </cell>
          <cell r="DD335">
            <v>0</v>
          </cell>
          <cell r="DE335">
            <v>0</v>
          </cell>
          <cell r="DF335">
            <v>0</v>
          </cell>
          <cell r="DG335">
            <v>0</v>
          </cell>
          <cell r="DH335">
            <v>0</v>
          </cell>
          <cell r="DI335">
            <v>0</v>
          </cell>
          <cell r="DJ335">
            <v>0</v>
          </cell>
          <cell r="DK335">
            <v>0</v>
          </cell>
          <cell r="DL335">
            <v>0</v>
          </cell>
        </row>
        <row r="336">
          <cell r="A336">
            <v>856</v>
          </cell>
          <cell r="B336" t="str">
            <v>Uden</v>
          </cell>
          <cell r="C336">
            <v>10</v>
          </cell>
          <cell r="D336">
            <v>-8903</v>
          </cell>
          <cell r="E336">
            <v>-4452</v>
          </cell>
          <cell r="F336">
            <v>0</v>
          </cell>
          <cell r="G336">
            <v>130599</v>
          </cell>
          <cell r="H336">
            <v>-21851</v>
          </cell>
          <cell r="I336">
            <v>-11756</v>
          </cell>
          <cell r="K336">
            <v>0</v>
          </cell>
          <cell r="L336">
            <v>181095</v>
          </cell>
          <cell r="M336">
            <v>173746</v>
          </cell>
          <cell r="N336">
            <v>0</v>
          </cell>
          <cell r="O336">
            <v>0</v>
          </cell>
          <cell r="P336">
            <v>0</v>
          </cell>
          <cell r="Q336">
            <v>0</v>
          </cell>
          <cell r="R336">
            <v>0</v>
          </cell>
          <cell r="S336">
            <v>0</v>
          </cell>
          <cell r="T336">
            <v>0</v>
          </cell>
          <cell r="U336">
            <v>0</v>
          </cell>
          <cell r="V336">
            <v>3000</v>
          </cell>
          <cell r="W336">
            <v>165999</v>
          </cell>
          <cell r="X336">
            <v>0</v>
          </cell>
          <cell r="Z336">
            <v>0</v>
          </cell>
          <cell r="AA336">
            <v>0</v>
          </cell>
          <cell r="AB336">
            <v>0</v>
          </cell>
          <cell r="AD336">
            <v>0</v>
          </cell>
          <cell r="AE336">
            <v>0</v>
          </cell>
          <cell r="AF336">
            <v>0</v>
          </cell>
          <cell r="AG336">
            <v>0</v>
          </cell>
          <cell r="AH336">
            <v>0</v>
          </cell>
          <cell r="AI336">
            <v>0</v>
          </cell>
          <cell r="AJ336">
            <v>0</v>
          </cell>
          <cell r="AK336">
            <v>0</v>
          </cell>
          <cell r="AM336">
            <v>0</v>
          </cell>
          <cell r="AN336">
            <v>0</v>
          </cell>
          <cell r="AO336">
            <v>0</v>
          </cell>
          <cell r="AP336">
            <v>0</v>
          </cell>
          <cell r="AQ336">
            <v>0</v>
          </cell>
          <cell r="AR336">
            <v>0</v>
          </cell>
          <cell r="AS336">
            <v>0</v>
          </cell>
          <cell r="AT336">
            <v>0</v>
          </cell>
          <cell r="AU336">
            <v>0</v>
          </cell>
          <cell r="AV336">
            <v>0</v>
          </cell>
          <cell r="AW336">
            <v>0</v>
          </cell>
          <cell r="AX336">
            <v>0</v>
          </cell>
          <cell r="BA336">
            <v>0</v>
          </cell>
          <cell r="BC336">
            <v>0</v>
          </cell>
          <cell r="BD336">
            <v>14527</v>
          </cell>
          <cell r="BF336">
            <v>0</v>
          </cell>
          <cell r="BG336">
            <v>0</v>
          </cell>
          <cell r="BH336">
            <v>0</v>
          </cell>
          <cell r="BI336">
            <v>60842</v>
          </cell>
          <cell r="BJ336">
            <v>50082</v>
          </cell>
          <cell r="BK336">
            <v>50082</v>
          </cell>
          <cell r="BL336">
            <v>0</v>
          </cell>
          <cell r="BM336">
            <v>0</v>
          </cell>
          <cell r="BN336">
            <v>0</v>
          </cell>
          <cell r="BO336">
            <v>211596</v>
          </cell>
          <cell r="BP336">
            <v>30046.6</v>
          </cell>
          <cell r="BQ336">
            <v>54127.906976744198</v>
          </cell>
          <cell r="BR336">
            <v>0</v>
          </cell>
          <cell r="BS336">
            <v>0</v>
          </cell>
          <cell r="BT336">
            <v>65546</v>
          </cell>
          <cell r="BY336">
            <v>0</v>
          </cell>
          <cell r="BZ336">
            <v>0</v>
          </cell>
          <cell r="CA336">
            <v>0</v>
          </cell>
          <cell r="CB336">
            <v>0</v>
          </cell>
          <cell r="CC336">
            <v>3248663</v>
          </cell>
          <cell r="CD336">
            <v>23519542</v>
          </cell>
          <cell r="CE336">
            <v>1123029</v>
          </cell>
          <cell r="CF336">
            <v>0</v>
          </cell>
          <cell r="CG336">
            <v>1123029</v>
          </cell>
          <cell r="CH336">
            <v>1123029</v>
          </cell>
          <cell r="CI336">
            <v>1123029</v>
          </cell>
          <cell r="CJ336">
            <v>1123029</v>
          </cell>
          <cell r="CK336">
            <v>0</v>
          </cell>
          <cell r="CL336">
            <v>0</v>
          </cell>
          <cell r="CM336">
            <v>0</v>
          </cell>
          <cell r="CN336">
            <v>0</v>
          </cell>
          <cell r="CO336">
            <v>0</v>
          </cell>
          <cell r="CP336">
            <v>-4229</v>
          </cell>
          <cell r="CQ336">
            <v>7805082</v>
          </cell>
          <cell r="CR336">
            <v>7360815</v>
          </cell>
          <cell r="CS336">
            <v>7150081</v>
          </cell>
          <cell r="CT336">
            <v>6914145</v>
          </cell>
          <cell r="CU336">
            <v>6758124</v>
          </cell>
          <cell r="CV336">
            <v>-44572</v>
          </cell>
          <cell r="CW336">
            <v>0</v>
          </cell>
          <cell r="CX336">
            <v>0</v>
          </cell>
          <cell r="CY336">
            <v>0</v>
          </cell>
          <cell r="CZ336">
            <v>0</v>
          </cell>
          <cell r="DA336">
            <v>0</v>
          </cell>
          <cell r="DC336">
            <v>0</v>
          </cell>
          <cell r="DD336">
            <v>0</v>
          </cell>
          <cell r="DE336">
            <v>0</v>
          </cell>
          <cell r="DF336">
            <v>0</v>
          </cell>
          <cell r="DG336">
            <v>0</v>
          </cell>
          <cell r="DH336">
            <v>0</v>
          </cell>
          <cell r="DI336">
            <v>0</v>
          </cell>
          <cell r="DJ336">
            <v>0</v>
          </cell>
          <cell r="DK336">
            <v>0</v>
          </cell>
          <cell r="DL336">
            <v>0</v>
          </cell>
        </row>
        <row r="337">
          <cell r="A337">
            <v>858</v>
          </cell>
          <cell r="B337" t="str">
            <v>Valkenswaard</v>
          </cell>
          <cell r="C337">
            <v>10</v>
          </cell>
          <cell r="D337">
            <v>-10564</v>
          </cell>
          <cell r="E337">
            <v>-5282</v>
          </cell>
          <cell r="F337">
            <v>0</v>
          </cell>
          <cell r="G337">
            <v>0</v>
          </cell>
          <cell r="H337">
            <v>-38666</v>
          </cell>
          <cell r="I337">
            <v>-31696</v>
          </cell>
          <cell r="K337">
            <v>0</v>
          </cell>
          <cell r="L337">
            <v>116910</v>
          </cell>
          <cell r="M337">
            <v>105228</v>
          </cell>
          <cell r="N337">
            <v>0</v>
          </cell>
          <cell r="O337">
            <v>0</v>
          </cell>
          <cell r="P337">
            <v>0</v>
          </cell>
          <cell r="Q337">
            <v>0</v>
          </cell>
          <cell r="R337">
            <v>0</v>
          </cell>
          <cell r="S337">
            <v>0</v>
          </cell>
          <cell r="T337">
            <v>0</v>
          </cell>
          <cell r="U337">
            <v>0</v>
          </cell>
          <cell r="V337">
            <v>0</v>
          </cell>
          <cell r="W337">
            <v>110795</v>
          </cell>
          <cell r="X337">
            <v>0</v>
          </cell>
          <cell r="Z337">
            <v>0</v>
          </cell>
          <cell r="AA337">
            <v>0</v>
          </cell>
          <cell r="AB337">
            <v>0</v>
          </cell>
          <cell r="AD337">
            <v>0</v>
          </cell>
          <cell r="AE337">
            <v>0</v>
          </cell>
          <cell r="AF337">
            <v>0</v>
          </cell>
          <cell r="AG337">
            <v>0</v>
          </cell>
          <cell r="AH337">
            <v>0</v>
          </cell>
          <cell r="AI337">
            <v>0</v>
          </cell>
          <cell r="AJ337">
            <v>0</v>
          </cell>
          <cell r="AK337">
            <v>0</v>
          </cell>
          <cell r="AM337">
            <v>0</v>
          </cell>
          <cell r="AN337">
            <v>0</v>
          </cell>
          <cell r="AO337">
            <v>0</v>
          </cell>
          <cell r="AP337">
            <v>0</v>
          </cell>
          <cell r="AQ337">
            <v>0</v>
          </cell>
          <cell r="AR337">
            <v>0</v>
          </cell>
          <cell r="AS337">
            <v>0</v>
          </cell>
          <cell r="AT337">
            <v>0</v>
          </cell>
          <cell r="AU337">
            <v>0</v>
          </cell>
          <cell r="AV337">
            <v>0</v>
          </cell>
          <cell r="AW337">
            <v>0</v>
          </cell>
          <cell r="AX337">
            <v>0</v>
          </cell>
          <cell r="BA337">
            <v>0</v>
          </cell>
          <cell r="BC337">
            <v>0</v>
          </cell>
          <cell r="BD337">
            <v>10712</v>
          </cell>
          <cell r="BF337">
            <v>0</v>
          </cell>
          <cell r="BG337">
            <v>0</v>
          </cell>
          <cell r="BH337">
            <v>0</v>
          </cell>
          <cell r="BI337">
            <v>51616</v>
          </cell>
          <cell r="BJ337">
            <v>42488</v>
          </cell>
          <cell r="BK337">
            <v>42488</v>
          </cell>
          <cell r="BL337">
            <v>0</v>
          </cell>
          <cell r="BM337">
            <v>0</v>
          </cell>
          <cell r="BN337">
            <v>0</v>
          </cell>
          <cell r="BO337">
            <v>18971</v>
          </cell>
          <cell r="BP337">
            <v>0</v>
          </cell>
          <cell r="BQ337">
            <v>0</v>
          </cell>
          <cell r="BR337">
            <v>0</v>
          </cell>
          <cell r="BS337">
            <v>0</v>
          </cell>
          <cell r="BT337">
            <v>42411</v>
          </cell>
          <cell r="BY337">
            <v>0</v>
          </cell>
          <cell r="BZ337">
            <v>0</v>
          </cell>
          <cell r="CA337">
            <v>0</v>
          </cell>
          <cell r="CB337">
            <v>0</v>
          </cell>
          <cell r="CC337">
            <v>2918145</v>
          </cell>
          <cell r="CD337">
            <v>13213496</v>
          </cell>
          <cell r="CE337">
            <v>604575</v>
          </cell>
          <cell r="CF337">
            <v>-75394</v>
          </cell>
          <cell r="CG337">
            <v>604575</v>
          </cell>
          <cell r="CH337">
            <v>604575</v>
          </cell>
          <cell r="CI337">
            <v>604575</v>
          </cell>
          <cell r="CJ337">
            <v>604575</v>
          </cell>
          <cell r="CK337">
            <v>0</v>
          </cell>
          <cell r="CL337">
            <v>0</v>
          </cell>
          <cell r="CM337">
            <v>0</v>
          </cell>
          <cell r="CN337">
            <v>0</v>
          </cell>
          <cell r="CO337">
            <v>0</v>
          </cell>
          <cell r="CP337">
            <v>-224</v>
          </cell>
          <cell r="CQ337">
            <v>3379476</v>
          </cell>
          <cell r="CR337">
            <v>3281981</v>
          </cell>
          <cell r="CS337">
            <v>3249778</v>
          </cell>
          <cell r="CT337">
            <v>3178411</v>
          </cell>
          <cell r="CU337">
            <v>3144925</v>
          </cell>
          <cell r="CV337">
            <v>12258</v>
          </cell>
          <cell r="CW337">
            <v>0</v>
          </cell>
          <cell r="CX337">
            <v>0</v>
          </cell>
          <cell r="CY337">
            <v>0</v>
          </cell>
          <cell r="CZ337">
            <v>0</v>
          </cell>
          <cell r="DA337">
            <v>0</v>
          </cell>
          <cell r="DC337">
            <v>0</v>
          </cell>
          <cell r="DD337">
            <v>0</v>
          </cell>
          <cell r="DE337">
            <v>0</v>
          </cell>
          <cell r="DF337">
            <v>0</v>
          </cell>
          <cell r="DG337">
            <v>0</v>
          </cell>
          <cell r="DH337">
            <v>0</v>
          </cell>
          <cell r="DI337">
            <v>0</v>
          </cell>
          <cell r="DJ337">
            <v>0</v>
          </cell>
          <cell r="DK337">
            <v>0</v>
          </cell>
          <cell r="DL337">
            <v>0</v>
          </cell>
        </row>
        <row r="338">
          <cell r="A338">
            <v>861</v>
          </cell>
          <cell r="B338" t="str">
            <v>Veldhoven</v>
          </cell>
          <cell r="C338">
            <v>10</v>
          </cell>
          <cell r="D338">
            <v>-34381</v>
          </cell>
          <cell r="E338">
            <v>-17191</v>
          </cell>
          <cell r="F338">
            <v>0</v>
          </cell>
          <cell r="G338">
            <v>0</v>
          </cell>
          <cell r="H338">
            <v>-12824</v>
          </cell>
          <cell r="I338">
            <v>-13539</v>
          </cell>
          <cell r="K338">
            <v>0</v>
          </cell>
          <cell r="L338">
            <v>155230</v>
          </cell>
          <cell r="M338">
            <v>147986</v>
          </cell>
          <cell r="N338">
            <v>0</v>
          </cell>
          <cell r="O338">
            <v>0</v>
          </cell>
          <cell r="P338">
            <v>0</v>
          </cell>
          <cell r="Q338">
            <v>0</v>
          </cell>
          <cell r="R338">
            <v>0</v>
          </cell>
          <cell r="S338">
            <v>0</v>
          </cell>
          <cell r="T338">
            <v>0</v>
          </cell>
          <cell r="U338">
            <v>0</v>
          </cell>
          <cell r="V338">
            <v>9000</v>
          </cell>
          <cell r="W338">
            <v>125666</v>
          </cell>
          <cell r="X338">
            <v>0</v>
          </cell>
          <cell r="Z338">
            <v>0</v>
          </cell>
          <cell r="AA338">
            <v>0</v>
          </cell>
          <cell r="AB338">
            <v>0</v>
          </cell>
          <cell r="AD338">
            <v>0</v>
          </cell>
          <cell r="AE338">
            <v>0</v>
          </cell>
          <cell r="AF338">
            <v>0</v>
          </cell>
          <cell r="AG338">
            <v>0</v>
          </cell>
          <cell r="AH338">
            <v>0</v>
          </cell>
          <cell r="AI338">
            <v>0</v>
          </cell>
          <cell r="AJ338">
            <v>0</v>
          </cell>
          <cell r="AK338">
            <v>0</v>
          </cell>
          <cell r="AM338">
            <v>0</v>
          </cell>
          <cell r="AN338">
            <v>0</v>
          </cell>
          <cell r="AO338">
            <v>0</v>
          </cell>
          <cell r="AP338">
            <v>0</v>
          </cell>
          <cell r="AQ338">
            <v>0</v>
          </cell>
          <cell r="AR338">
            <v>0</v>
          </cell>
          <cell r="AS338">
            <v>0</v>
          </cell>
          <cell r="AT338">
            <v>0</v>
          </cell>
          <cell r="AU338">
            <v>2370</v>
          </cell>
          <cell r="AV338">
            <v>0</v>
          </cell>
          <cell r="AW338">
            <v>0</v>
          </cell>
          <cell r="AX338">
            <v>0</v>
          </cell>
          <cell r="BA338">
            <v>0</v>
          </cell>
          <cell r="BC338">
            <v>0</v>
          </cell>
          <cell r="BD338">
            <v>15700</v>
          </cell>
          <cell r="BF338">
            <v>0</v>
          </cell>
          <cell r="BG338">
            <v>0</v>
          </cell>
          <cell r="BH338">
            <v>0</v>
          </cell>
          <cell r="BI338">
            <v>53372</v>
          </cell>
          <cell r="BJ338">
            <v>43933</v>
          </cell>
          <cell r="BK338">
            <v>43933</v>
          </cell>
          <cell r="BL338">
            <v>0</v>
          </cell>
          <cell r="BM338">
            <v>0</v>
          </cell>
          <cell r="BN338">
            <v>0</v>
          </cell>
          <cell r="BO338">
            <v>103609</v>
          </cell>
          <cell r="BP338">
            <v>14232.6</v>
          </cell>
          <cell r="BQ338">
            <v>25639.534883720899</v>
          </cell>
          <cell r="BR338">
            <v>0</v>
          </cell>
          <cell r="BS338">
            <v>0</v>
          </cell>
          <cell r="BT338">
            <v>61797</v>
          </cell>
          <cell r="BY338">
            <v>0</v>
          </cell>
          <cell r="BZ338">
            <v>0</v>
          </cell>
          <cell r="CA338">
            <v>0</v>
          </cell>
          <cell r="CB338">
            <v>0</v>
          </cell>
          <cell r="CC338">
            <v>3520055</v>
          </cell>
          <cell r="CD338">
            <v>18273471</v>
          </cell>
          <cell r="CE338">
            <v>1342779</v>
          </cell>
          <cell r="CF338">
            <v>0</v>
          </cell>
          <cell r="CG338">
            <v>1342779</v>
          </cell>
          <cell r="CH338">
            <v>1342779</v>
          </cell>
          <cell r="CI338">
            <v>1342779</v>
          </cell>
          <cell r="CJ338">
            <v>1342779</v>
          </cell>
          <cell r="CK338">
            <v>0</v>
          </cell>
          <cell r="CL338">
            <v>0</v>
          </cell>
          <cell r="CM338">
            <v>0</v>
          </cell>
          <cell r="CN338">
            <v>0</v>
          </cell>
          <cell r="CO338">
            <v>0</v>
          </cell>
          <cell r="CP338">
            <v>-4890</v>
          </cell>
          <cell r="CQ338">
            <v>4085266</v>
          </cell>
          <cell r="CR338">
            <v>3840010</v>
          </cell>
          <cell r="CS338">
            <v>3745307</v>
          </cell>
          <cell r="CT338">
            <v>3648091</v>
          </cell>
          <cell r="CU338">
            <v>3518652</v>
          </cell>
          <cell r="CV338">
            <v>-8705</v>
          </cell>
          <cell r="CW338">
            <v>0</v>
          </cell>
          <cell r="CX338">
            <v>0</v>
          </cell>
          <cell r="CY338">
            <v>0</v>
          </cell>
          <cell r="CZ338">
            <v>0</v>
          </cell>
          <cell r="DA338">
            <v>0</v>
          </cell>
          <cell r="DC338">
            <v>0</v>
          </cell>
          <cell r="DD338">
            <v>0</v>
          </cell>
          <cell r="DE338">
            <v>0</v>
          </cell>
          <cell r="DF338">
            <v>0</v>
          </cell>
          <cell r="DG338">
            <v>0</v>
          </cell>
          <cell r="DH338">
            <v>0</v>
          </cell>
          <cell r="DI338">
            <v>0</v>
          </cell>
          <cell r="DJ338">
            <v>0</v>
          </cell>
          <cell r="DK338">
            <v>0</v>
          </cell>
          <cell r="DL338">
            <v>0</v>
          </cell>
        </row>
        <row r="339">
          <cell r="A339">
            <v>865</v>
          </cell>
          <cell r="B339" t="str">
            <v>Vught</v>
          </cell>
          <cell r="C339">
            <v>10</v>
          </cell>
          <cell r="D339">
            <v>25643</v>
          </cell>
          <cell r="E339">
            <v>12821</v>
          </cell>
          <cell r="F339">
            <v>0</v>
          </cell>
          <cell r="G339">
            <v>0</v>
          </cell>
          <cell r="H339">
            <v>-17354</v>
          </cell>
          <cell r="I339">
            <v>-14025</v>
          </cell>
          <cell r="K339">
            <v>0</v>
          </cell>
          <cell r="L339">
            <v>80699</v>
          </cell>
          <cell r="M339">
            <v>79231</v>
          </cell>
          <cell r="N339">
            <v>0</v>
          </cell>
          <cell r="O339">
            <v>0</v>
          </cell>
          <cell r="P339">
            <v>0</v>
          </cell>
          <cell r="Q339">
            <v>0</v>
          </cell>
          <cell r="R339">
            <v>0</v>
          </cell>
          <cell r="S339">
            <v>0</v>
          </cell>
          <cell r="T339">
            <v>0</v>
          </cell>
          <cell r="U339">
            <v>0</v>
          </cell>
          <cell r="V339">
            <v>9000</v>
          </cell>
          <cell r="W339">
            <v>46266</v>
          </cell>
          <cell r="X339">
            <v>0</v>
          </cell>
          <cell r="Z339">
            <v>0</v>
          </cell>
          <cell r="AA339">
            <v>0</v>
          </cell>
          <cell r="AB339">
            <v>0</v>
          </cell>
          <cell r="AD339">
            <v>0</v>
          </cell>
          <cell r="AE339">
            <v>0</v>
          </cell>
          <cell r="AF339">
            <v>0</v>
          </cell>
          <cell r="AG339">
            <v>0</v>
          </cell>
          <cell r="AH339">
            <v>0</v>
          </cell>
          <cell r="AI339">
            <v>0</v>
          </cell>
          <cell r="AJ339">
            <v>0</v>
          </cell>
          <cell r="AK339">
            <v>0</v>
          </cell>
          <cell r="AM339">
            <v>0</v>
          </cell>
          <cell r="AN339">
            <v>0</v>
          </cell>
          <cell r="AO339">
            <v>0</v>
          </cell>
          <cell r="AP339">
            <v>0</v>
          </cell>
          <cell r="AQ339">
            <v>0</v>
          </cell>
          <cell r="AR339">
            <v>0</v>
          </cell>
          <cell r="AS339">
            <v>0</v>
          </cell>
          <cell r="AT339">
            <v>0</v>
          </cell>
          <cell r="AU339">
            <v>7110</v>
          </cell>
          <cell r="AV339">
            <v>0</v>
          </cell>
          <cell r="AW339">
            <v>0</v>
          </cell>
          <cell r="AX339">
            <v>0</v>
          </cell>
          <cell r="BA339">
            <v>0</v>
          </cell>
          <cell r="BC339">
            <v>0</v>
          </cell>
          <cell r="BD339">
            <v>9191</v>
          </cell>
          <cell r="BF339">
            <v>0</v>
          </cell>
          <cell r="BG339">
            <v>0</v>
          </cell>
          <cell r="BH339">
            <v>0</v>
          </cell>
          <cell r="BI339">
            <v>33331</v>
          </cell>
          <cell r="BJ339">
            <v>27436</v>
          </cell>
          <cell r="BK339">
            <v>27436</v>
          </cell>
          <cell r="BL339">
            <v>0</v>
          </cell>
          <cell r="BM339">
            <v>0</v>
          </cell>
          <cell r="BN339">
            <v>0</v>
          </cell>
          <cell r="BO339">
            <v>0</v>
          </cell>
          <cell r="BP339">
            <v>11069.8</v>
          </cell>
          <cell r="BQ339">
            <v>19941.8604651163</v>
          </cell>
          <cell r="BR339">
            <v>0</v>
          </cell>
          <cell r="BS339">
            <v>0</v>
          </cell>
          <cell r="BT339">
            <v>37801</v>
          </cell>
          <cell r="BY339">
            <v>0</v>
          </cell>
          <cell r="BZ339">
            <v>0</v>
          </cell>
          <cell r="CA339">
            <v>0</v>
          </cell>
          <cell r="CB339">
            <v>0</v>
          </cell>
          <cell r="CC339">
            <v>1892809</v>
          </cell>
          <cell r="CD339">
            <v>12480853</v>
          </cell>
          <cell r="CE339">
            <v>246167</v>
          </cell>
          <cell r="CF339">
            <v>-22228</v>
          </cell>
          <cell r="CG339">
            <v>246167</v>
          </cell>
          <cell r="CH339">
            <v>246167</v>
          </cell>
          <cell r="CI339">
            <v>246167</v>
          </cell>
          <cell r="CJ339">
            <v>246167</v>
          </cell>
          <cell r="CK339">
            <v>0</v>
          </cell>
          <cell r="CL339">
            <v>0</v>
          </cell>
          <cell r="CM339">
            <v>0</v>
          </cell>
          <cell r="CN339">
            <v>0</v>
          </cell>
          <cell r="CO339">
            <v>0</v>
          </cell>
          <cell r="CP339">
            <v>-1704</v>
          </cell>
          <cell r="CQ339">
            <v>4341719</v>
          </cell>
          <cell r="CR339">
            <v>4150192</v>
          </cell>
          <cell r="CS339">
            <v>4018146</v>
          </cell>
          <cell r="CT339">
            <v>3931094</v>
          </cell>
          <cell r="CU339">
            <v>3871568</v>
          </cell>
          <cell r="CV339">
            <v>-12387</v>
          </cell>
          <cell r="CW339">
            <v>0</v>
          </cell>
          <cell r="CX339">
            <v>0</v>
          </cell>
          <cell r="CY339">
            <v>0</v>
          </cell>
          <cell r="CZ339">
            <v>0</v>
          </cell>
          <cell r="DA339">
            <v>0</v>
          </cell>
          <cell r="DC339">
            <v>0</v>
          </cell>
          <cell r="DD339">
            <v>0</v>
          </cell>
          <cell r="DE339">
            <v>0</v>
          </cell>
          <cell r="DF339">
            <v>0</v>
          </cell>
          <cell r="DG339">
            <v>0</v>
          </cell>
          <cell r="DH339">
            <v>0</v>
          </cell>
          <cell r="DI339">
            <v>0</v>
          </cell>
          <cell r="DJ339">
            <v>0</v>
          </cell>
          <cell r="DK339">
            <v>0</v>
          </cell>
          <cell r="DL339">
            <v>0</v>
          </cell>
        </row>
        <row r="340">
          <cell r="A340">
            <v>866</v>
          </cell>
          <cell r="B340" t="str">
            <v>Waalre</v>
          </cell>
          <cell r="C340">
            <v>10</v>
          </cell>
          <cell r="D340">
            <v>-32227</v>
          </cell>
          <cell r="E340">
            <v>-16113</v>
          </cell>
          <cell r="F340">
            <v>0</v>
          </cell>
          <cell r="G340">
            <v>0</v>
          </cell>
          <cell r="H340">
            <v>0</v>
          </cell>
          <cell r="I340">
            <v>0</v>
          </cell>
          <cell r="K340">
            <v>0</v>
          </cell>
          <cell r="L340">
            <v>55013</v>
          </cell>
          <cell r="M340">
            <v>44163</v>
          </cell>
          <cell r="N340">
            <v>0</v>
          </cell>
          <cell r="O340">
            <v>0</v>
          </cell>
          <cell r="P340">
            <v>0</v>
          </cell>
          <cell r="Q340">
            <v>0</v>
          </cell>
          <cell r="R340">
            <v>0</v>
          </cell>
          <cell r="S340">
            <v>0</v>
          </cell>
          <cell r="T340">
            <v>0</v>
          </cell>
          <cell r="U340">
            <v>0</v>
          </cell>
          <cell r="V340">
            <v>0</v>
          </cell>
          <cell r="W340">
            <v>52327</v>
          </cell>
          <cell r="X340">
            <v>0</v>
          </cell>
          <cell r="Z340">
            <v>0</v>
          </cell>
          <cell r="AA340">
            <v>0</v>
          </cell>
          <cell r="AB340">
            <v>0</v>
          </cell>
          <cell r="AD340">
            <v>0</v>
          </cell>
          <cell r="AE340">
            <v>0</v>
          </cell>
          <cell r="AF340">
            <v>0</v>
          </cell>
          <cell r="AG340">
            <v>0</v>
          </cell>
          <cell r="AH340">
            <v>0</v>
          </cell>
          <cell r="AI340">
            <v>0</v>
          </cell>
          <cell r="AJ340">
            <v>0</v>
          </cell>
          <cell r="AK340">
            <v>0</v>
          </cell>
          <cell r="AM340">
            <v>0</v>
          </cell>
          <cell r="AN340">
            <v>0</v>
          </cell>
          <cell r="AO340">
            <v>0</v>
          </cell>
          <cell r="AP340">
            <v>0</v>
          </cell>
          <cell r="AQ340">
            <v>0</v>
          </cell>
          <cell r="AR340">
            <v>0</v>
          </cell>
          <cell r="AS340">
            <v>0</v>
          </cell>
          <cell r="AT340">
            <v>0</v>
          </cell>
          <cell r="AU340">
            <v>2370</v>
          </cell>
          <cell r="AV340">
            <v>0</v>
          </cell>
          <cell r="AW340">
            <v>0</v>
          </cell>
          <cell r="AX340">
            <v>0</v>
          </cell>
          <cell r="BA340">
            <v>0</v>
          </cell>
          <cell r="BC340">
            <v>0</v>
          </cell>
          <cell r="BD340">
            <v>5932</v>
          </cell>
          <cell r="BF340">
            <v>0</v>
          </cell>
          <cell r="BG340">
            <v>0</v>
          </cell>
          <cell r="BH340">
            <v>0</v>
          </cell>
          <cell r="BI340">
            <v>16232</v>
          </cell>
          <cell r="BJ340">
            <v>13361</v>
          </cell>
          <cell r="BK340">
            <v>13361</v>
          </cell>
          <cell r="BL340">
            <v>0</v>
          </cell>
          <cell r="BM340">
            <v>0</v>
          </cell>
          <cell r="BN340">
            <v>0</v>
          </cell>
          <cell r="BO340">
            <v>16052</v>
          </cell>
          <cell r="BP340">
            <v>4744.2</v>
          </cell>
          <cell r="BQ340">
            <v>8546.5116279069807</v>
          </cell>
          <cell r="BR340">
            <v>0</v>
          </cell>
          <cell r="BS340">
            <v>0</v>
          </cell>
          <cell r="BT340">
            <v>23994</v>
          </cell>
          <cell r="BY340">
            <v>0</v>
          </cell>
          <cell r="BZ340">
            <v>0</v>
          </cell>
          <cell r="CA340">
            <v>0</v>
          </cell>
          <cell r="CB340">
            <v>0</v>
          </cell>
          <cell r="CC340">
            <v>1116030</v>
          </cell>
          <cell r="CD340">
            <v>5366407</v>
          </cell>
          <cell r="CE340">
            <v>430155</v>
          </cell>
          <cell r="CF340">
            <v>0</v>
          </cell>
          <cell r="CG340">
            <v>430155</v>
          </cell>
          <cell r="CH340">
            <v>430155</v>
          </cell>
          <cell r="CI340">
            <v>430155</v>
          </cell>
          <cell r="CJ340">
            <v>430155</v>
          </cell>
          <cell r="CK340">
            <v>0</v>
          </cell>
          <cell r="CL340">
            <v>0</v>
          </cell>
          <cell r="CM340">
            <v>0</v>
          </cell>
          <cell r="CN340">
            <v>0</v>
          </cell>
          <cell r="CO340">
            <v>0</v>
          </cell>
          <cell r="CP340">
            <v>0</v>
          </cell>
          <cell r="CQ340">
            <v>1083187</v>
          </cell>
          <cell r="CR340">
            <v>1020468</v>
          </cell>
          <cell r="CS340">
            <v>980797</v>
          </cell>
          <cell r="CT340">
            <v>967702</v>
          </cell>
          <cell r="CU340">
            <v>948892</v>
          </cell>
          <cell r="CV340">
            <v>-9062</v>
          </cell>
          <cell r="CW340">
            <v>0</v>
          </cell>
          <cell r="CX340">
            <v>0</v>
          </cell>
          <cell r="CY340">
            <v>0</v>
          </cell>
          <cell r="CZ340">
            <v>0</v>
          </cell>
          <cell r="DA340">
            <v>0</v>
          </cell>
          <cell r="DC340">
            <v>0</v>
          </cell>
          <cell r="DD340">
            <v>0</v>
          </cell>
          <cell r="DE340">
            <v>0</v>
          </cell>
          <cell r="DF340">
            <v>0</v>
          </cell>
          <cell r="DG340">
            <v>0</v>
          </cell>
          <cell r="DH340">
            <v>0</v>
          </cell>
          <cell r="DI340">
            <v>0</v>
          </cell>
          <cell r="DJ340">
            <v>0</v>
          </cell>
          <cell r="DK340">
            <v>0</v>
          </cell>
          <cell r="DL340">
            <v>0</v>
          </cell>
        </row>
        <row r="341">
          <cell r="A341">
            <v>867</v>
          </cell>
          <cell r="B341" t="str">
            <v>Waalwijk</v>
          </cell>
          <cell r="C341">
            <v>10</v>
          </cell>
          <cell r="D341">
            <v>-32596</v>
          </cell>
          <cell r="E341">
            <v>-16298</v>
          </cell>
          <cell r="F341">
            <v>0</v>
          </cell>
          <cell r="G341">
            <v>0</v>
          </cell>
          <cell r="H341">
            <v>-68465</v>
          </cell>
          <cell r="I341">
            <v>-40634</v>
          </cell>
          <cell r="K341">
            <v>0</v>
          </cell>
          <cell r="L341">
            <v>185591</v>
          </cell>
          <cell r="M341">
            <v>175984</v>
          </cell>
          <cell r="N341">
            <v>0</v>
          </cell>
          <cell r="O341">
            <v>0</v>
          </cell>
          <cell r="P341">
            <v>0</v>
          </cell>
          <cell r="Q341">
            <v>0</v>
          </cell>
          <cell r="R341">
            <v>0</v>
          </cell>
          <cell r="S341">
            <v>0</v>
          </cell>
          <cell r="T341">
            <v>0</v>
          </cell>
          <cell r="U341">
            <v>0</v>
          </cell>
          <cell r="V341">
            <v>9000</v>
          </cell>
          <cell r="W341">
            <v>174163</v>
          </cell>
          <cell r="X341">
            <v>0</v>
          </cell>
          <cell r="Z341">
            <v>0</v>
          </cell>
          <cell r="AA341">
            <v>0</v>
          </cell>
          <cell r="AB341">
            <v>0</v>
          </cell>
          <cell r="AD341">
            <v>45956</v>
          </cell>
          <cell r="AE341">
            <v>0</v>
          </cell>
          <cell r="AF341">
            <v>0</v>
          </cell>
          <cell r="AG341">
            <v>0</v>
          </cell>
          <cell r="AH341">
            <v>0</v>
          </cell>
          <cell r="AI341">
            <v>0</v>
          </cell>
          <cell r="AJ341">
            <v>0</v>
          </cell>
          <cell r="AK341">
            <v>0</v>
          </cell>
          <cell r="AM341">
            <v>0</v>
          </cell>
          <cell r="AN341">
            <v>0</v>
          </cell>
          <cell r="AO341">
            <v>0</v>
          </cell>
          <cell r="AP341">
            <v>0</v>
          </cell>
          <cell r="AQ341">
            <v>0</v>
          </cell>
          <cell r="AR341">
            <v>0</v>
          </cell>
          <cell r="AS341">
            <v>0</v>
          </cell>
          <cell r="AT341">
            <v>0</v>
          </cell>
          <cell r="AU341">
            <v>4740</v>
          </cell>
          <cell r="AV341">
            <v>0</v>
          </cell>
          <cell r="AW341">
            <v>0</v>
          </cell>
          <cell r="AX341">
            <v>0</v>
          </cell>
          <cell r="BA341">
            <v>0</v>
          </cell>
          <cell r="BC341">
            <v>0</v>
          </cell>
          <cell r="BD341">
            <v>16643</v>
          </cell>
          <cell r="BF341">
            <v>0</v>
          </cell>
          <cell r="BG341">
            <v>0</v>
          </cell>
          <cell r="BH341">
            <v>0</v>
          </cell>
          <cell r="BI341">
            <v>79275</v>
          </cell>
          <cell r="BJ341">
            <v>65255</v>
          </cell>
          <cell r="BK341">
            <v>65255</v>
          </cell>
          <cell r="BL341">
            <v>0</v>
          </cell>
          <cell r="BM341">
            <v>0</v>
          </cell>
          <cell r="BN341">
            <v>0</v>
          </cell>
          <cell r="BO341">
            <v>395466</v>
          </cell>
          <cell r="BP341">
            <v>31628</v>
          </cell>
          <cell r="BQ341">
            <v>56976.744186046497</v>
          </cell>
          <cell r="BR341">
            <v>0</v>
          </cell>
          <cell r="BS341">
            <v>0</v>
          </cell>
          <cell r="BT341">
            <v>67454</v>
          </cell>
          <cell r="BY341">
            <v>0</v>
          </cell>
          <cell r="BZ341">
            <v>0</v>
          </cell>
          <cell r="CA341">
            <v>0</v>
          </cell>
          <cell r="CB341">
            <v>0</v>
          </cell>
          <cell r="CC341">
            <v>4047570</v>
          </cell>
          <cell r="CD341">
            <v>22246702</v>
          </cell>
          <cell r="CE341">
            <v>1366755</v>
          </cell>
          <cell r="CF341">
            <v>-56439</v>
          </cell>
          <cell r="CG341">
            <v>1366755</v>
          </cell>
          <cell r="CH341">
            <v>1366755</v>
          </cell>
          <cell r="CI341">
            <v>1366755</v>
          </cell>
          <cell r="CJ341">
            <v>1366755</v>
          </cell>
          <cell r="CK341">
            <v>0</v>
          </cell>
          <cell r="CL341">
            <v>0</v>
          </cell>
          <cell r="CM341">
            <v>0</v>
          </cell>
          <cell r="CN341">
            <v>0</v>
          </cell>
          <cell r="CO341">
            <v>0</v>
          </cell>
          <cell r="CP341">
            <v>-6179</v>
          </cell>
          <cell r="CQ341">
            <v>5702111</v>
          </cell>
          <cell r="CR341">
            <v>5380132</v>
          </cell>
          <cell r="CS341">
            <v>5273449</v>
          </cell>
          <cell r="CT341">
            <v>5119550</v>
          </cell>
          <cell r="CU341">
            <v>4952920</v>
          </cell>
          <cell r="CV341">
            <v>-5195</v>
          </cell>
          <cell r="CW341">
            <v>0</v>
          </cell>
          <cell r="CX341">
            <v>0</v>
          </cell>
          <cell r="CY341">
            <v>0</v>
          </cell>
          <cell r="CZ341">
            <v>0</v>
          </cell>
          <cell r="DA341">
            <v>0</v>
          </cell>
          <cell r="DC341">
            <v>0</v>
          </cell>
          <cell r="DD341">
            <v>0</v>
          </cell>
          <cell r="DE341">
            <v>0</v>
          </cell>
          <cell r="DF341">
            <v>0</v>
          </cell>
          <cell r="DG341">
            <v>0</v>
          </cell>
          <cell r="DH341">
            <v>0</v>
          </cell>
          <cell r="DI341">
            <v>0</v>
          </cell>
          <cell r="DJ341">
            <v>0</v>
          </cell>
          <cell r="DK341">
            <v>0</v>
          </cell>
          <cell r="DL341">
            <v>0</v>
          </cell>
        </row>
        <row r="342">
          <cell r="A342">
            <v>870</v>
          </cell>
          <cell r="B342" t="str">
            <v>Werkendam</v>
          </cell>
          <cell r="C342">
            <v>10</v>
          </cell>
          <cell r="D342">
            <v>-13825</v>
          </cell>
          <cell r="E342">
            <v>-6913</v>
          </cell>
          <cell r="F342">
            <v>0</v>
          </cell>
          <cell r="G342">
            <v>363449</v>
          </cell>
          <cell r="H342">
            <v>-26203</v>
          </cell>
          <cell r="I342">
            <v>-23213</v>
          </cell>
          <cell r="K342">
            <v>0</v>
          </cell>
          <cell r="L342">
            <v>72700</v>
          </cell>
          <cell r="M342">
            <v>67660</v>
          </cell>
          <cell r="N342">
            <v>0</v>
          </cell>
          <cell r="O342">
            <v>0</v>
          </cell>
          <cell r="P342">
            <v>0</v>
          </cell>
          <cell r="Q342">
            <v>0</v>
          </cell>
          <cell r="R342">
            <v>0</v>
          </cell>
          <cell r="S342">
            <v>0</v>
          </cell>
          <cell r="T342">
            <v>0</v>
          </cell>
          <cell r="U342">
            <v>0</v>
          </cell>
          <cell r="V342">
            <v>3000</v>
          </cell>
          <cell r="W342">
            <v>84653</v>
          </cell>
          <cell r="X342">
            <v>0</v>
          </cell>
          <cell r="Z342">
            <v>0</v>
          </cell>
          <cell r="AA342">
            <v>0</v>
          </cell>
          <cell r="AB342">
            <v>0</v>
          </cell>
          <cell r="AD342">
            <v>0</v>
          </cell>
          <cell r="AE342">
            <v>0</v>
          </cell>
          <cell r="AF342">
            <v>0</v>
          </cell>
          <cell r="AG342">
            <v>0</v>
          </cell>
          <cell r="AH342">
            <v>0</v>
          </cell>
          <cell r="AI342">
            <v>0</v>
          </cell>
          <cell r="AJ342">
            <v>0</v>
          </cell>
          <cell r="AK342">
            <v>0</v>
          </cell>
          <cell r="AM342">
            <v>0</v>
          </cell>
          <cell r="AN342">
            <v>0</v>
          </cell>
          <cell r="AO342">
            <v>0</v>
          </cell>
          <cell r="AP342">
            <v>0</v>
          </cell>
          <cell r="AQ342">
            <v>0</v>
          </cell>
          <cell r="AR342">
            <v>0</v>
          </cell>
          <cell r="AS342">
            <v>0</v>
          </cell>
          <cell r="AT342">
            <v>0</v>
          </cell>
          <cell r="AU342">
            <v>4740</v>
          </cell>
          <cell r="AV342">
            <v>0</v>
          </cell>
          <cell r="AW342">
            <v>0</v>
          </cell>
          <cell r="AX342">
            <v>0</v>
          </cell>
          <cell r="BA342">
            <v>0</v>
          </cell>
          <cell r="BC342">
            <v>0</v>
          </cell>
          <cell r="BD342">
            <v>47096</v>
          </cell>
          <cell r="BF342">
            <v>0</v>
          </cell>
          <cell r="BG342">
            <v>0</v>
          </cell>
          <cell r="BH342">
            <v>0</v>
          </cell>
          <cell r="BI342">
            <v>27037</v>
          </cell>
          <cell r="BJ342">
            <v>22255</v>
          </cell>
          <cell r="BK342">
            <v>22255</v>
          </cell>
          <cell r="BL342">
            <v>0</v>
          </cell>
          <cell r="BM342">
            <v>0</v>
          </cell>
          <cell r="BN342">
            <v>0</v>
          </cell>
          <cell r="BO342">
            <v>338554</v>
          </cell>
          <cell r="BP342">
            <v>7907</v>
          </cell>
          <cell r="BQ342">
            <v>14244.186046511601</v>
          </cell>
          <cell r="BR342">
            <v>0</v>
          </cell>
          <cell r="BS342">
            <v>0</v>
          </cell>
          <cell r="BT342">
            <v>46178</v>
          </cell>
          <cell r="BY342">
            <v>0</v>
          </cell>
          <cell r="BZ342">
            <v>0</v>
          </cell>
          <cell r="CA342">
            <v>0</v>
          </cell>
          <cell r="CB342">
            <v>0</v>
          </cell>
          <cell r="CC342">
            <v>1795744</v>
          </cell>
          <cell r="CD342">
            <v>9641258</v>
          </cell>
          <cell r="CE342">
            <v>625819</v>
          </cell>
          <cell r="CF342">
            <v>-53381</v>
          </cell>
          <cell r="CG342">
            <v>625819</v>
          </cell>
          <cell r="CH342">
            <v>625819</v>
          </cell>
          <cell r="CI342">
            <v>625819</v>
          </cell>
          <cell r="CJ342">
            <v>625819</v>
          </cell>
          <cell r="CK342">
            <v>0</v>
          </cell>
          <cell r="CL342">
            <v>0</v>
          </cell>
          <cell r="CM342">
            <v>0</v>
          </cell>
          <cell r="CN342">
            <v>0</v>
          </cell>
          <cell r="CO342">
            <v>0</v>
          </cell>
          <cell r="CP342">
            <v>-390</v>
          </cell>
          <cell r="CQ342">
            <v>1732567</v>
          </cell>
          <cell r="CR342">
            <v>1665133</v>
          </cell>
          <cell r="CS342">
            <v>1623741</v>
          </cell>
          <cell r="CT342">
            <v>1600624</v>
          </cell>
          <cell r="CU342">
            <v>1568613</v>
          </cell>
          <cell r="CV342">
            <v>15240</v>
          </cell>
          <cell r="CW342">
            <v>0</v>
          </cell>
          <cell r="CX342">
            <v>0</v>
          </cell>
          <cell r="CY342">
            <v>0</v>
          </cell>
          <cell r="CZ342">
            <v>0</v>
          </cell>
          <cell r="DA342">
            <v>0</v>
          </cell>
          <cell r="DC342">
            <v>0</v>
          </cell>
          <cell r="DD342">
            <v>0</v>
          </cell>
          <cell r="DE342">
            <v>0</v>
          </cell>
          <cell r="DF342">
            <v>0</v>
          </cell>
          <cell r="DG342">
            <v>0</v>
          </cell>
          <cell r="DH342">
            <v>0</v>
          </cell>
          <cell r="DI342">
            <v>0</v>
          </cell>
          <cell r="DJ342">
            <v>0</v>
          </cell>
          <cell r="DK342">
            <v>0</v>
          </cell>
          <cell r="DL342">
            <v>0</v>
          </cell>
        </row>
        <row r="343">
          <cell r="A343">
            <v>873</v>
          </cell>
          <cell r="B343" t="str">
            <v>Woensdrecht</v>
          </cell>
          <cell r="C343">
            <v>10</v>
          </cell>
          <cell r="D343">
            <v>-10201</v>
          </cell>
          <cell r="E343">
            <v>-5101</v>
          </cell>
          <cell r="F343">
            <v>0</v>
          </cell>
          <cell r="G343">
            <v>0</v>
          </cell>
          <cell r="H343">
            <v>-15446</v>
          </cell>
          <cell r="I343">
            <v>-9589</v>
          </cell>
          <cell r="K343">
            <v>0</v>
          </cell>
          <cell r="L343">
            <v>74491</v>
          </cell>
          <cell r="M343">
            <v>66946</v>
          </cell>
          <cell r="N343">
            <v>0</v>
          </cell>
          <cell r="O343">
            <v>0</v>
          </cell>
          <cell r="P343">
            <v>0</v>
          </cell>
          <cell r="Q343">
            <v>0</v>
          </cell>
          <cell r="R343">
            <v>0</v>
          </cell>
          <cell r="S343">
            <v>0</v>
          </cell>
          <cell r="T343">
            <v>0</v>
          </cell>
          <cell r="U343">
            <v>0</v>
          </cell>
          <cell r="V343">
            <v>9000</v>
          </cell>
          <cell r="W343">
            <v>34346</v>
          </cell>
          <cell r="X343">
            <v>0</v>
          </cell>
          <cell r="Z343">
            <v>0</v>
          </cell>
          <cell r="AA343">
            <v>0</v>
          </cell>
          <cell r="AB343">
            <v>0</v>
          </cell>
          <cell r="AD343">
            <v>0</v>
          </cell>
          <cell r="AE343">
            <v>0</v>
          </cell>
          <cell r="AF343">
            <v>0</v>
          </cell>
          <cell r="AG343">
            <v>0</v>
          </cell>
          <cell r="AH343">
            <v>0</v>
          </cell>
          <cell r="AI343">
            <v>0</v>
          </cell>
          <cell r="AJ343">
            <v>0</v>
          </cell>
          <cell r="AK343">
            <v>0</v>
          </cell>
          <cell r="AM343">
            <v>0</v>
          </cell>
          <cell r="AN343">
            <v>0</v>
          </cell>
          <cell r="AO343">
            <v>0</v>
          </cell>
          <cell r="AP343">
            <v>0</v>
          </cell>
          <cell r="AQ343">
            <v>0</v>
          </cell>
          <cell r="AR343">
            <v>0</v>
          </cell>
          <cell r="AS343">
            <v>0</v>
          </cell>
          <cell r="AT343">
            <v>0</v>
          </cell>
          <cell r="AU343">
            <v>2370</v>
          </cell>
          <cell r="AV343">
            <v>0</v>
          </cell>
          <cell r="AW343">
            <v>0</v>
          </cell>
          <cell r="AX343">
            <v>0</v>
          </cell>
          <cell r="BA343">
            <v>0</v>
          </cell>
          <cell r="BC343">
            <v>0</v>
          </cell>
          <cell r="BD343">
            <v>7666</v>
          </cell>
          <cell r="BF343">
            <v>0</v>
          </cell>
          <cell r="BG343">
            <v>0</v>
          </cell>
          <cell r="BH343">
            <v>0</v>
          </cell>
          <cell r="BI343">
            <v>27382</v>
          </cell>
          <cell r="BJ343">
            <v>22539</v>
          </cell>
          <cell r="BK343">
            <v>22539</v>
          </cell>
          <cell r="BL343">
            <v>0</v>
          </cell>
          <cell r="BM343">
            <v>0</v>
          </cell>
          <cell r="BN343">
            <v>0</v>
          </cell>
          <cell r="BO343">
            <v>62749</v>
          </cell>
          <cell r="BP343">
            <v>0</v>
          </cell>
          <cell r="BQ343">
            <v>0</v>
          </cell>
          <cell r="BR343">
            <v>0</v>
          </cell>
          <cell r="BS343">
            <v>0</v>
          </cell>
          <cell r="BT343">
            <v>32955</v>
          </cell>
          <cell r="BY343">
            <v>0</v>
          </cell>
          <cell r="BZ343">
            <v>0</v>
          </cell>
          <cell r="CA343">
            <v>0</v>
          </cell>
          <cell r="CB343">
            <v>0</v>
          </cell>
          <cell r="CC343">
            <v>1757599</v>
          </cell>
          <cell r="CD343">
            <v>9975393</v>
          </cell>
          <cell r="CE343">
            <v>1737586</v>
          </cell>
          <cell r="CF343">
            <v>-4999</v>
          </cell>
          <cell r="CG343">
            <v>1737586</v>
          </cell>
          <cell r="CH343">
            <v>1737586</v>
          </cell>
          <cell r="CI343">
            <v>1737586</v>
          </cell>
          <cell r="CJ343">
            <v>1737586</v>
          </cell>
          <cell r="CK343">
            <v>0</v>
          </cell>
          <cell r="CL343">
            <v>0</v>
          </cell>
          <cell r="CM343">
            <v>0</v>
          </cell>
          <cell r="CN343">
            <v>0</v>
          </cell>
          <cell r="CO343">
            <v>0</v>
          </cell>
          <cell r="CP343">
            <v>-2714</v>
          </cell>
          <cell r="CQ343">
            <v>2171082</v>
          </cell>
          <cell r="CR343">
            <v>2107179</v>
          </cell>
          <cell r="CS343">
            <v>2082599</v>
          </cell>
          <cell r="CT343">
            <v>2058451</v>
          </cell>
          <cell r="CU343">
            <v>2022927</v>
          </cell>
          <cell r="CV343">
            <v>35588</v>
          </cell>
          <cell r="CW343">
            <v>0</v>
          </cell>
          <cell r="CX343">
            <v>0</v>
          </cell>
          <cell r="CY343">
            <v>0</v>
          </cell>
          <cell r="CZ343">
            <v>0</v>
          </cell>
          <cell r="DA343">
            <v>0</v>
          </cell>
          <cell r="DC343">
            <v>0</v>
          </cell>
          <cell r="DD343">
            <v>0</v>
          </cell>
          <cell r="DE343">
            <v>0</v>
          </cell>
          <cell r="DF343">
            <v>0</v>
          </cell>
          <cell r="DG343">
            <v>0</v>
          </cell>
          <cell r="DH343">
            <v>0</v>
          </cell>
          <cell r="DI343">
            <v>0</v>
          </cell>
          <cell r="DJ343">
            <v>0</v>
          </cell>
          <cell r="DK343">
            <v>0</v>
          </cell>
          <cell r="DL343">
            <v>0</v>
          </cell>
        </row>
        <row r="344">
          <cell r="A344">
            <v>874</v>
          </cell>
          <cell r="B344" t="str">
            <v>Woudrichem</v>
          </cell>
          <cell r="C344">
            <v>10</v>
          </cell>
          <cell r="D344">
            <v>-6960</v>
          </cell>
          <cell r="E344">
            <v>-3480</v>
          </cell>
          <cell r="F344">
            <v>0</v>
          </cell>
          <cell r="G344">
            <v>231636</v>
          </cell>
          <cell r="H344">
            <v>-512</v>
          </cell>
          <cell r="I344">
            <v>0</v>
          </cell>
          <cell r="K344">
            <v>0</v>
          </cell>
          <cell r="L344">
            <v>37604</v>
          </cell>
          <cell r="M344">
            <v>29997</v>
          </cell>
          <cell r="N344">
            <v>0</v>
          </cell>
          <cell r="O344">
            <v>0</v>
          </cell>
          <cell r="P344">
            <v>0</v>
          </cell>
          <cell r="Q344">
            <v>0</v>
          </cell>
          <cell r="R344">
            <v>0</v>
          </cell>
          <cell r="S344">
            <v>0</v>
          </cell>
          <cell r="T344">
            <v>0</v>
          </cell>
          <cell r="U344">
            <v>0</v>
          </cell>
          <cell r="V344">
            <v>3000</v>
          </cell>
          <cell r="W344">
            <v>45256</v>
          </cell>
          <cell r="X344">
            <v>0</v>
          </cell>
          <cell r="Z344">
            <v>0</v>
          </cell>
          <cell r="AA344">
            <v>0</v>
          </cell>
          <cell r="AB344">
            <v>0</v>
          </cell>
          <cell r="AD344">
            <v>0</v>
          </cell>
          <cell r="AE344">
            <v>0</v>
          </cell>
          <cell r="AF344">
            <v>0</v>
          </cell>
          <cell r="AG344">
            <v>0</v>
          </cell>
          <cell r="AH344">
            <v>0</v>
          </cell>
          <cell r="AI344">
            <v>0</v>
          </cell>
          <cell r="AJ344">
            <v>0</v>
          </cell>
          <cell r="AK344">
            <v>0</v>
          </cell>
          <cell r="AM344">
            <v>0</v>
          </cell>
          <cell r="AN344">
            <v>0</v>
          </cell>
          <cell r="AO344">
            <v>0</v>
          </cell>
          <cell r="AP344">
            <v>0</v>
          </cell>
          <cell r="AQ344">
            <v>0</v>
          </cell>
          <cell r="AR344">
            <v>0</v>
          </cell>
          <cell r="AS344">
            <v>0</v>
          </cell>
          <cell r="AT344">
            <v>0</v>
          </cell>
          <cell r="AU344">
            <v>2370</v>
          </cell>
          <cell r="AV344">
            <v>0</v>
          </cell>
          <cell r="AW344">
            <v>0</v>
          </cell>
          <cell r="AX344">
            <v>0</v>
          </cell>
          <cell r="BA344">
            <v>0</v>
          </cell>
          <cell r="BC344">
            <v>0</v>
          </cell>
          <cell r="BD344">
            <v>25508</v>
          </cell>
          <cell r="BF344">
            <v>0</v>
          </cell>
          <cell r="BG344">
            <v>0</v>
          </cell>
          <cell r="BH344">
            <v>0</v>
          </cell>
          <cell r="BI344">
            <v>15915</v>
          </cell>
          <cell r="BJ344">
            <v>13101</v>
          </cell>
          <cell r="BK344">
            <v>13101</v>
          </cell>
          <cell r="BL344">
            <v>0</v>
          </cell>
          <cell r="BM344">
            <v>0</v>
          </cell>
          <cell r="BN344">
            <v>0</v>
          </cell>
          <cell r="BO344">
            <v>77828</v>
          </cell>
          <cell r="BP344">
            <v>4744.2</v>
          </cell>
          <cell r="BQ344">
            <v>8546.5116279069807</v>
          </cell>
          <cell r="BR344">
            <v>0</v>
          </cell>
          <cell r="BS344">
            <v>0</v>
          </cell>
          <cell r="BT344">
            <v>26508</v>
          </cell>
          <cell r="BY344">
            <v>0</v>
          </cell>
          <cell r="BZ344">
            <v>0</v>
          </cell>
          <cell r="CA344">
            <v>0</v>
          </cell>
          <cell r="CB344">
            <v>0</v>
          </cell>
          <cell r="CC344">
            <v>1002683</v>
          </cell>
          <cell r="CD344">
            <v>5792105</v>
          </cell>
          <cell r="CE344">
            <v>359824</v>
          </cell>
          <cell r="CF344">
            <v>0</v>
          </cell>
          <cell r="CG344">
            <v>359824</v>
          </cell>
          <cell r="CH344">
            <v>359824</v>
          </cell>
          <cell r="CI344">
            <v>359824</v>
          </cell>
          <cell r="CJ344">
            <v>359824</v>
          </cell>
          <cell r="CK344">
            <v>0</v>
          </cell>
          <cell r="CL344">
            <v>0</v>
          </cell>
          <cell r="CM344">
            <v>0</v>
          </cell>
          <cell r="CN344">
            <v>0</v>
          </cell>
          <cell r="CO344">
            <v>0</v>
          </cell>
          <cell r="CP344">
            <v>0</v>
          </cell>
          <cell r="CQ344">
            <v>1080559</v>
          </cell>
          <cell r="CR344">
            <v>1009237</v>
          </cell>
          <cell r="CS344">
            <v>963394</v>
          </cell>
          <cell r="CT344">
            <v>947637</v>
          </cell>
          <cell r="CU344">
            <v>906736</v>
          </cell>
          <cell r="CV344">
            <v>-13560</v>
          </cell>
          <cell r="CW344">
            <v>0</v>
          </cell>
          <cell r="CX344">
            <v>0</v>
          </cell>
          <cell r="CY344">
            <v>0</v>
          </cell>
          <cell r="CZ344">
            <v>0</v>
          </cell>
          <cell r="DA344">
            <v>0</v>
          </cell>
          <cell r="DC344">
            <v>0</v>
          </cell>
          <cell r="DD344">
            <v>0</v>
          </cell>
          <cell r="DE344">
            <v>0</v>
          </cell>
          <cell r="DF344">
            <v>0</v>
          </cell>
          <cell r="DG344">
            <v>0</v>
          </cell>
          <cell r="DH344">
            <v>0</v>
          </cell>
          <cell r="DI344">
            <v>0</v>
          </cell>
          <cell r="DJ344">
            <v>0</v>
          </cell>
          <cell r="DK344">
            <v>0</v>
          </cell>
          <cell r="DL344">
            <v>0</v>
          </cell>
        </row>
        <row r="345">
          <cell r="A345">
            <v>879</v>
          </cell>
          <cell r="B345" t="str">
            <v>Zundert</v>
          </cell>
          <cell r="C345">
            <v>10</v>
          </cell>
          <cell r="D345">
            <v>-29745</v>
          </cell>
          <cell r="E345">
            <v>-14873</v>
          </cell>
          <cell r="F345">
            <v>0</v>
          </cell>
          <cell r="G345">
            <v>0</v>
          </cell>
          <cell r="H345">
            <v>-21006</v>
          </cell>
          <cell r="I345">
            <v>-15527</v>
          </cell>
          <cell r="K345">
            <v>0</v>
          </cell>
          <cell r="L345">
            <v>67329</v>
          </cell>
          <cell r="M345">
            <v>61709</v>
          </cell>
          <cell r="N345">
            <v>0</v>
          </cell>
          <cell r="O345">
            <v>0</v>
          </cell>
          <cell r="P345">
            <v>0</v>
          </cell>
          <cell r="Q345">
            <v>0</v>
          </cell>
          <cell r="R345">
            <v>0</v>
          </cell>
          <cell r="S345">
            <v>0</v>
          </cell>
          <cell r="T345">
            <v>0</v>
          </cell>
          <cell r="U345">
            <v>0</v>
          </cell>
          <cell r="V345">
            <v>9000</v>
          </cell>
          <cell r="W345">
            <v>35558</v>
          </cell>
          <cell r="X345">
            <v>0</v>
          </cell>
          <cell r="Z345">
            <v>0</v>
          </cell>
          <cell r="AA345">
            <v>0</v>
          </cell>
          <cell r="AB345">
            <v>0</v>
          </cell>
          <cell r="AD345">
            <v>0</v>
          </cell>
          <cell r="AE345">
            <v>0</v>
          </cell>
          <cell r="AF345">
            <v>0</v>
          </cell>
          <cell r="AG345">
            <v>0</v>
          </cell>
          <cell r="AH345">
            <v>0</v>
          </cell>
          <cell r="AI345">
            <v>0</v>
          </cell>
          <cell r="AJ345">
            <v>0</v>
          </cell>
          <cell r="AK345">
            <v>0</v>
          </cell>
          <cell r="AM345">
            <v>0</v>
          </cell>
          <cell r="AN345">
            <v>0</v>
          </cell>
          <cell r="AO345">
            <v>0</v>
          </cell>
          <cell r="AP345">
            <v>0</v>
          </cell>
          <cell r="AQ345">
            <v>0</v>
          </cell>
          <cell r="AR345">
            <v>0</v>
          </cell>
          <cell r="AS345">
            <v>0</v>
          </cell>
          <cell r="AT345">
            <v>0</v>
          </cell>
          <cell r="AU345">
            <v>7110</v>
          </cell>
          <cell r="AV345">
            <v>0</v>
          </cell>
          <cell r="AW345">
            <v>0</v>
          </cell>
          <cell r="AX345">
            <v>0</v>
          </cell>
          <cell r="BA345">
            <v>0</v>
          </cell>
          <cell r="BC345">
            <v>0</v>
          </cell>
          <cell r="BD345">
            <v>7602</v>
          </cell>
          <cell r="BF345">
            <v>0</v>
          </cell>
          <cell r="BG345">
            <v>0</v>
          </cell>
          <cell r="BH345">
            <v>0</v>
          </cell>
          <cell r="BI345">
            <v>29569</v>
          </cell>
          <cell r="BJ345">
            <v>24340</v>
          </cell>
          <cell r="BK345">
            <v>24340</v>
          </cell>
          <cell r="BL345">
            <v>0</v>
          </cell>
          <cell r="BM345">
            <v>0</v>
          </cell>
          <cell r="BN345">
            <v>0</v>
          </cell>
          <cell r="BO345">
            <v>42319</v>
          </cell>
          <cell r="BP345">
            <v>12651.2</v>
          </cell>
          <cell r="BQ345">
            <v>22790.697674418599</v>
          </cell>
          <cell r="BR345">
            <v>0</v>
          </cell>
          <cell r="BS345">
            <v>0</v>
          </cell>
          <cell r="BT345">
            <v>30360</v>
          </cell>
          <cell r="BY345">
            <v>0</v>
          </cell>
          <cell r="BZ345">
            <v>0</v>
          </cell>
          <cell r="CA345">
            <v>0</v>
          </cell>
          <cell r="CB345">
            <v>0</v>
          </cell>
          <cell r="CC345">
            <v>1876603</v>
          </cell>
          <cell r="CD345">
            <v>9148455</v>
          </cell>
          <cell r="CE345">
            <v>906909</v>
          </cell>
          <cell r="CF345">
            <v>-25974</v>
          </cell>
          <cell r="CG345">
            <v>906909</v>
          </cell>
          <cell r="CH345">
            <v>906909</v>
          </cell>
          <cell r="CI345">
            <v>906909</v>
          </cell>
          <cell r="CJ345">
            <v>906909</v>
          </cell>
          <cell r="CK345">
            <v>0</v>
          </cell>
          <cell r="CL345">
            <v>0</v>
          </cell>
          <cell r="CM345">
            <v>0</v>
          </cell>
          <cell r="CN345">
            <v>0</v>
          </cell>
          <cell r="CO345">
            <v>0</v>
          </cell>
          <cell r="CP345">
            <v>-1738</v>
          </cell>
          <cell r="CQ345">
            <v>2026362</v>
          </cell>
          <cell r="CR345">
            <v>1911331</v>
          </cell>
          <cell r="CS345">
            <v>1841608</v>
          </cell>
          <cell r="CT345">
            <v>1810720</v>
          </cell>
          <cell r="CU345">
            <v>1790925</v>
          </cell>
          <cell r="CV345">
            <v>22143</v>
          </cell>
          <cell r="CW345">
            <v>0</v>
          </cell>
          <cell r="CX345">
            <v>0</v>
          </cell>
          <cell r="CY345">
            <v>0</v>
          </cell>
          <cell r="CZ345">
            <v>0</v>
          </cell>
          <cell r="DA345">
            <v>0</v>
          </cell>
          <cell r="DC345">
            <v>0</v>
          </cell>
          <cell r="DD345">
            <v>0</v>
          </cell>
          <cell r="DE345">
            <v>0</v>
          </cell>
          <cell r="DF345">
            <v>0</v>
          </cell>
          <cell r="DG345">
            <v>0</v>
          </cell>
          <cell r="DH345">
            <v>0</v>
          </cell>
          <cell r="DI345">
            <v>0</v>
          </cell>
          <cell r="DJ345">
            <v>0</v>
          </cell>
          <cell r="DK345">
            <v>0</v>
          </cell>
          <cell r="DL345">
            <v>0</v>
          </cell>
        </row>
        <row r="346">
          <cell r="A346">
            <v>888</v>
          </cell>
          <cell r="B346" t="str">
            <v>Beek</v>
          </cell>
          <cell r="C346">
            <v>11</v>
          </cell>
          <cell r="D346">
            <v>31122</v>
          </cell>
          <cell r="E346">
            <v>15561</v>
          </cell>
          <cell r="F346">
            <v>0</v>
          </cell>
          <cell r="G346">
            <v>0</v>
          </cell>
          <cell r="H346">
            <v>-5475</v>
          </cell>
          <cell r="I346">
            <v>0</v>
          </cell>
          <cell r="K346">
            <v>0</v>
          </cell>
          <cell r="L346">
            <v>61240</v>
          </cell>
          <cell r="M346">
            <v>57209</v>
          </cell>
          <cell r="N346">
            <v>0</v>
          </cell>
          <cell r="O346">
            <v>0</v>
          </cell>
          <cell r="P346">
            <v>0</v>
          </cell>
          <cell r="Q346">
            <v>0</v>
          </cell>
          <cell r="R346">
            <v>0</v>
          </cell>
          <cell r="S346">
            <v>0</v>
          </cell>
          <cell r="T346">
            <v>0</v>
          </cell>
          <cell r="U346">
            <v>0</v>
          </cell>
          <cell r="V346">
            <v>3000</v>
          </cell>
          <cell r="W346">
            <v>61812</v>
          </cell>
          <cell r="X346">
            <v>0</v>
          </cell>
          <cell r="Z346">
            <v>0</v>
          </cell>
          <cell r="AA346">
            <v>0</v>
          </cell>
          <cell r="AB346">
            <v>0</v>
          </cell>
          <cell r="AD346">
            <v>0</v>
          </cell>
          <cell r="AE346">
            <v>0</v>
          </cell>
          <cell r="AF346">
            <v>0</v>
          </cell>
          <cell r="AG346">
            <v>0</v>
          </cell>
          <cell r="AH346">
            <v>0</v>
          </cell>
          <cell r="AI346">
            <v>0</v>
          </cell>
          <cell r="AJ346">
            <v>0</v>
          </cell>
          <cell r="AK346">
            <v>0</v>
          </cell>
          <cell r="AM346">
            <v>0</v>
          </cell>
          <cell r="AN346">
            <v>0</v>
          </cell>
          <cell r="AO346">
            <v>0</v>
          </cell>
          <cell r="AP346">
            <v>0</v>
          </cell>
          <cell r="AQ346">
            <v>0</v>
          </cell>
          <cell r="AR346">
            <v>0</v>
          </cell>
          <cell r="AS346">
            <v>0</v>
          </cell>
          <cell r="AT346">
            <v>0</v>
          </cell>
          <cell r="AU346">
            <v>11850</v>
          </cell>
          <cell r="AV346">
            <v>0</v>
          </cell>
          <cell r="AW346">
            <v>0</v>
          </cell>
          <cell r="AX346">
            <v>0</v>
          </cell>
          <cell r="BA346">
            <v>0</v>
          </cell>
          <cell r="BC346">
            <v>0</v>
          </cell>
          <cell r="BD346">
            <v>5599</v>
          </cell>
          <cell r="BF346">
            <v>0</v>
          </cell>
          <cell r="BG346">
            <v>0</v>
          </cell>
          <cell r="BH346">
            <v>0</v>
          </cell>
          <cell r="BI346">
            <v>24820</v>
          </cell>
          <cell r="BJ346">
            <v>20431</v>
          </cell>
          <cell r="BK346">
            <v>20431</v>
          </cell>
          <cell r="BL346">
            <v>0</v>
          </cell>
          <cell r="BM346">
            <v>0</v>
          </cell>
          <cell r="BN346">
            <v>0</v>
          </cell>
          <cell r="BO346">
            <v>51561</v>
          </cell>
          <cell r="BP346">
            <v>7907</v>
          </cell>
          <cell r="BQ346">
            <v>14244.186046511601</v>
          </cell>
          <cell r="BR346">
            <v>0</v>
          </cell>
          <cell r="BS346">
            <v>0</v>
          </cell>
          <cell r="BT346">
            <v>23555</v>
          </cell>
          <cell r="BY346">
            <v>0</v>
          </cell>
          <cell r="BZ346">
            <v>0</v>
          </cell>
          <cell r="CA346">
            <v>0</v>
          </cell>
          <cell r="CB346">
            <v>0</v>
          </cell>
          <cell r="CC346">
            <v>1506652</v>
          </cell>
          <cell r="CD346">
            <v>7047113</v>
          </cell>
          <cell r="CE346">
            <v>444818</v>
          </cell>
          <cell r="CF346">
            <v>0</v>
          </cell>
          <cell r="CG346">
            <v>444818</v>
          </cell>
          <cell r="CH346">
            <v>444818</v>
          </cell>
          <cell r="CI346">
            <v>444818</v>
          </cell>
          <cell r="CJ346">
            <v>444818</v>
          </cell>
          <cell r="CK346">
            <v>0</v>
          </cell>
          <cell r="CL346">
            <v>0</v>
          </cell>
          <cell r="CM346">
            <v>0</v>
          </cell>
          <cell r="CN346">
            <v>0</v>
          </cell>
          <cell r="CO346">
            <v>0</v>
          </cell>
          <cell r="CP346">
            <v>0</v>
          </cell>
          <cell r="CQ346">
            <v>1417104</v>
          </cell>
          <cell r="CR346">
            <v>1339787</v>
          </cell>
          <cell r="CS346">
            <v>1254697</v>
          </cell>
          <cell r="CT346">
            <v>1199645</v>
          </cell>
          <cell r="CU346">
            <v>1153718</v>
          </cell>
          <cell r="CV346">
            <v>22761</v>
          </cell>
          <cell r="CW346">
            <v>0</v>
          </cell>
          <cell r="CX346">
            <v>0</v>
          </cell>
          <cell r="CY346">
            <v>0</v>
          </cell>
          <cell r="CZ346">
            <v>0</v>
          </cell>
          <cell r="DA346">
            <v>0</v>
          </cell>
          <cell r="DC346">
            <v>0</v>
          </cell>
          <cell r="DD346">
            <v>0</v>
          </cell>
          <cell r="DE346">
            <v>0</v>
          </cell>
          <cell r="DF346">
            <v>0</v>
          </cell>
          <cell r="DG346">
            <v>0</v>
          </cell>
          <cell r="DH346">
            <v>0</v>
          </cell>
          <cell r="DI346">
            <v>0</v>
          </cell>
          <cell r="DJ346">
            <v>0</v>
          </cell>
          <cell r="DK346">
            <v>0</v>
          </cell>
          <cell r="DL346">
            <v>0</v>
          </cell>
        </row>
        <row r="347">
          <cell r="A347">
            <v>889</v>
          </cell>
          <cell r="B347" t="str">
            <v>Beesel</v>
          </cell>
          <cell r="C347">
            <v>11</v>
          </cell>
          <cell r="D347">
            <v>-16592</v>
          </cell>
          <cell r="E347">
            <v>-8296</v>
          </cell>
          <cell r="F347">
            <v>0</v>
          </cell>
          <cell r="G347">
            <v>0</v>
          </cell>
          <cell r="H347">
            <v>0</v>
          </cell>
          <cell r="I347">
            <v>0</v>
          </cell>
          <cell r="K347">
            <v>0</v>
          </cell>
          <cell r="L347">
            <v>46259</v>
          </cell>
          <cell r="M347">
            <v>51995</v>
          </cell>
          <cell r="N347">
            <v>0</v>
          </cell>
          <cell r="O347">
            <v>0</v>
          </cell>
          <cell r="P347">
            <v>0</v>
          </cell>
          <cell r="Q347">
            <v>0</v>
          </cell>
          <cell r="R347">
            <v>0</v>
          </cell>
          <cell r="S347">
            <v>0</v>
          </cell>
          <cell r="T347">
            <v>0</v>
          </cell>
          <cell r="U347">
            <v>0</v>
          </cell>
          <cell r="V347">
            <v>0</v>
          </cell>
          <cell r="W347">
            <v>53648</v>
          </cell>
          <cell r="X347">
            <v>0</v>
          </cell>
          <cell r="Z347">
            <v>0</v>
          </cell>
          <cell r="AA347">
            <v>0</v>
          </cell>
          <cell r="AB347">
            <v>0</v>
          </cell>
          <cell r="AD347">
            <v>0</v>
          </cell>
          <cell r="AE347">
            <v>0</v>
          </cell>
          <cell r="AF347">
            <v>0</v>
          </cell>
          <cell r="AG347">
            <v>0</v>
          </cell>
          <cell r="AH347">
            <v>0</v>
          </cell>
          <cell r="AI347">
            <v>0</v>
          </cell>
          <cell r="AJ347">
            <v>0</v>
          </cell>
          <cell r="AK347">
            <v>0</v>
          </cell>
          <cell r="AM347">
            <v>0</v>
          </cell>
          <cell r="AN347">
            <v>0</v>
          </cell>
          <cell r="AO347">
            <v>0</v>
          </cell>
          <cell r="AP347">
            <v>0</v>
          </cell>
          <cell r="AQ347">
            <v>0</v>
          </cell>
          <cell r="AR347">
            <v>0</v>
          </cell>
          <cell r="AS347">
            <v>0</v>
          </cell>
          <cell r="AT347">
            <v>0</v>
          </cell>
          <cell r="AU347">
            <v>0</v>
          </cell>
          <cell r="AV347">
            <v>0</v>
          </cell>
          <cell r="AW347">
            <v>0</v>
          </cell>
          <cell r="AX347">
            <v>0</v>
          </cell>
          <cell r="BA347">
            <v>0</v>
          </cell>
          <cell r="BC347">
            <v>0</v>
          </cell>
          <cell r="BD347">
            <v>4706</v>
          </cell>
          <cell r="BF347">
            <v>0</v>
          </cell>
          <cell r="BG347">
            <v>0</v>
          </cell>
          <cell r="BH347">
            <v>0</v>
          </cell>
          <cell r="BI347">
            <v>19900</v>
          </cell>
          <cell r="BJ347">
            <v>16381</v>
          </cell>
          <cell r="BK347">
            <v>16381</v>
          </cell>
          <cell r="BL347">
            <v>0</v>
          </cell>
          <cell r="BM347">
            <v>0</v>
          </cell>
          <cell r="BN347">
            <v>0</v>
          </cell>
          <cell r="BO347">
            <v>20430</v>
          </cell>
          <cell r="BP347">
            <v>0</v>
          </cell>
          <cell r="BQ347">
            <v>0</v>
          </cell>
          <cell r="BR347">
            <v>0</v>
          </cell>
          <cell r="BS347">
            <v>0</v>
          </cell>
          <cell r="BT347">
            <v>20837</v>
          </cell>
          <cell r="BY347">
            <v>0</v>
          </cell>
          <cell r="BZ347">
            <v>0</v>
          </cell>
          <cell r="CA347">
            <v>0</v>
          </cell>
          <cell r="CB347">
            <v>0</v>
          </cell>
          <cell r="CC347">
            <v>1212678</v>
          </cell>
          <cell r="CD347">
            <v>6443852</v>
          </cell>
          <cell r="CE347">
            <v>262945</v>
          </cell>
          <cell r="CF347">
            <v>-2361</v>
          </cell>
          <cell r="CG347">
            <v>262945</v>
          </cell>
          <cell r="CH347">
            <v>262945</v>
          </cell>
          <cell r="CI347">
            <v>262945</v>
          </cell>
          <cell r="CJ347">
            <v>262945</v>
          </cell>
          <cell r="CK347">
            <v>0</v>
          </cell>
          <cell r="CL347">
            <v>0</v>
          </cell>
          <cell r="CM347">
            <v>0</v>
          </cell>
          <cell r="CN347">
            <v>0</v>
          </cell>
          <cell r="CO347">
            <v>0</v>
          </cell>
          <cell r="CP347">
            <v>0</v>
          </cell>
          <cell r="CQ347">
            <v>1535494</v>
          </cell>
          <cell r="CR347">
            <v>1448170</v>
          </cell>
          <cell r="CS347">
            <v>1361251</v>
          </cell>
          <cell r="CT347">
            <v>1321583</v>
          </cell>
          <cell r="CU347">
            <v>1320682</v>
          </cell>
          <cell r="CV347">
            <v>4553</v>
          </cell>
          <cell r="CW347">
            <v>0</v>
          </cell>
          <cell r="CX347">
            <v>0</v>
          </cell>
          <cell r="CY347">
            <v>0</v>
          </cell>
          <cell r="CZ347">
            <v>0</v>
          </cell>
          <cell r="DA347">
            <v>0</v>
          </cell>
          <cell r="DC347">
            <v>0</v>
          </cell>
          <cell r="DD347">
            <v>0</v>
          </cell>
          <cell r="DE347">
            <v>0</v>
          </cell>
          <cell r="DF347">
            <v>0</v>
          </cell>
          <cell r="DG347">
            <v>0</v>
          </cell>
          <cell r="DH347">
            <v>0</v>
          </cell>
          <cell r="DI347">
            <v>0</v>
          </cell>
          <cell r="DJ347">
            <v>0</v>
          </cell>
          <cell r="DK347">
            <v>0</v>
          </cell>
          <cell r="DL347">
            <v>0</v>
          </cell>
        </row>
        <row r="348">
          <cell r="A348">
            <v>893</v>
          </cell>
          <cell r="B348" t="str">
            <v>Bergen L</v>
          </cell>
          <cell r="C348">
            <v>11</v>
          </cell>
          <cell r="D348">
            <v>-11205</v>
          </cell>
          <cell r="E348">
            <v>-5603</v>
          </cell>
          <cell r="F348">
            <v>0</v>
          </cell>
          <cell r="G348">
            <v>0</v>
          </cell>
          <cell r="H348">
            <v>-29627</v>
          </cell>
          <cell r="I348">
            <v>-17632</v>
          </cell>
          <cell r="K348">
            <v>0</v>
          </cell>
          <cell r="L348">
            <v>40111</v>
          </cell>
          <cell r="M348">
            <v>43425</v>
          </cell>
          <cell r="N348">
            <v>0</v>
          </cell>
          <cell r="O348">
            <v>0</v>
          </cell>
          <cell r="P348">
            <v>0</v>
          </cell>
          <cell r="Q348">
            <v>0</v>
          </cell>
          <cell r="R348">
            <v>0</v>
          </cell>
          <cell r="S348">
            <v>0</v>
          </cell>
          <cell r="T348">
            <v>0</v>
          </cell>
          <cell r="U348">
            <v>0</v>
          </cell>
          <cell r="V348">
            <v>0</v>
          </cell>
          <cell r="W348">
            <v>54426</v>
          </cell>
          <cell r="X348">
            <v>0</v>
          </cell>
          <cell r="Z348">
            <v>0</v>
          </cell>
          <cell r="AA348">
            <v>0</v>
          </cell>
          <cell r="AB348">
            <v>0</v>
          </cell>
          <cell r="AD348">
            <v>26400</v>
          </cell>
          <cell r="AE348">
            <v>0</v>
          </cell>
          <cell r="AF348">
            <v>0</v>
          </cell>
          <cell r="AG348">
            <v>0</v>
          </cell>
          <cell r="AH348">
            <v>0</v>
          </cell>
          <cell r="AI348">
            <v>0</v>
          </cell>
          <cell r="AJ348">
            <v>0</v>
          </cell>
          <cell r="AK348">
            <v>0</v>
          </cell>
          <cell r="AM348">
            <v>0</v>
          </cell>
          <cell r="AN348">
            <v>0</v>
          </cell>
          <cell r="AO348">
            <v>0</v>
          </cell>
          <cell r="AP348">
            <v>0</v>
          </cell>
          <cell r="AQ348">
            <v>0</v>
          </cell>
          <cell r="AR348">
            <v>0</v>
          </cell>
          <cell r="AS348">
            <v>0</v>
          </cell>
          <cell r="AT348">
            <v>0</v>
          </cell>
          <cell r="AU348">
            <v>0</v>
          </cell>
          <cell r="AV348">
            <v>0</v>
          </cell>
          <cell r="AW348">
            <v>0</v>
          </cell>
          <cell r="AX348">
            <v>0</v>
          </cell>
          <cell r="BA348">
            <v>0</v>
          </cell>
          <cell r="BC348">
            <v>0</v>
          </cell>
          <cell r="BD348">
            <v>4597</v>
          </cell>
          <cell r="BF348">
            <v>0</v>
          </cell>
          <cell r="BG348">
            <v>0</v>
          </cell>
          <cell r="BH348">
            <v>0</v>
          </cell>
          <cell r="BI348">
            <v>19601</v>
          </cell>
          <cell r="BJ348">
            <v>16135</v>
          </cell>
          <cell r="BK348">
            <v>16135</v>
          </cell>
          <cell r="BL348">
            <v>0</v>
          </cell>
          <cell r="BM348">
            <v>0</v>
          </cell>
          <cell r="BN348">
            <v>0</v>
          </cell>
          <cell r="BO348">
            <v>12161</v>
          </cell>
          <cell r="BP348">
            <v>0</v>
          </cell>
          <cell r="BQ348">
            <v>0</v>
          </cell>
          <cell r="BR348">
            <v>0</v>
          </cell>
          <cell r="BS348">
            <v>0</v>
          </cell>
          <cell r="BT348">
            <v>27189</v>
          </cell>
          <cell r="BY348">
            <v>0</v>
          </cell>
          <cell r="BZ348">
            <v>0</v>
          </cell>
          <cell r="CA348">
            <v>0</v>
          </cell>
          <cell r="CB348">
            <v>0</v>
          </cell>
          <cell r="CC348">
            <v>1232654</v>
          </cell>
          <cell r="CD348">
            <v>7356422</v>
          </cell>
          <cell r="CE348">
            <v>418772</v>
          </cell>
          <cell r="CF348">
            <v>-25248</v>
          </cell>
          <cell r="CG348">
            <v>418772</v>
          </cell>
          <cell r="CH348">
            <v>418772</v>
          </cell>
          <cell r="CI348">
            <v>418772</v>
          </cell>
          <cell r="CJ348">
            <v>418772</v>
          </cell>
          <cell r="CK348">
            <v>0</v>
          </cell>
          <cell r="CL348">
            <v>0</v>
          </cell>
          <cell r="CM348">
            <v>0</v>
          </cell>
          <cell r="CN348">
            <v>0</v>
          </cell>
          <cell r="CO348">
            <v>0</v>
          </cell>
          <cell r="CP348">
            <v>-2639</v>
          </cell>
          <cell r="CQ348">
            <v>2348627</v>
          </cell>
          <cell r="CR348">
            <v>2221013</v>
          </cell>
          <cell r="CS348">
            <v>2175805</v>
          </cell>
          <cell r="CT348">
            <v>2114838</v>
          </cell>
          <cell r="CU348">
            <v>2017311</v>
          </cell>
          <cell r="CV348">
            <v>-1954</v>
          </cell>
          <cell r="CW348">
            <v>0</v>
          </cell>
          <cell r="CX348">
            <v>0</v>
          </cell>
          <cell r="CY348">
            <v>0</v>
          </cell>
          <cell r="CZ348">
            <v>0</v>
          </cell>
          <cell r="DA348">
            <v>0</v>
          </cell>
          <cell r="DC348">
            <v>0</v>
          </cell>
          <cell r="DD348">
            <v>0</v>
          </cell>
          <cell r="DE348">
            <v>0</v>
          </cell>
          <cell r="DF348">
            <v>0</v>
          </cell>
          <cell r="DG348">
            <v>0</v>
          </cell>
          <cell r="DH348">
            <v>0</v>
          </cell>
          <cell r="DI348">
            <v>0</v>
          </cell>
          <cell r="DJ348">
            <v>0</v>
          </cell>
          <cell r="DK348">
            <v>0</v>
          </cell>
          <cell r="DL348">
            <v>0</v>
          </cell>
        </row>
        <row r="349">
          <cell r="A349">
            <v>899</v>
          </cell>
          <cell r="B349" t="str">
            <v>Brunssum</v>
          </cell>
          <cell r="C349">
            <v>11</v>
          </cell>
          <cell r="D349">
            <v>23113</v>
          </cell>
          <cell r="E349">
            <v>11557</v>
          </cell>
          <cell r="F349">
            <v>0</v>
          </cell>
          <cell r="G349">
            <v>0</v>
          </cell>
          <cell r="H349">
            <v>-26623</v>
          </cell>
          <cell r="I349">
            <v>-23290</v>
          </cell>
          <cell r="K349">
            <v>0</v>
          </cell>
          <cell r="L349">
            <v>183960</v>
          </cell>
          <cell r="M349">
            <v>179031</v>
          </cell>
          <cell r="N349">
            <v>0</v>
          </cell>
          <cell r="O349">
            <v>0</v>
          </cell>
          <cell r="P349">
            <v>0</v>
          </cell>
          <cell r="Q349">
            <v>0</v>
          </cell>
          <cell r="R349">
            <v>0</v>
          </cell>
          <cell r="S349">
            <v>0</v>
          </cell>
          <cell r="T349">
            <v>0</v>
          </cell>
          <cell r="U349">
            <v>0</v>
          </cell>
          <cell r="V349">
            <v>3000</v>
          </cell>
          <cell r="W349">
            <v>99133</v>
          </cell>
          <cell r="X349">
            <v>0</v>
          </cell>
          <cell r="Z349">
            <v>0</v>
          </cell>
          <cell r="AA349">
            <v>0</v>
          </cell>
          <cell r="AB349">
            <v>0</v>
          </cell>
          <cell r="AD349">
            <v>94846</v>
          </cell>
          <cell r="AE349">
            <v>0</v>
          </cell>
          <cell r="AF349">
            <v>0</v>
          </cell>
          <cell r="AG349">
            <v>0</v>
          </cell>
          <cell r="AH349">
            <v>0</v>
          </cell>
          <cell r="AI349">
            <v>0</v>
          </cell>
          <cell r="AJ349">
            <v>0</v>
          </cell>
          <cell r="AK349">
            <v>0</v>
          </cell>
          <cell r="AM349">
            <v>0</v>
          </cell>
          <cell r="AN349">
            <v>0</v>
          </cell>
          <cell r="AO349">
            <v>0</v>
          </cell>
          <cell r="AP349">
            <v>0</v>
          </cell>
          <cell r="AQ349">
            <v>0</v>
          </cell>
          <cell r="AR349">
            <v>0</v>
          </cell>
          <cell r="AS349">
            <v>0</v>
          </cell>
          <cell r="AT349">
            <v>0</v>
          </cell>
          <cell r="AU349">
            <v>2370</v>
          </cell>
          <cell r="AV349">
            <v>0</v>
          </cell>
          <cell r="AW349">
            <v>0</v>
          </cell>
          <cell r="AX349">
            <v>0</v>
          </cell>
          <cell r="BA349">
            <v>0</v>
          </cell>
          <cell r="BC349">
            <v>0</v>
          </cell>
          <cell r="BD349">
            <v>9955</v>
          </cell>
          <cell r="BF349">
            <v>0</v>
          </cell>
          <cell r="BG349">
            <v>0</v>
          </cell>
          <cell r="BH349">
            <v>0</v>
          </cell>
          <cell r="BI349">
            <v>67861</v>
          </cell>
          <cell r="BJ349">
            <v>55860</v>
          </cell>
          <cell r="BK349">
            <v>55860</v>
          </cell>
          <cell r="BL349">
            <v>0</v>
          </cell>
          <cell r="BM349">
            <v>0</v>
          </cell>
          <cell r="BN349">
            <v>0</v>
          </cell>
          <cell r="BO349">
            <v>81233</v>
          </cell>
          <cell r="BP349">
            <v>42697.8</v>
          </cell>
          <cell r="BQ349">
            <v>76918.604651162794</v>
          </cell>
          <cell r="BR349">
            <v>0</v>
          </cell>
          <cell r="BS349">
            <v>0</v>
          </cell>
          <cell r="BT349">
            <v>46488</v>
          </cell>
          <cell r="BY349">
            <v>0</v>
          </cell>
          <cell r="BZ349">
            <v>0</v>
          </cell>
          <cell r="CA349">
            <v>0</v>
          </cell>
          <cell r="CB349">
            <v>0</v>
          </cell>
          <cell r="CC349">
            <v>3427625</v>
          </cell>
          <cell r="CD349">
            <v>25688538</v>
          </cell>
          <cell r="CE349">
            <v>709681</v>
          </cell>
          <cell r="CF349">
            <v>-56908</v>
          </cell>
          <cell r="CG349">
            <v>709681</v>
          </cell>
          <cell r="CH349">
            <v>709681</v>
          </cell>
          <cell r="CI349">
            <v>709681</v>
          </cell>
          <cell r="CJ349">
            <v>709681</v>
          </cell>
          <cell r="CK349">
            <v>0</v>
          </cell>
          <cell r="CL349">
            <v>0</v>
          </cell>
          <cell r="CM349">
            <v>0</v>
          </cell>
          <cell r="CN349">
            <v>0</v>
          </cell>
          <cell r="CO349">
            <v>0</v>
          </cell>
          <cell r="CP349">
            <v>0</v>
          </cell>
          <cell r="CQ349">
            <v>10102968</v>
          </cell>
          <cell r="CR349">
            <v>9427747</v>
          </cell>
          <cell r="CS349">
            <v>9098090</v>
          </cell>
          <cell r="CT349">
            <v>8791639</v>
          </cell>
          <cell r="CU349">
            <v>8414181</v>
          </cell>
          <cell r="CV349">
            <v>-12631</v>
          </cell>
          <cell r="CW349">
            <v>0</v>
          </cell>
          <cell r="CX349">
            <v>0</v>
          </cell>
          <cell r="CY349">
            <v>0</v>
          </cell>
          <cell r="CZ349">
            <v>0</v>
          </cell>
          <cell r="DA349">
            <v>80000</v>
          </cell>
          <cell r="DC349">
            <v>0</v>
          </cell>
          <cell r="DD349">
            <v>0</v>
          </cell>
          <cell r="DE349">
            <v>0</v>
          </cell>
          <cell r="DF349">
            <v>0</v>
          </cell>
          <cell r="DG349">
            <v>0</v>
          </cell>
          <cell r="DH349">
            <v>0</v>
          </cell>
          <cell r="DI349">
            <v>0</v>
          </cell>
          <cell r="DJ349">
            <v>0</v>
          </cell>
          <cell r="DK349">
            <v>0</v>
          </cell>
          <cell r="DL349">
            <v>0</v>
          </cell>
        </row>
        <row r="350">
          <cell r="A350">
            <v>1711</v>
          </cell>
          <cell r="B350" t="str">
            <v>Echt-Susteren</v>
          </cell>
          <cell r="C350">
            <v>11</v>
          </cell>
          <cell r="D350">
            <v>-27988</v>
          </cell>
          <cell r="E350">
            <v>-13994</v>
          </cell>
          <cell r="F350">
            <v>0</v>
          </cell>
          <cell r="G350">
            <v>0</v>
          </cell>
          <cell r="H350">
            <v>-17386</v>
          </cell>
          <cell r="I350">
            <v>-3818</v>
          </cell>
          <cell r="K350">
            <v>0</v>
          </cell>
          <cell r="L350">
            <v>110424</v>
          </cell>
          <cell r="M350">
            <v>98800</v>
          </cell>
          <cell r="N350">
            <v>0</v>
          </cell>
          <cell r="O350">
            <v>0</v>
          </cell>
          <cell r="P350">
            <v>0</v>
          </cell>
          <cell r="Q350">
            <v>0</v>
          </cell>
          <cell r="R350">
            <v>0</v>
          </cell>
          <cell r="S350">
            <v>0</v>
          </cell>
          <cell r="T350">
            <v>0</v>
          </cell>
          <cell r="U350">
            <v>0</v>
          </cell>
          <cell r="V350">
            <v>3000</v>
          </cell>
          <cell r="W350">
            <v>110795</v>
          </cell>
          <cell r="X350">
            <v>0</v>
          </cell>
          <cell r="Z350">
            <v>0</v>
          </cell>
          <cell r="AA350">
            <v>0</v>
          </cell>
          <cell r="AB350">
            <v>0</v>
          </cell>
          <cell r="AD350">
            <v>0</v>
          </cell>
          <cell r="AE350">
            <v>0</v>
          </cell>
          <cell r="AF350">
            <v>0</v>
          </cell>
          <cell r="AG350">
            <v>0</v>
          </cell>
          <cell r="AH350">
            <v>0</v>
          </cell>
          <cell r="AI350">
            <v>0</v>
          </cell>
          <cell r="AJ350">
            <v>0</v>
          </cell>
          <cell r="AK350">
            <v>0</v>
          </cell>
          <cell r="AM350">
            <v>0</v>
          </cell>
          <cell r="AN350">
            <v>0</v>
          </cell>
          <cell r="AO350">
            <v>0</v>
          </cell>
          <cell r="AP350">
            <v>0</v>
          </cell>
          <cell r="AQ350">
            <v>0</v>
          </cell>
          <cell r="AR350">
            <v>0</v>
          </cell>
          <cell r="AS350">
            <v>0</v>
          </cell>
          <cell r="AT350">
            <v>0</v>
          </cell>
          <cell r="AU350">
            <v>4740</v>
          </cell>
          <cell r="AV350">
            <v>0</v>
          </cell>
          <cell r="AW350">
            <v>0</v>
          </cell>
          <cell r="AX350">
            <v>0</v>
          </cell>
          <cell r="BA350">
            <v>0</v>
          </cell>
          <cell r="BC350">
            <v>0</v>
          </cell>
          <cell r="BD350">
            <v>11168</v>
          </cell>
          <cell r="BF350">
            <v>0</v>
          </cell>
          <cell r="BG350">
            <v>0</v>
          </cell>
          <cell r="BH350">
            <v>0</v>
          </cell>
          <cell r="BI350">
            <v>51382</v>
          </cell>
          <cell r="BJ350">
            <v>42295</v>
          </cell>
          <cell r="BK350">
            <v>42295</v>
          </cell>
          <cell r="BL350">
            <v>0</v>
          </cell>
          <cell r="BM350">
            <v>0</v>
          </cell>
          <cell r="BN350">
            <v>0</v>
          </cell>
          <cell r="BO350">
            <v>161008</v>
          </cell>
          <cell r="BP350">
            <v>15814</v>
          </cell>
          <cell r="BQ350">
            <v>28488.372093023299</v>
          </cell>
          <cell r="BR350">
            <v>0</v>
          </cell>
          <cell r="BS350">
            <v>0</v>
          </cell>
          <cell r="BT350">
            <v>48614</v>
          </cell>
          <cell r="BY350">
            <v>0</v>
          </cell>
          <cell r="BZ350">
            <v>0</v>
          </cell>
          <cell r="CA350">
            <v>0</v>
          </cell>
          <cell r="CB350">
            <v>0</v>
          </cell>
          <cell r="CC350">
            <v>3100361</v>
          </cell>
          <cell r="CD350">
            <v>16126831</v>
          </cell>
          <cell r="CE350">
            <v>722399</v>
          </cell>
          <cell r="CF350">
            <v>-9241</v>
          </cell>
          <cell r="CG350">
            <v>722399</v>
          </cell>
          <cell r="CH350">
            <v>722399</v>
          </cell>
          <cell r="CI350">
            <v>722399</v>
          </cell>
          <cell r="CJ350">
            <v>722399</v>
          </cell>
          <cell r="CK350">
            <v>0</v>
          </cell>
          <cell r="CL350">
            <v>0</v>
          </cell>
          <cell r="CM350">
            <v>0</v>
          </cell>
          <cell r="CN350">
            <v>0</v>
          </cell>
          <cell r="CO350">
            <v>0</v>
          </cell>
          <cell r="CP350">
            <v>0</v>
          </cell>
          <cell r="CQ350">
            <v>3586682</v>
          </cell>
          <cell r="CR350">
            <v>3420250</v>
          </cell>
          <cell r="CS350">
            <v>3264113</v>
          </cell>
          <cell r="CT350">
            <v>3137302</v>
          </cell>
          <cell r="CU350">
            <v>2995291</v>
          </cell>
          <cell r="CV350">
            <v>3294</v>
          </cell>
          <cell r="CW350">
            <v>0</v>
          </cell>
          <cell r="CX350">
            <v>0</v>
          </cell>
          <cell r="CY350">
            <v>0</v>
          </cell>
          <cell r="CZ350">
            <v>0</v>
          </cell>
          <cell r="DA350">
            <v>0</v>
          </cell>
          <cell r="DC350">
            <v>0</v>
          </cell>
          <cell r="DD350">
            <v>0</v>
          </cell>
          <cell r="DE350">
            <v>0</v>
          </cell>
          <cell r="DF350">
            <v>0</v>
          </cell>
          <cell r="DG350">
            <v>0</v>
          </cell>
          <cell r="DH350">
            <v>0</v>
          </cell>
          <cell r="DI350">
            <v>0</v>
          </cell>
          <cell r="DJ350">
            <v>0</v>
          </cell>
          <cell r="DK350">
            <v>0</v>
          </cell>
          <cell r="DL350">
            <v>0</v>
          </cell>
        </row>
        <row r="351">
          <cell r="A351">
            <v>1903</v>
          </cell>
          <cell r="B351" t="str">
            <v>Eijsden-Margraten</v>
          </cell>
          <cell r="C351">
            <v>11</v>
          </cell>
          <cell r="D351">
            <v>-1464</v>
          </cell>
          <cell r="E351">
            <v>-732</v>
          </cell>
          <cell r="F351">
            <v>0</v>
          </cell>
          <cell r="G351">
            <v>0</v>
          </cell>
          <cell r="H351">
            <v>-11268</v>
          </cell>
          <cell r="I351">
            <v>-10146</v>
          </cell>
          <cell r="K351">
            <v>0</v>
          </cell>
          <cell r="L351">
            <v>66533</v>
          </cell>
          <cell r="M351">
            <v>52376</v>
          </cell>
          <cell r="N351">
            <v>0</v>
          </cell>
          <cell r="O351">
            <v>0</v>
          </cell>
          <cell r="P351">
            <v>0</v>
          </cell>
          <cell r="Q351">
            <v>0</v>
          </cell>
          <cell r="R351">
            <v>0</v>
          </cell>
          <cell r="S351">
            <v>0</v>
          </cell>
          <cell r="T351">
            <v>0</v>
          </cell>
          <cell r="U351">
            <v>0</v>
          </cell>
          <cell r="V351">
            <v>0</v>
          </cell>
          <cell r="W351">
            <v>53648</v>
          </cell>
          <cell r="X351">
            <v>0</v>
          </cell>
          <cell r="Z351">
            <v>0</v>
          </cell>
          <cell r="AA351">
            <v>0</v>
          </cell>
          <cell r="AB351">
            <v>0</v>
          </cell>
          <cell r="AD351">
            <v>0</v>
          </cell>
          <cell r="AE351">
            <v>0</v>
          </cell>
          <cell r="AF351">
            <v>0</v>
          </cell>
          <cell r="AG351">
            <v>0</v>
          </cell>
          <cell r="AH351">
            <v>0</v>
          </cell>
          <cell r="AI351">
            <v>0</v>
          </cell>
          <cell r="AJ351">
            <v>0</v>
          </cell>
          <cell r="AK351">
            <v>0</v>
          </cell>
          <cell r="AM351">
            <v>0</v>
          </cell>
          <cell r="AN351">
            <v>0</v>
          </cell>
          <cell r="AO351">
            <v>0</v>
          </cell>
          <cell r="AP351">
            <v>0</v>
          </cell>
          <cell r="AQ351">
            <v>0</v>
          </cell>
          <cell r="AR351">
            <v>0</v>
          </cell>
          <cell r="AS351">
            <v>0</v>
          </cell>
          <cell r="AT351">
            <v>0</v>
          </cell>
          <cell r="AU351">
            <v>0</v>
          </cell>
          <cell r="AV351">
            <v>0</v>
          </cell>
          <cell r="AW351">
            <v>0</v>
          </cell>
          <cell r="AX351">
            <v>0</v>
          </cell>
          <cell r="BA351">
            <v>0</v>
          </cell>
          <cell r="BC351">
            <v>0</v>
          </cell>
          <cell r="BD351">
            <v>8880</v>
          </cell>
          <cell r="BF351">
            <v>0</v>
          </cell>
          <cell r="BG351">
            <v>0</v>
          </cell>
          <cell r="BH351">
            <v>0</v>
          </cell>
          <cell r="BI351">
            <v>24186</v>
          </cell>
          <cell r="BJ351">
            <v>19909</v>
          </cell>
          <cell r="BK351">
            <v>19909</v>
          </cell>
          <cell r="BL351">
            <v>0</v>
          </cell>
          <cell r="BM351">
            <v>0</v>
          </cell>
          <cell r="BN351">
            <v>0</v>
          </cell>
          <cell r="BO351">
            <v>0</v>
          </cell>
          <cell r="BP351">
            <v>3162.8</v>
          </cell>
          <cell r="BQ351">
            <v>5697.6744186046499</v>
          </cell>
          <cell r="BR351">
            <v>0</v>
          </cell>
          <cell r="BS351">
            <v>0</v>
          </cell>
          <cell r="BT351">
            <v>46834</v>
          </cell>
          <cell r="BY351">
            <v>0</v>
          </cell>
          <cell r="BZ351">
            <v>0</v>
          </cell>
          <cell r="CA351">
            <v>0</v>
          </cell>
          <cell r="CB351">
            <v>0</v>
          </cell>
          <cell r="CC351">
            <v>1875787</v>
          </cell>
          <cell r="CD351">
            <v>9972958</v>
          </cell>
          <cell r="CE351">
            <v>1892495</v>
          </cell>
          <cell r="CF351">
            <v>-24544</v>
          </cell>
          <cell r="CG351">
            <v>1892495</v>
          </cell>
          <cell r="CH351">
            <v>1892495</v>
          </cell>
          <cell r="CI351">
            <v>1892495</v>
          </cell>
          <cell r="CJ351">
            <v>1892495</v>
          </cell>
          <cell r="CK351">
            <v>0</v>
          </cell>
          <cell r="CL351">
            <v>0</v>
          </cell>
          <cell r="CM351">
            <v>0</v>
          </cell>
          <cell r="CN351">
            <v>0</v>
          </cell>
          <cell r="CO351">
            <v>0</v>
          </cell>
          <cell r="CP351">
            <v>0</v>
          </cell>
          <cell r="CQ351">
            <v>2007450</v>
          </cell>
          <cell r="CR351">
            <v>1910139</v>
          </cell>
          <cell r="CS351">
            <v>1791041</v>
          </cell>
          <cell r="CT351">
            <v>1738450</v>
          </cell>
          <cell r="CU351">
            <v>1653623</v>
          </cell>
          <cell r="CV351">
            <v>61657</v>
          </cell>
          <cell r="CW351">
            <v>0</v>
          </cell>
          <cell r="CX351">
            <v>0</v>
          </cell>
          <cell r="CY351">
            <v>0</v>
          </cell>
          <cell r="CZ351">
            <v>0</v>
          </cell>
          <cell r="DA351">
            <v>0</v>
          </cell>
          <cell r="DC351">
            <v>0</v>
          </cell>
          <cell r="DD351">
            <v>0</v>
          </cell>
          <cell r="DE351">
            <v>0</v>
          </cell>
          <cell r="DF351">
            <v>0</v>
          </cell>
          <cell r="DG351">
            <v>0</v>
          </cell>
          <cell r="DH351">
            <v>0</v>
          </cell>
          <cell r="DI351">
            <v>0</v>
          </cell>
          <cell r="DJ351">
            <v>0</v>
          </cell>
          <cell r="DK351">
            <v>0</v>
          </cell>
          <cell r="DL351">
            <v>0</v>
          </cell>
        </row>
        <row r="352">
          <cell r="A352">
            <v>907</v>
          </cell>
          <cell r="B352" t="str">
            <v>Gennep</v>
          </cell>
          <cell r="C352">
            <v>11</v>
          </cell>
          <cell r="D352">
            <v>-21616</v>
          </cell>
          <cell r="E352">
            <v>-10808</v>
          </cell>
          <cell r="F352">
            <v>0</v>
          </cell>
          <cell r="G352">
            <v>0</v>
          </cell>
          <cell r="H352">
            <v>-55291</v>
          </cell>
          <cell r="I352">
            <v>-40030</v>
          </cell>
          <cell r="K352">
            <v>0</v>
          </cell>
          <cell r="L352">
            <v>63688</v>
          </cell>
          <cell r="M352">
            <v>54995</v>
          </cell>
          <cell r="N352">
            <v>0</v>
          </cell>
          <cell r="O352">
            <v>0</v>
          </cell>
          <cell r="P352">
            <v>0</v>
          </cell>
          <cell r="Q352">
            <v>0</v>
          </cell>
          <cell r="R352">
            <v>0</v>
          </cell>
          <cell r="S352">
            <v>0</v>
          </cell>
          <cell r="T352">
            <v>0</v>
          </cell>
          <cell r="U352">
            <v>0</v>
          </cell>
          <cell r="V352">
            <v>9000</v>
          </cell>
          <cell r="W352">
            <v>63367</v>
          </cell>
          <cell r="X352">
            <v>0</v>
          </cell>
          <cell r="Z352">
            <v>0</v>
          </cell>
          <cell r="AA352">
            <v>0</v>
          </cell>
          <cell r="AB352">
            <v>0</v>
          </cell>
          <cell r="AD352">
            <v>44001</v>
          </cell>
          <cell r="AE352">
            <v>0</v>
          </cell>
          <cell r="AF352">
            <v>0</v>
          </cell>
          <cell r="AG352">
            <v>0</v>
          </cell>
          <cell r="AH352">
            <v>0</v>
          </cell>
          <cell r="AI352">
            <v>0</v>
          </cell>
          <cell r="AJ352">
            <v>0</v>
          </cell>
          <cell r="AK352">
            <v>0</v>
          </cell>
          <cell r="AM352">
            <v>0</v>
          </cell>
          <cell r="AN352">
            <v>0</v>
          </cell>
          <cell r="AO352">
            <v>0</v>
          </cell>
          <cell r="AP352">
            <v>0</v>
          </cell>
          <cell r="AQ352">
            <v>0</v>
          </cell>
          <cell r="AR352">
            <v>0</v>
          </cell>
          <cell r="AS352">
            <v>0</v>
          </cell>
          <cell r="AT352">
            <v>0</v>
          </cell>
          <cell r="AU352">
            <v>2370</v>
          </cell>
          <cell r="AV352">
            <v>0</v>
          </cell>
          <cell r="AW352">
            <v>0</v>
          </cell>
          <cell r="AX352">
            <v>0</v>
          </cell>
          <cell r="BA352">
            <v>0</v>
          </cell>
          <cell r="BC352">
            <v>0</v>
          </cell>
          <cell r="BD352">
            <v>6013</v>
          </cell>
          <cell r="BF352">
            <v>0</v>
          </cell>
          <cell r="BG352">
            <v>0</v>
          </cell>
          <cell r="BH352">
            <v>0</v>
          </cell>
          <cell r="BI352">
            <v>22851</v>
          </cell>
          <cell r="BJ352">
            <v>18810</v>
          </cell>
          <cell r="BK352">
            <v>18810</v>
          </cell>
          <cell r="BL352">
            <v>0</v>
          </cell>
          <cell r="BM352">
            <v>0</v>
          </cell>
          <cell r="BN352">
            <v>0</v>
          </cell>
          <cell r="BO352">
            <v>28213</v>
          </cell>
          <cell r="BP352">
            <v>0</v>
          </cell>
          <cell r="BQ352">
            <v>0</v>
          </cell>
          <cell r="BR352">
            <v>0</v>
          </cell>
          <cell r="BS352">
            <v>0</v>
          </cell>
          <cell r="BT352">
            <v>28381</v>
          </cell>
          <cell r="BY352">
            <v>0</v>
          </cell>
          <cell r="BZ352">
            <v>0</v>
          </cell>
          <cell r="CA352">
            <v>0</v>
          </cell>
          <cell r="CB352">
            <v>0</v>
          </cell>
          <cell r="CC352">
            <v>1830288</v>
          </cell>
          <cell r="CD352">
            <v>13074629</v>
          </cell>
          <cell r="CE352">
            <v>265766</v>
          </cell>
          <cell r="CF352">
            <v>-60947</v>
          </cell>
          <cell r="CG352">
            <v>265766</v>
          </cell>
          <cell r="CH352">
            <v>265766</v>
          </cell>
          <cell r="CI352">
            <v>265766</v>
          </cell>
          <cell r="CJ352">
            <v>265766</v>
          </cell>
          <cell r="CK352">
            <v>0</v>
          </cell>
          <cell r="CL352">
            <v>0</v>
          </cell>
          <cell r="CM352">
            <v>0</v>
          </cell>
          <cell r="CN352">
            <v>0</v>
          </cell>
          <cell r="CO352">
            <v>0</v>
          </cell>
          <cell r="CP352">
            <v>-5360</v>
          </cell>
          <cell r="CQ352">
            <v>5387563</v>
          </cell>
          <cell r="CR352">
            <v>5093453</v>
          </cell>
          <cell r="CS352">
            <v>4869741</v>
          </cell>
          <cell r="CT352">
            <v>4723747</v>
          </cell>
          <cell r="CU352">
            <v>4577120</v>
          </cell>
          <cell r="CV352">
            <v>-1476</v>
          </cell>
          <cell r="CW352">
            <v>0</v>
          </cell>
          <cell r="CX352">
            <v>0</v>
          </cell>
          <cell r="CY352">
            <v>0</v>
          </cell>
          <cell r="CZ352">
            <v>0</v>
          </cell>
          <cell r="DA352">
            <v>0</v>
          </cell>
          <cell r="DC352">
            <v>0</v>
          </cell>
          <cell r="DD352">
            <v>0</v>
          </cell>
          <cell r="DE352">
            <v>0</v>
          </cell>
          <cell r="DF352">
            <v>0</v>
          </cell>
          <cell r="DG352">
            <v>0</v>
          </cell>
          <cell r="DH352">
            <v>0</v>
          </cell>
          <cell r="DI352">
            <v>0</v>
          </cell>
          <cell r="DJ352">
            <v>0</v>
          </cell>
          <cell r="DK352">
            <v>0</v>
          </cell>
          <cell r="DL352">
            <v>0</v>
          </cell>
        </row>
        <row r="353">
          <cell r="A353">
            <v>1729</v>
          </cell>
          <cell r="B353" t="str">
            <v>Gulpen-Wittem</v>
          </cell>
          <cell r="C353">
            <v>11</v>
          </cell>
          <cell r="D353">
            <v>22255</v>
          </cell>
          <cell r="E353">
            <v>11127</v>
          </cell>
          <cell r="F353">
            <v>0</v>
          </cell>
          <cell r="G353">
            <v>0</v>
          </cell>
          <cell r="H353">
            <v>-13180</v>
          </cell>
          <cell r="I353">
            <v>-9452</v>
          </cell>
          <cell r="K353">
            <v>0</v>
          </cell>
          <cell r="L353">
            <v>36768</v>
          </cell>
          <cell r="M353">
            <v>30497</v>
          </cell>
          <cell r="N353">
            <v>0</v>
          </cell>
          <cell r="O353">
            <v>0</v>
          </cell>
          <cell r="P353">
            <v>0</v>
          </cell>
          <cell r="Q353">
            <v>0</v>
          </cell>
          <cell r="R353">
            <v>0</v>
          </cell>
          <cell r="S353">
            <v>0</v>
          </cell>
          <cell r="T353">
            <v>0</v>
          </cell>
          <cell r="U353">
            <v>0</v>
          </cell>
          <cell r="V353">
            <v>0</v>
          </cell>
          <cell r="W353">
            <v>22628</v>
          </cell>
          <cell r="X353">
            <v>0</v>
          </cell>
          <cell r="Z353">
            <v>0</v>
          </cell>
          <cell r="AA353">
            <v>0</v>
          </cell>
          <cell r="AB353">
            <v>0</v>
          </cell>
          <cell r="AD353">
            <v>20000</v>
          </cell>
          <cell r="AE353">
            <v>0</v>
          </cell>
          <cell r="AF353">
            <v>0</v>
          </cell>
          <cell r="AG353">
            <v>0</v>
          </cell>
          <cell r="AH353">
            <v>0</v>
          </cell>
          <cell r="AI353">
            <v>0</v>
          </cell>
          <cell r="AJ353">
            <v>0</v>
          </cell>
          <cell r="AK353">
            <v>0</v>
          </cell>
          <cell r="AM353">
            <v>0</v>
          </cell>
          <cell r="AN353">
            <v>0</v>
          </cell>
          <cell r="AO353">
            <v>0</v>
          </cell>
          <cell r="AP353">
            <v>0</v>
          </cell>
          <cell r="AQ353">
            <v>0</v>
          </cell>
          <cell r="AR353">
            <v>0</v>
          </cell>
          <cell r="AS353">
            <v>0</v>
          </cell>
          <cell r="AT353">
            <v>0</v>
          </cell>
          <cell r="AU353">
            <v>4740</v>
          </cell>
          <cell r="AV353">
            <v>0</v>
          </cell>
          <cell r="AW353">
            <v>0</v>
          </cell>
          <cell r="AX353">
            <v>0</v>
          </cell>
          <cell r="BA353">
            <v>0</v>
          </cell>
          <cell r="BC353">
            <v>0</v>
          </cell>
          <cell r="BD353">
            <v>5033</v>
          </cell>
          <cell r="BF353">
            <v>0</v>
          </cell>
          <cell r="BG353">
            <v>0</v>
          </cell>
          <cell r="BH353">
            <v>0</v>
          </cell>
          <cell r="BI353">
            <v>21866</v>
          </cell>
          <cell r="BJ353">
            <v>17999</v>
          </cell>
          <cell r="BK353">
            <v>17999</v>
          </cell>
          <cell r="BL353">
            <v>0</v>
          </cell>
          <cell r="BM353">
            <v>0</v>
          </cell>
          <cell r="BN353">
            <v>0</v>
          </cell>
          <cell r="BO353">
            <v>0</v>
          </cell>
          <cell r="BP353">
            <v>4744.2</v>
          </cell>
          <cell r="BQ353">
            <v>8546.5116279069807</v>
          </cell>
          <cell r="BR353">
            <v>0</v>
          </cell>
          <cell r="BS353">
            <v>0</v>
          </cell>
          <cell r="BT353">
            <v>33186</v>
          </cell>
          <cell r="BY353">
            <v>0</v>
          </cell>
          <cell r="BZ353">
            <v>0</v>
          </cell>
          <cell r="CA353">
            <v>0</v>
          </cell>
          <cell r="CB353">
            <v>0</v>
          </cell>
          <cell r="CC353">
            <v>1298585</v>
          </cell>
          <cell r="CD353">
            <v>6636444</v>
          </cell>
          <cell r="CE353">
            <v>222902</v>
          </cell>
          <cell r="CF353">
            <v>-19255</v>
          </cell>
          <cell r="CG353">
            <v>222902</v>
          </cell>
          <cell r="CH353">
            <v>222902</v>
          </cell>
          <cell r="CI353">
            <v>222902</v>
          </cell>
          <cell r="CJ353">
            <v>222902</v>
          </cell>
          <cell r="CK353">
            <v>0</v>
          </cell>
          <cell r="CL353">
            <v>0</v>
          </cell>
          <cell r="CM353">
            <v>0</v>
          </cell>
          <cell r="CN353">
            <v>0</v>
          </cell>
          <cell r="CO353">
            <v>0</v>
          </cell>
          <cell r="CP353">
            <v>-535</v>
          </cell>
          <cell r="CQ353">
            <v>2123284</v>
          </cell>
          <cell r="CR353">
            <v>1985175</v>
          </cell>
          <cell r="CS353">
            <v>1900142</v>
          </cell>
          <cell r="CT353">
            <v>1746052</v>
          </cell>
          <cell r="CU353">
            <v>1674229</v>
          </cell>
          <cell r="CV353">
            <v>-47780</v>
          </cell>
          <cell r="CW353">
            <v>0</v>
          </cell>
          <cell r="CX353">
            <v>0</v>
          </cell>
          <cell r="CY353">
            <v>0</v>
          </cell>
          <cell r="CZ353">
            <v>0</v>
          </cell>
          <cell r="DA353">
            <v>0</v>
          </cell>
          <cell r="DC353">
            <v>0</v>
          </cell>
          <cell r="DD353">
            <v>0</v>
          </cell>
          <cell r="DE353">
            <v>0</v>
          </cell>
          <cell r="DF353">
            <v>0</v>
          </cell>
          <cell r="DG353">
            <v>0</v>
          </cell>
          <cell r="DH353">
            <v>0</v>
          </cell>
          <cell r="DI353">
            <v>0</v>
          </cell>
          <cell r="DJ353">
            <v>0</v>
          </cell>
          <cell r="DK353">
            <v>0</v>
          </cell>
          <cell r="DL353">
            <v>0</v>
          </cell>
        </row>
        <row r="354">
          <cell r="A354">
            <v>917</v>
          </cell>
          <cell r="B354" t="str">
            <v>Heerlen</v>
          </cell>
          <cell r="C354">
            <v>11</v>
          </cell>
          <cell r="D354">
            <v>233909</v>
          </cell>
          <cell r="E354">
            <v>116954</v>
          </cell>
          <cell r="F354">
            <v>0</v>
          </cell>
          <cell r="G354">
            <v>0</v>
          </cell>
          <cell r="H354">
            <v>21534</v>
          </cell>
          <cell r="I354">
            <v>-33467</v>
          </cell>
          <cell r="K354">
            <v>7500</v>
          </cell>
          <cell r="L354">
            <v>701219</v>
          </cell>
          <cell r="M354">
            <v>722790</v>
          </cell>
          <cell r="N354">
            <v>0</v>
          </cell>
          <cell r="O354">
            <v>0</v>
          </cell>
          <cell r="P354">
            <v>150000</v>
          </cell>
          <cell r="Q354">
            <v>0</v>
          </cell>
          <cell r="R354">
            <v>3910787</v>
          </cell>
          <cell r="S354">
            <v>538747</v>
          </cell>
          <cell r="T354">
            <v>538747</v>
          </cell>
          <cell r="U354">
            <v>538747</v>
          </cell>
          <cell r="V354">
            <v>9000</v>
          </cell>
          <cell r="W354">
            <v>291761</v>
          </cell>
          <cell r="X354">
            <v>0</v>
          </cell>
          <cell r="Z354">
            <v>0</v>
          </cell>
          <cell r="AA354">
            <v>40000</v>
          </cell>
          <cell r="AB354">
            <v>0</v>
          </cell>
          <cell r="AD354">
            <v>376453</v>
          </cell>
          <cell r="AE354">
            <v>0</v>
          </cell>
          <cell r="AF354">
            <v>0</v>
          </cell>
          <cell r="AG354">
            <v>0</v>
          </cell>
          <cell r="AH354">
            <v>0</v>
          </cell>
          <cell r="AI354">
            <v>0</v>
          </cell>
          <cell r="AJ354">
            <v>0</v>
          </cell>
          <cell r="AK354">
            <v>277192</v>
          </cell>
          <cell r="AM354">
            <v>0</v>
          </cell>
          <cell r="AN354">
            <v>0</v>
          </cell>
          <cell r="AO354">
            <v>0</v>
          </cell>
          <cell r="AP354">
            <v>0</v>
          </cell>
          <cell r="AQ354">
            <v>0</v>
          </cell>
          <cell r="AR354">
            <v>0</v>
          </cell>
          <cell r="AS354">
            <v>0</v>
          </cell>
          <cell r="AT354">
            <v>20000</v>
          </cell>
          <cell r="AU354">
            <v>21330</v>
          </cell>
          <cell r="AV354">
            <v>5964804.3785083601</v>
          </cell>
          <cell r="AW354">
            <v>80000</v>
          </cell>
          <cell r="AX354">
            <v>0</v>
          </cell>
          <cell r="BA354">
            <v>0</v>
          </cell>
          <cell r="BC354">
            <v>0</v>
          </cell>
          <cell r="BD354">
            <v>30606</v>
          </cell>
          <cell r="BF354">
            <v>0</v>
          </cell>
          <cell r="BG354">
            <v>0</v>
          </cell>
          <cell r="BH354">
            <v>0</v>
          </cell>
          <cell r="BI354">
            <v>250787</v>
          </cell>
          <cell r="BJ354">
            <v>206435</v>
          </cell>
          <cell r="BK354">
            <v>206435</v>
          </cell>
          <cell r="BL354">
            <v>0</v>
          </cell>
          <cell r="BM354">
            <v>0</v>
          </cell>
          <cell r="BN354">
            <v>0</v>
          </cell>
          <cell r="BO354">
            <v>207705</v>
          </cell>
          <cell r="BP354">
            <v>39535</v>
          </cell>
          <cell r="BQ354">
            <v>71220.930232558094</v>
          </cell>
          <cell r="BR354">
            <v>0</v>
          </cell>
          <cell r="BS354">
            <v>0</v>
          </cell>
          <cell r="BT354">
            <v>168113</v>
          </cell>
          <cell r="BY354">
            <v>1705510.7451126</v>
          </cell>
          <cell r="BZ354">
            <v>1977085.30018813</v>
          </cell>
          <cell r="CA354">
            <v>2000285.1365513699</v>
          </cell>
          <cell r="CB354">
            <v>2065790.5568711001</v>
          </cell>
          <cell r="CC354">
            <v>11104535</v>
          </cell>
          <cell r="CD354">
            <v>118997399</v>
          </cell>
          <cell r="CE354">
            <v>2318854</v>
          </cell>
          <cell r="CF354">
            <v>-81622</v>
          </cell>
          <cell r="CG354">
            <v>2318854</v>
          </cell>
          <cell r="CH354">
            <v>2318854</v>
          </cell>
          <cell r="CI354">
            <v>2318854</v>
          </cell>
          <cell r="CJ354">
            <v>2318854</v>
          </cell>
          <cell r="CK354">
            <v>37658392</v>
          </cell>
          <cell r="CL354">
            <v>37639491</v>
          </cell>
          <cell r="CM354">
            <v>37639186</v>
          </cell>
          <cell r="CN354">
            <v>37638513</v>
          </cell>
          <cell r="CO354">
            <v>37639445</v>
          </cell>
          <cell r="CP354">
            <v>0</v>
          </cell>
          <cell r="CQ354">
            <v>28739142</v>
          </cell>
          <cell r="CR354">
            <v>27341485</v>
          </cell>
          <cell r="CS354">
            <v>26659143</v>
          </cell>
          <cell r="CT354">
            <v>25902728</v>
          </cell>
          <cell r="CU354">
            <v>25255209</v>
          </cell>
          <cell r="CV354">
            <v>201283</v>
          </cell>
          <cell r="CW354">
            <v>0</v>
          </cell>
          <cell r="CX354">
            <v>0</v>
          </cell>
          <cell r="CY354">
            <v>0</v>
          </cell>
          <cell r="CZ354">
            <v>0</v>
          </cell>
          <cell r="DA354">
            <v>0</v>
          </cell>
          <cell r="DC354">
            <v>0</v>
          </cell>
          <cell r="DD354">
            <v>0</v>
          </cell>
          <cell r="DE354">
            <v>0</v>
          </cell>
          <cell r="DF354">
            <v>0</v>
          </cell>
          <cell r="DG354">
            <v>0</v>
          </cell>
          <cell r="DH354">
            <v>0</v>
          </cell>
          <cell r="DI354">
            <v>0</v>
          </cell>
          <cell r="DJ354">
            <v>0</v>
          </cell>
          <cell r="DK354">
            <v>0</v>
          </cell>
          <cell r="DL354">
            <v>0</v>
          </cell>
        </row>
        <row r="355">
          <cell r="A355">
            <v>1507</v>
          </cell>
          <cell r="B355" t="str">
            <v>Horst aan de Maas</v>
          </cell>
          <cell r="C355">
            <v>11</v>
          </cell>
          <cell r="D355">
            <v>79111</v>
          </cell>
          <cell r="E355">
            <v>39555</v>
          </cell>
          <cell r="F355">
            <v>0</v>
          </cell>
          <cell r="G355">
            <v>147825</v>
          </cell>
          <cell r="H355">
            <v>-46338</v>
          </cell>
          <cell r="I355">
            <v>-18731</v>
          </cell>
          <cell r="K355">
            <v>0</v>
          </cell>
          <cell r="L355">
            <v>123993</v>
          </cell>
          <cell r="M355">
            <v>107371</v>
          </cell>
          <cell r="N355">
            <v>0</v>
          </cell>
          <cell r="O355">
            <v>0</v>
          </cell>
          <cell r="P355">
            <v>0</v>
          </cell>
          <cell r="Q355">
            <v>0</v>
          </cell>
          <cell r="R355">
            <v>0</v>
          </cell>
          <cell r="S355">
            <v>0</v>
          </cell>
          <cell r="T355">
            <v>0</v>
          </cell>
          <cell r="U355">
            <v>0</v>
          </cell>
          <cell r="V355">
            <v>15000</v>
          </cell>
          <cell r="W355">
            <v>170664</v>
          </cell>
          <cell r="X355">
            <v>0</v>
          </cell>
          <cell r="Z355">
            <v>0</v>
          </cell>
          <cell r="AA355">
            <v>0</v>
          </cell>
          <cell r="AB355">
            <v>0</v>
          </cell>
          <cell r="AD355">
            <v>0</v>
          </cell>
          <cell r="AE355">
            <v>0</v>
          </cell>
          <cell r="AF355">
            <v>0</v>
          </cell>
          <cell r="AG355">
            <v>0</v>
          </cell>
          <cell r="AH355">
            <v>0</v>
          </cell>
          <cell r="AI355">
            <v>0</v>
          </cell>
          <cell r="AJ355">
            <v>0</v>
          </cell>
          <cell r="AK355">
            <v>0</v>
          </cell>
          <cell r="AM355">
            <v>0</v>
          </cell>
          <cell r="AN355">
            <v>0</v>
          </cell>
          <cell r="AO355">
            <v>0</v>
          </cell>
          <cell r="AP355">
            <v>0</v>
          </cell>
          <cell r="AQ355">
            <v>0</v>
          </cell>
          <cell r="AR355">
            <v>0</v>
          </cell>
          <cell r="AS355">
            <v>0</v>
          </cell>
          <cell r="AT355">
            <v>0</v>
          </cell>
          <cell r="AU355">
            <v>4740</v>
          </cell>
          <cell r="AV355">
            <v>0</v>
          </cell>
          <cell r="AW355">
            <v>0</v>
          </cell>
          <cell r="AX355">
            <v>0</v>
          </cell>
          <cell r="BA355">
            <v>0</v>
          </cell>
          <cell r="BC355">
            <v>0</v>
          </cell>
          <cell r="BD355">
            <v>14792</v>
          </cell>
          <cell r="BF355">
            <v>0</v>
          </cell>
          <cell r="BG355">
            <v>0</v>
          </cell>
          <cell r="BH355">
            <v>0</v>
          </cell>
          <cell r="BI355">
            <v>49008</v>
          </cell>
          <cell r="BJ355">
            <v>40340</v>
          </cell>
          <cell r="BK355">
            <v>40340</v>
          </cell>
          <cell r="BL355">
            <v>0</v>
          </cell>
          <cell r="BM355">
            <v>0</v>
          </cell>
          <cell r="BN355">
            <v>0</v>
          </cell>
          <cell r="BO355">
            <v>162953</v>
          </cell>
          <cell r="BP355">
            <v>9488.4</v>
          </cell>
          <cell r="BQ355">
            <v>17093.023255814001</v>
          </cell>
          <cell r="BR355">
            <v>0</v>
          </cell>
          <cell r="BS355">
            <v>0</v>
          </cell>
          <cell r="BT355">
            <v>69682</v>
          </cell>
          <cell r="BY355">
            <v>0</v>
          </cell>
          <cell r="BZ355">
            <v>0</v>
          </cell>
          <cell r="CA355">
            <v>0</v>
          </cell>
          <cell r="CB355">
            <v>0</v>
          </cell>
          <cell r="CC355">
            <v>3181262</v>
          </cell>
          <cell r="CD355">
            <v>16825943</v>
          </cell>
          <cell r="CE355">
            <v>1553164</v>
          </cell>
          <cell r="CF355">
            <v>0</v>
          </cell>
          <cell r="CG355">
            <v>1553164</v>
          </cell>
          <cell r="CH355">
            <v>1553164</v>
          </cell>
          <cell r="CI355">
            <v>1553164</v>
          </cell>
          <cell r="CJ355">
            <v>1553164</v>
          </cell>
          <cell r="CK355">
            <v>0</v>
          </cell>
          <cell r="CL355">
            <v>0</v>
          </cell>
          <cell r="CM355">
            <v>0</v>
          </cell>
          <cell r="CN355">
            <v>0</v>
          </cell>
          <cell r="CO355">
            <v>0</v>
          </cell>
          <cell r="CP355">
            <v>-6777</v>
          </cell>
          <cell r="CQ355">
            <v>4132629</v>
          </cell>
          <cell r="CR355">
            <v>3923552</v>
          </cell>
          <cell r="CS355">
            <v>3774157</v>
          </cell>
          <cell r="CT355">
            <v>3613183</v>
          </cell>
          <cell r="CU355">
            <v>3459594</v>
          </cell>
          <cell r="CV355">
            <v>-13347</v>
          </cell>
          <cell r="CW355">
            <v>0</v>
          </cell>
          <cell r="CX355">
            <v>0</v>
          </cell>
          <cell r="CY355">
            <v>0</v>
          </cell>
          <cell r="CZ355">
            <v>0</v>
          </cell>
          <cell r="DA355">
            <v>0</v>
          </cell>
          <cell r="DC355">
            <v>0</v>
          </cell>
          <cell r="DD355">
            <v>0</v>
          </cell>
          <cell r="DE355">
            <v>0</v>
          </cell>
          <cell r="DF355">
            <v>0</v>
          </cell>
          <cell r="DG355">
            <v>0</v>
          </cell>
          <cell r="DH355">
            <v>0</v>
          </cell>
          <cell r="DI355">
            <v>0</v>
          </cell>
          <cell r="DJ355">
            <v>0</v>
          </cell>
          <cell r="DK355">
            <v>0</v>
          </cell>
          <cell r="DL355">
            <v>0</v>
          </cell>
        </row>
        <row r="356">
          <cell r="A356">
            <v>928</v>
          </cell>
          <cell r="B356" t="str">
            <v>Kerkrade</v>
          </cell>
          <cell r="C356">
            <v>11</v>
          </cell>
          <cell r="D356">
            <v>179343</v>
          </cell>
          <cell r="E356">
            <v>89671</v>
          </cell>
          <cell r="F356">
            <v>0</v>
          </cell>
          <cell r="G356">
            <v>0</v>
          </cell>
          <cell r="H356">
            <v>418411</v>
          </cell>
          <cell r="I356">
            <v>0</v>
          </cell>
          <cell r="K356">
            <v>0</v>
          </cell>
          <cell r="L356">
            <v>319432</v>
          </cell>
          <cell r="M356">
            <v>317399</v>
          </cell>
          <cell r="N356">
            <v>0</v>
          </cell>
          <cell r="O356">
            <v>0</v>
          </cell>
          <cell r="P356">
            <v>0</v>
          </cell>
          <cell r="Q356">
            <v>0</v>
          </cell>
          <cell r="R356">
            <v>0</v>
          </cell>
          <cell r="S356">
            <v>0</v>
          </cell>
          <cell r="T356">
            <v>0</v>
          </cell>
          <cell r="U356">
            <v>0</v>
          </cell>
          <cell r="V356">
            <v>0</v>
          </cell>
          <cell r="W356">
            <v>0</v>
          </cell>
          <cell r="X356">
            <v>0</v>
          </cell>
          <cell r="Z356">
            <v>0</v>
          </cell>
          <cell r="AA356">
            <v>0</v>
          </cell>
          <cell r="AB356">
            <v>0</v>
          </cell>
          <cell r="AD356">
            <v>142758</v>
          </cell>
          <cell r="AE356">
            <v>0</v>
          </cell>
          <cell r="AF356">
            <v>0</v>
          </cell>
          <cell r="AG356">
            <v>0</v>
          </cell>
          <cell r="AH356">
            <v>0</v>
          </cell>
          <cell r="AI356">
            <v>0</v>
          </cell>
          <cell r="AJ356">
            <v>0</v>
          </cell>
          <cell r="AK356">
            <v>0</v>
          </cell>
          <cell r="AM356">
            <v>0</v>
          </cell>
          <cell r="AN356">
            <v>0</v>
          </cell>
          <cell r="AO356">
            <v>0</v>
          </cell>
          <cell r="AP356">
            <v>0</v>
          </cell>
          <cell r="AQ356">
            <v>0</v>
          </cell>
          <cell r="AR356">
            <v>0</v>
          </cell>
          <cell r="AS356">
            <v>0</v>
          </cell>
          <cell r="AT356">
            <v>0</v>
          </cell>
          <cell r="AU356">
            <v>2370</v>
          </cell>
          <cell r="AV356">
            <v>0</v>
          </cell>
          <cell r="AW356">
            <v>0</v>
          </cell>
          <cell r="AX356">
            <v>0</v>
          </cell>
          <cell r="BA356">
            <v>0</v>
          </cell>
          <cell r="BC356">
            <v>0</v>
          </cell>
          <cell r="BD356">
            <v>16126</v>
          </cell>
          <cell r="BF356">
            <v>0</v>
          </cell>
          <cell r="BG356">
            <v>0</v>
          </cell>
          <cell r="BH356">
            <v>0</v>
          </cell>
          <cell r="BI356">
            <v>122658</v>
          </cell>
          <cell r="BJ356">
            <v>100966</v>
          </cell>
          <cell r="BK356">
            <v>100966</v>
          </cell>
          <cell r="BL356">
            <v>0</v>
          </cell>
          <cell r="BM356">
            <v>0</v>
          </cell>
          <cell r="BN356">
            <v>0</v>
          </cell>
          <cell r="BO356">
            <v>152252</v>
          </cell>
          <cell r="BP356">
            <v>9488.4</v>
          </cell>
          <cell r="BQ356">
            <v>17093.023255814001</v>
          </cell>
          <cell r="BR356">
            <v>0</v>
          </cell>
          <cell r="BS356">
            <v>0</v>
          </cell>
          <cell r="BT356">
            <v>77766</v>
          </cell>
          <cell r="BY356">
            <v>0</v>
          </cell>
          <cell r="BZ356">
            <v>0</v>
          </cell>
          <cell r="CA356">
            <v>0</v>
          </cell>
          <cell r="CB356">
            <v>0</v>
          </cell>
          <cell r="CC356">
            <v>5724630</v>
          </cell>
          <cell r="CD356">
            <v>46325216</v>
          </cell>
          <cell r="CE356">
            <v>1178170</v>
          </cell>
          <cell r="CF356">
            <v>0</v>
          </cell>
          <cell r="CG356">
            <v>1178170</v>
          </cell>
          <cell r="CH356">
            <v>1178170</v>
          </cell>
          <cell r="CI356">
            <v>1178170</v>
          </cell>
          <cell r="CJ356">
            <v>1178170</v>
          </cell>
          <cell r="CK356">
            <v>0</v>
          </cell>
          <cell r="CL356">
            <v>0</v>
          </cell>
          <cell r="CM356">
            <v>0</v>
          </cell>
          <cell r="CN356">
            <v>0</v>
          </cell>
          <cell r="CO356">
            <v>0</v>
          </cell>
          <cell r="CP356">
            <v>0</v>
          </cell>
          <cell r="CQ356">
            <v>19761594</v>
          </cell>
          <cell r="CR356">
            <v>18500923</v>
          </cell>
          <cell r="CS356">
            <v>17879471</v>
          </cell>
          <cell r="CT356">
            <v>17078939</v>
          </cell>
          <cell r="CU356">
            <v>16403280</v>
          </cell>
          <cell r="CV356">
            <v>34587</v>
          </cell>
          <cell r="CW356">
            <v>0</v>
          </cell>
          <cell r="CX356">
            <v>0</v>
          </cell>
          <cell r="CY356">
            <v>0</v>
          </cell>
          <cell r="CZ356">
            <v>0</v>
          </cell>
          <cell r="DA356">
            <v>0</v>
          </cell>
          <cell r="DC356">
            <v>0</v>
          </cell>
          <cell r="DD356">
            <v>0</v>
          </cell>
          <cell r="DE356">
            <v>0</v>
          </cell>
          <cell r="DF356">
            <v>0</v>
          </cell>
          <cell r="DG356">
            <v>0</v>
          </cell>
          <cell r="DH356">
            <v>0</v>
          </cell>
          <cell r="DI356">
            <v>0</v>
          </cell>
          <cell r="DJ356">
            <v>0</v>
          </cell>
          <cell r="DK356">
            <v>0</v>
          </cell>
          <cell r="DL356">
            <v>0</v>
          </cell>
        </row>
        <row r="357">
          <cell r="A357">
            <v>882</v>
          </cell>
          <cell r="B357" t="str">
            <v>Landgraaf</v>
          </cell>
          <cell r="C357">
            <v>11</v>
          </cell>
          <cell r="D357">
            <v>91419</v>
          </cell>
          <cell r="E357">
            <v>45710</v>
          </cell>
          <cell r="F357">
            <v>0</v>
          </cell>
          <cell r="G357">
            <v>0</v>
          </cell>
          <cell r="H357">
            <v>-35655</v>
          </cell>
          <cell r="I357">
            <v>-25071</v>
          </cell>
          <cell r="K357">
            <v>0</v>
          </cell>
          <cell r="L357">
            <v>206562</v>
          </cell>
          <cell r="M357">
            <v>208504</v>
          </cell>
          <cell r="N357">
            <v>0</v>
          </cell>
          <cell r="O357">
            <v>0</v>
          </cell>
          <cell r="P357">
            <v>0</v>
          </cell>
          <cell r="Q357">
            <v>0</v>
          </cell>
          <cell r="R357">
            <v>0</v>
          </cell>
          <cell r="S357">
            <v>0</v>
          </cell>
          <cell r="T357">
            <v>0</v>
          </cell>
          <cell r="U357">
            <v>0</v>
          </cell>
          <cell r="V357">
            <v>3000</v>
          </cell>
          <cell r="W357">
            <v>96169</v>
          </cell>
          <cell r="X357">
            <v>0</v>
          </cell>
          <cell r="Z357">
            <v>0</v>
          </cell>
          <cell r="AA357">
            <v>0</v>
          </cell>
          <cell r="AB357">
            <v>0</v>
          </cell>
          <cell r="AD357">
            <v>74312</v>
          </cell>
          <cell r="AE357">
            <v>0</v>
          </cell>
          <cell r="AF357">
            <v>0</v>
          </cell>
          <cell r="AG357">
            <v>0</v>
          </cell>
          <cell r="AH357">
            <v>0</v>
          </cell>
          <cell r="AI357">
            <v>0</v>
          </cell>
          <cell r="AJ357">
            <v>0</v>
          </cell>
          <cell r="AK357">
            <v>0</v>
          </cell>
          <cell r="AM357">
            <v>0</v>
          </cell>
          <cell r="AN357">
            <v>0</v>
          </cell>
          <cell r="AO357">
            <v>0</v>
          </cell>
          <cell r="AP357">
            <v>0</v>
          </cell>
          <cell r="AQ357">
            <v>0</v>
          </cell>
          <cell r="AR357">
            <v>0</v>
          </cell>
          <cell r="AS357">
            <v>0</v>
          </cell>
          <cell r="AT357">
            <v>0</v>
          </cell>
          <cell r="AU357">
            <v>0</v>
          </cell>
          <cell r="AV357">
            <v>0</v>
          </cell>
          <cell r="AW357">
            <v>0</v>
          </cell>
          <cell r="AX357">
            <v>0</v>
          </cell>
          <cell r="BA357">
            <v>0</v>
          </cell>
          <cell r="BC357">
            <v>0</v>
          </cell>
          <cell r="BD357">
            <v>13149</v>
          </cell>
          <cell r="BF357">
            <v>0</v>
          </cell>
          <cell r="BG357">
            <v>0</v>
          </cell>
          <cell r="BH357">
            <v>0</v>
          </cell>
          <cell r="BI357">
            <v>75683</v>
          </cell>
          <cell r="BJ357">
            <v>62299</v>
          </cell>
          <cell r="BK357">
            <v>62299</v>
          </cell>
          <cell r="BL357">
            <v>0</v>
          </cell>
          <cell r="BM357">
            <v>0</v>
          </cell>
          <cell r="BN357">
            <v>0</v>
          </cell>
          <cell r="BO357">
            <v>75396</v>
          </cell>
          <cell r="BP357">
            <v>3162.8</v>
          </cell>
          <cell r="BQ357">
            <v>5697.6744186046499</v>
          </cell>
          <cell r="BR357">
            <v>0</v>
          </cell>
          <cell r="BS357">
            <v>0</v>
          </cell>
          <cell r="BT357">
            <v>56066</v>
          </cell>
          <cell r="BY357">
            <v>0</v>
          </cell>
          <cell r="BZ357">
            <v>0</v>
          </cell>
          <cell r="CA357">
            <v>0</v>
          </cell>
          <cell r="CB357">
            <v>0</v>
          </cell>
          <cell r="CC357">
            <v>4162545</v>
          </cell>
          <cell r="CD357">
            <v>29914894</v>
          </cell>
          <cell r="CE357">
            <v>1302630</v>
          </cell>
          <cell r="CF357">
            <v>-60808</v>
          </cell>
          <cell r="CG357">
            <v>1302630</v>
          </cell>
          <cell r="CH357">
            <v>1302630</v>
          </cell>
          <cell r="CI357">
            <v>1302630</v>
          </cell>
          <cell r="CJ357">
            <v>1302630</v>
          </cell>
          <cell r="CK357">
            <v>0</v>
          </cell>
          <cell r="CL357">
            <v>0</v>
          </cell>
          <cell r="CM357">
            <v>0</v>
          </cell>
          <cell r="CN357">
            <v>0</v>
          </cell>
          <cell r="CO357">
            <v>0</v>
          </cell>
          <cell r="CP357">
            <v>0</v>
          </cell>
          <cell r="CQ357">
            <v>10771803</v>
          </cell>
          <cell r="CR357">
            <v>10077986</v>
          </cell>
          <cell r="CS357">
            <v>9622199</v>
          </cell>
          <cell r="CT357">
            <v>9186713</v>
          </cell>
          <cell r="CU357">
            <v>8804436</v>
          </cell>
          <cell r="CV357">
            <v>34426</v>
          </cell>
          <cell r="CW357">
            <v>0</v>
          </cell>
          <cell r="CX357">
            <v>0</v>
          </cell>
          <cell r="CY357">
            <v>0</v>
          </cell>
          <cell r="CZ357">
            <v>0</v>
          </cell>
          <cell r="DA357">
            <v>0</v>
          </cell>
          <cell r="DC357">
            <v>0</v>
          </cell>
          <cell r="DD357">
            <v>0</v>
          </cell>
          <cell r="DE357">
            <v>0</v>
          </cell>
          <cell r="DF357">
            <v>0</v>
          </cell>
          <cell r="DG357">
            <v>0</v>
          </cell>
          <cell r="DH357">
            <v>0</v>
          </cell>
          <cell r="DI357">
            <v>0</v>
          </cell>
          <cell r="DJ357">
            <v>0</v>
          </cell>
          <cell r="DK357">
            <v>0</v>
          </cell>
          <cell r="DL357">
            <v>0</v>
          </cell>
        </row>
        <row r="358">
          <cell r="A358">
            <v>1640</v>
          </cell>
          <cell r="B358" t="str">
            <v>Leudal</v>
          </cell>
          <cell r="C358">
            <v>11</v>
          </cell>
          <cell r="D358">
            <v>-39634</v>
          </cell>
          <cell r="E358">
            <v>-19817</v>
          </cell>
          <cell r="F358">
            <v>0</v>
          </cell>
          <cell r="G358">
            <v>0</v>
          </cell>
          <cell r="H358">
            <v>0</v>
          </cell>
          <cell r="I358">
            <v>0</v>
          </cell>
          <cell r="K358">
            <v>0</v>
          </cell>
          <cell r="L358">
            <v>100277</v>
          </cell>
          <cell r="M358">
            <v>94467</v>
          </cell>
          <cell r="N358">
            <v>0</v>
          </cell>
          <cell r="O358">
            <v>0</v>
          </cell>
          <cell r="P358">
            <v>0</v>
          </cell>
          <cell r="Q358">
            <v>0</v>
          </cell>
          <cell r="R358">
            <v>0</v>
          </cell>
          <cell r="S358">
            <v>0</v>
          </cell>
          <cell r="T358">
            <v>0</v>
          </cell>
          <cell r="U358">
            <v>0</v>
          </cell>
          <cell r="V358">
            <v>3000</v>
          </cell>
          <cell r="W358">
            <v>149671</v>
          </cell>
          <cell r="X358">
            <v>0</v>
          </cell>
          <cell r="Z358">
            <v>0</v>
          </cell>
          <cell r="AA358">
            <v>0</v>
          </cell>
          <cell r="AB358">
            <v>0</v>
          </cell>
          <cell r="AD358">
            <v>0</v>
          </cell>
          <cell r="AE358">
            <v>0</v>
          </cell>
          <cell r="AF358">
            <v>0</v>
          </cell>
          <cell r="AG358">
            <v>0</v>
          </cell>
          <cell r="AH358">
            <v>0</v>
          </cell>
          <cell r="AI358">
            <v>0</v>
          </cell>
          <cell r="AJ358">
            <v>0</v>
          </cell>
          <cell r="AK358">
            <v>0</v>
          </cell>
          <cell r="AM358">
            <v>0</v>
          </cell>
          <cell r="AN358">
            <v>0</v>
          </cell>
          <cell r="AO358">
            <v>0</v>
          </cell>
          <cell r="AP358">
            <v>0</v>
          </cell>
          <cell r="AQ358">
            <v>0</v>
          </cell>
          <cell r="AR358">
            <v>0</v>
          </cell>
          <cell r="AS358">
            <v>0</v>
          </cell>
          <cell r="AT358">
            <v>0</v>
          </cell>
          <cell r="AU358">
            <v>0</v>
          </cell>
          <cell r="AV358">
            <v>0</v>
          </cell>
          <cell r="AW358">
            <v>0</v>
          </cell>
          <cell r="AX358">
            <v>0</v>
          </cell>
          <cell r="BA358">
            <v>0</v>
          </cell>
          <cell r="BC358">
            <v>0</v>
          </cell>
          <cell r="BD358">
            <v>12594</v>
          </cell>
          <cell r="BF358">
            <v>0</v>
          </cell>
          <cell r="BG358">
            <v>0</v>
          </cell>
          <cell r="BH358">
            <v>0</v>
          </cell>
          <cell r="BI358">
            <v>44432</v>
          </cell>
          <cell r="BJ358">
            <v>36574</v>
          </cell>
          <cell r="BK358">
            <v>36574</v>
          </cell>
          <cell r="BL358">
            <v>0</v>
          </cell>
          <cell r="BM358">
            <v>0</v>
          </cell>
          <cell r="BN358">
            <v>0</v>
          </cell>
          <cell r="BO358">
            <v>104582</v>
          </cell>
          <cell r="BP358">
            <v>20558.2</v>
          </cell>
          <cell r="BQ358">
            <v>37034.8837209302</v>
          </cell>
          <cell r="BR358">
            <v>0</v>
          </cell>
          <cell r="BS358">
            <v>0</v>
          </cell>
          <cell r="BT358">
            <v>60313</v>
          </cell>
          <cell r="BY358">
            <v>0</v>
          </cell>
          <cell r="BZ358">
            <v>0</v>
          </cell>
          <cell r="CA358">
            <v>0</v>
          </cell>
          <cell r="CB358">
            <v>0</v>
          </cell>
          <cell r="CC358">
            <v>2783842</v>
          </cell>
          <cell r="CD358">
            <v>15190673</v>
          </cell>
          <cell r="CE358">
            <v>2394718</v>
          </cell>
          <cell r="CF358">
            <v>0</v>
          </cell>
          <cell r="CG358">
            <v>2394718</v>
          </cell>
          <cell r="CH358">
            <v>2394718</v>
          </cell>
          <cell r="CI358">
            <v>2394718</v>
          </cell>
          <cell r="CJ358">
            <v>2394718</v>
          </cell>
          <cell r="CK358">
            <v>0</v>
          </cell>
          <cell r="CL358">
            <v>0</v>
          </cell>
          <cell r="CM358">
            <v>0</v>
          </cell>
          <cell r="CN358">
            <v>0</v>
          </cell>
          <cell r="CO358">
            <v>0</v>
          </cell>
          <cell r="CP358">
            <v>0</v>
          </cell>
          <cell r="CQ358">
            <v>2918543</v>
          </cell>
          <cell r="CR358">
            <v>2816416</v>
          </cell>
          <cell r="CS358">
            <v>2752445</v>
          </cell>
          <cell r="CT358">
            <v>2707074</v>
          </cell>
          <cell r="CU358">
            <v>2620465</v>
          </cell>
          <cell r="CV358">
            <v>79421</v>
          </cell>
          <cell r="CW358">
            <v>0</v>
          </cell>
          <cell r="CX358">
            <v>0</v>
          </cell>
          <cell r="CY358">
            <v>0</v>
          </cell>
          <cell r="CZ358">
            <v>0</v>
          </cell>
          <cell r="DA358">
            <v>0</v>
          </cell>
          <cell r="DC358">
            <v>0</v>
          </cell>
          <cell r="DD358">
            <v>0</v>
          </cell>
          <cell r="DE358">
            <v>0</v>
          </cell>
          <cell r="DF358">
            <v>0</v>
          </cell>
          <cell r="DG358">
            <v>0</v>
          </cell>
          <cell r="DH358">
            <v>0</v>
          </cell>
          <cell r="DI358">
            <v>0</v>
          </cell>
          <cell r="DJ358">
            <v>0</v>
          </cell>
          <cell r="DK358">
            <v>0</v>
          </cell>
          <cell r="DL358">
            <v>0</v>
          </cell>
        </row>
        <row r="359">
          <cell r="A359">
            <v>1641</v>
          </cell>
          <cell r="B359" t="str">
            <v>Maasgouw</v>
          </cell>
          <cell r="C359">
            <v>11</v>
          </cell>
          <cell r="D359">
            <v>-19211</v>
          </cell>
          <cell r="E359">
            <v>-9606</v>
          </cell>
          <cell r="F359">
            <v>0</v>
          </cell>
          <cell r="G359">
            <v>0</v>
          </cell>
          <cell r="H359">
            <v>-23601</v>
          </cell>
          <cell r="I359">
            <v>-14580</v>
          </cell>
          <cell r="K359">
            <v>0</v>
          </cell>
          <cell r="L359">
            <v>64782</v>
          </cell>
          <cell r="M359">
            <v>55495</v>
          </cell>
          <cell r="N359">
            <v>0</v>
          </cell>
          <cell r="O359">
            <v>0</v>
          </cell>
          <cell r="P359">
            <v>0</v>
          </cell>
          <cell r="Q359">
            <v>0</v>
          </cell>
          <cell r="R359">
            <v>0</v>
          </cell>
          <cell r="S359">
            <v>0</v>
          </cell>
          <cell r="T359">
            <v>0</v>
          </cell>
          <cell r="U359">
            <v>0</v>
          </cell>
          <cell r="V359">
            <v>6000</v>
          </cell>
          <cell r="W359">
            <v>85526</v>
          </cell>
          <cell r="X359">
            <v>0</v>
          </cell>
          <cell r="Z359">
            <v>0</v>
          </cell>
          <cell r="AA359">
            <v>0</v>
          </cell>
          <cell r="AB359">
            <v>0</v>
          </cell>
          <cell r="AD359">
            <v>0</v>
          </cell>
          <cell r="AE359">
            <v>0</v>
          </cell>
          <cell r="AF359">
            <v>0</v>
          </cell>
          <cell r="AG359">
            <v>0</v>
          </cell>
          <cell r="AH359">
            <v>0</v>
          </cell>
          <cell r="AI359">
            <v>0</v>
          </cell>
          <cell r="AJ359">
            <v>0</v>
          </cell>
          <cell r="AK359">
            <v>0</v>
          </cell>
          <cell r="AM359">
            <v>0</v>
          </cell>
          <cell r="AN359">
            <v>0</v>
          </cell>
          <cell r="AO359">
            <v>0</v>
          </cell>
          <cell r="AP359">
            <v>0</v>
          </cell>
          <cell r="AQ359">
            <v>0</v>
          </cell>
          <cell r="AR359">
            <v>0</v>
          </cell>
          <cell r="AS359">
            <v>0</v>
          </cell>
          <cell r="AT359">
            <v>0</v>
          </cell>
          <cell r="AU359">
            <v>0</v>
          </cell>
          <cell r="AV359">
            <v>0</v>
          </cell>
          <cell r="AW359">
            <v>0</v>
          </cell>
          <cell r="AX359">
            <v>0</v>
          </cell>
          <cell r="BA359">
            <v>0</v>
          </cell>
          <cell r="BC359">
            <v>0</v>
          </cell>
          <cell r="BD359">
            <v>8346</v>
          </cell>
          <cell r="BF359">
            <v>0</v>
          </cell>
          <cell r="BG359">
            <v>0</v>
          </cell>
          <cell r="BH359">
            <v>0</v>
          </cell>
          <cell r="BI359">
            <v>33248</v>
          </cell>
          <cell r="BJ359">
            <v>27368</v>
          </cell>
          <cell r="BK359">
            <v>27368</v>
          </cell>
          <cell r="BL359">
            <v>0</v>
          </cell>
          <cell r="BM359">
            <v>0</v>
          </cell>
          <cell r="BN359">
            <v>0</v>
          </cell>
          <cell r="BO359">
            <v>523396</v>
          </cell>
          <cell r="BP359">
            <v>1581.4</v>
          </cell>
          <cell r="BQ359">
            <v>2848.8372093023299</v>
          </cell>
          <cell r="BR359">
            <v>0</v>
          </cell>
          <cell r="BS359">
            <v>0</v>
          </cell>
          <cell r="BT359">
            <v>35595</v>
          </cell>
          <cell r="BY359">
            <v>0</v>
          </cell>
          <cell r="BZ359">
            <v>0</v>
          </cell>
          <cell r="CA359">
            <v>0</v>
          </cell>
          <cell r="CB359">
            <v>0</v>
          </cell>
          <cell r="CC359">
            <v>2334964</v>
          </cell>
          <cell r="CD359">
            <v>11113706</v>
          </cell>
          <cell r="CE359">
            <v>849744</v>
          </cell>
          <cell r="CF359">
            <v>-8291</v>
          </cell>
          <cell r="CG359">
            <v>849744</v>
          </cell>
          <cell r="CH359">
            <v>849744</v>
          </cell>
          <cell r="CI359">
            <v>849744</v>
          </cell>
          <cell r="CJ359">
            <v>849744</v>
          </cell>
          <cell r="CK359">
            <v>0</v>
          </cell>
          <cell r="CL359">
            <v>0</v>
          </cell>
          <cell r="CM359">
            <v>0</v>
          </cell>
          <cell r="CN359">
            <v>0</v>
          </cell>
          <cell r="CO359">
            <v>0</v>
          </cell>
          <cell r="CP359">
            <v>-4060</v>
          </cell>
          <cell r="CQ359">
            <v>2363951</v>
          </cell>
          <cell r="CR359">
            <v>2255193</v>
          </cell>
          <cell r="CS359">
            <v>2188660</v>
          </cell>
          <cell r="CT359">
            <v>2062340</v>
          </cell>
          <cell r="CU359">
            <v>2008793</v>
          </cell>
          <cell r="CV359">
            <v>58367</v>
          </cell>
          <cell r="CW359">
            <v>0</v>
          </cell>
          <cell r="CX359">
            <v>0</v>
          </cell>
          <cell r="CY359">
            <v>0</v>
          </cell>
          <cell r="CZ359">
            <v>0</v>
          </cell>
          <cell r="DA359">
            <v>0</v>
          </cell>
          <cell r="DC359">
            <v>0</v>
          </cell>
          <cell r="DD359">
            <v>0</v>
          </cell>
          <cell r="DE359">
            <v>0</v>
          </cell>
          <cell r="DF359">
            <v>0</v>
          </cell>
          <cell r="DG359">
            <v>0</v>
          </cell>
          <cell r="DH359">
            <v>0</v>
          </cell>
          <cell r="DI359">
            <v>0</v>
          </cell>
          <cell r="DJ359">
            <v>0</v>
          </cell>
          <cell r="DK359">
            <v>0</v>
          </cell>
          <cell r="DL359">
            <v>0</v>
          </cell>
        </row>
        <row r="360">
          <cell r="A360">
            <v>935</v>
          </cell>
          <cell r="B360" t="str">
            <v>Maastricht</v>
          </cell>
          <cell r="C360">
            <v>11</v>
          </cell>
          <cell r="D360">
            <v>269992</v>
          </cell>
          <cell r="E360">
            <v>134996</v>
          </cell>
          <cell r="F360">
            <v>0</v>
          </cell>
          <cell r="G360">
            <v>0</v>
          </cell>
          <cell r="H360">
            <v>-47247</v>
          </cell>
          <cell r="I360">
            <v>0</v>
          </cell>
          <cell r="K360">
            <v>0</v>
          </cell>
          <cell r="L360">
            <v>618491</v>
          </cell>
          <cell r="M360">
            <v>654511</v>
          </cell>
          <cell r="N360">
            <v>0</v>
          </cell>
          <cell r="O360">
            <v>0</v>
          </cell>
          <cell r="P360">
            <v>324169</v>
          </cell>
          <cell r="Q360">
            <v>0</v>
          </cell>
          <cell r="R360">
            <v>844762</v>
          </cell>
          <cell r="S360">
            <v>712741</v>
          </cell>
          <cell r="T360">
            <v>712741</v>
          </cell>
          <cell r="U360">
            <v>712741</v>
          </cell>
          <cell r="V360">
            <v>6000</v>
          </cell>
          <cell r="W360">
            <v>352213</v>
          </cell>
          <cell r="X360">
            <v>0</v>
          </cell>
          <cell r="Z360">
            <v>0</v>
          </cell>
          <cell r="AA360">
            <v>0</v>
          </cell>
          <cell r="AB360">
            <v>0</v>
          </cell>
          <cell r="AD360">
            <v>413609</v>
          </cell>
          <cell r="AE360">
            <v>0</v>
          </cell>
          <cell r="AF360">
            <v>0</v>
          </cell>
          <cell r="AG360">
            <v>0</v>
          </cell>
          <cell r="AH360">
            <v>0</v>
          </cell>
          <cell r="AI360">
            <v>0</v>
          </cell>
          <cell r="AJ360">
            <v>0</v>
          </cell>
          <cell r="AK360">
            <v>230543</v>
          </cell>
          <cell r="AM360">
            <v>0</v>
          </cell>
          <cell r="AN360">
            <v>0</v>
          </cell>
          <cell r="AO360">
            <v>0</v>
          </cell>
          <cell r="AP360">
            <v>0</v>
          </cell>
          <cell r="AQ360">
            <v>0</v>
          </cell>
          <cell r="AR360">
            <v>0</v>
          </cell>
          <cell r="AS360">
            <v>0</v>
          </cell>
          <cell r="AT360">
            <v>20000</v>
          </cell>
          <cell r="AU360">
            <v>7110</v>
          </cell>
          <cell r="AV360">
            <v>6522922.8342351699</v>
          </cell>
          <cell r="AW360">
            <v>0</v>
          </cell>
          <cell r="AX360">
            <v>0</v>
          </cell>
          <cell r="BA360">
            <v>0</v>
          </cell>
          <cell r="BC360">
            <v>22546</v>
          </cell>
          <cell r="BD360">
            <v>43091</v>
          </cell>
          <cell r="BF360">
            <v>0</v>
          </cell>
          <cell r="BG360">
            <v>0</v>
          </cell>
          <cell r="BH360">
            <v>0</v>
          </cell>
          <cell r="BI360">
            <v>247376</v>
          </cell>
          <cell r="BJ360">
            <v>203627</v>
          </cell>
          <cell r="BK360">
            <v>203627</v>
          </cell>
          <cell r="BL360">
            <v>0</v>
          </cell>
          <cell r="BM360">
            <v>0</v>
          </cell>
          <cell r="BN360">
            <v>259490</v>
          </cell>
          <cell r="BO360">
            <v>368226</v>
          </cell>
          <cell r="BP360">
            <v>31628</v>
          </cell>
          <cell r="BQ360">
            <v>56976.744186046497</v>
          </cell>
          <cell r="BR360">
            <v>299150</v>
          </cell>
          <cell r="BS360">
            <v>0</v>
          </cell>
          <cell r="BT360">
            <v>181552</v>
          </cell>
          <cell r="BY360">
            <v>2312837.4536231598</v>
          </cell>
          <cell r="BZ360">
            <v>2681118.8052532701</v>
          </cell>
          <cell r="CA360">
            <v>2712580.0262468001</v>
          </cell>
          <cell r="CB360">
            <v>2801411.7090520598</v>
          </cell>
          <cell r="CC360">
            <v>11516130</v>
          </cell>
          <cell r="CD360">
            <v>99564676</v>
          </cell>
          <cell r="CE360">
            <v>3480201</v>
          </cell>
          <cell r="CF360">
            <v>0</v>
          </cell>
          <cell r="CG360">
            <v>3480201</v>
          </cell>
          <cell r="CH360">
            <v>3480201</v>
          </cell>
          <cell r="CI360">
            <v>3480201</v>
          </cell>
          <cell r="CJ360">
            <v>3480201</v>
          </cell>
          <cell r="CK360">
            <v>29705337</v>
          </cell>
          <cell r="CL360">
            <v>29690428</v>
          </cell>
          <cell r="CM360">
            <v>29690187</v>
          </cell>
          <cell r="CN360">
            <v>29689656</v>
          </cell>
          <cell r="CO360">
            <v>29690391</v>
          </cell>
          <cell r="CP360">
            <v>0</v>
          </cell>
          <cell r="CQ360">
            <v>20930964</v>
          </cell>
          <cell r="CR360">
            <v>19866497</v>
          </cell>
          <cell r="CS360">
            <v>19125769</v>
          </cell>
          <cell r="CT360">
            <v>18512876</v>
          </cell>
          <cell r="CU360">
            <v>17839518</v>
          </cell>
          <cell r="CV360">
            <v>735456</v>
          </cell>
          <cell r="CW360">
            <v>0</v>
          </cell>
          <cell r="CX360">
            <v>0</v>
          </cell>
          <cell r="CY360">
            <v>0</v>
          </cell>
          <cell r="CZ360">
            <v>0</v>
          </cell>
          <cell r="DA360">
            <v>0</v>
          </cell>
          <cell r="DC360">
            <v>283000</v>
          </cell>
          <cell r="DD360">
            <v>0</v>
          </cell>
          <cell r="DE360">
            <v>0</v>
          </cell>
          <cell r="DF360">
            <v>0</v>
          </cell>
          <cell r="DG360">
            <v>0</v>
          </cell>
          <cell r="DH360">
            <v>0</v>
          </cell>
          <cell r="DI360">
            <v>0</v>
          </cell>
          <cell r="DJ360">
            <v>0</v>
          </cell>
          <cell r="DK360">
            <v>0</v>
          </cell>
          <cell r="DL360">
            <v>0</v>
          </cell>
        </row>
        <row r="361">
          <cell r="A361">
            <v>938</v>
          </cell>
          <cell r="B361" t="str">
            <v>Meerssen</v>
          </cell>
          <cell r="C361">
            <v>11</v>
          </cell>
          <cell r="D361">
            <v>17866</v>
          </cell>
          <cell r="E361">
            <v>8933</v>
          </cell>
          <cell r="F361">
            <v>0</v>
          </cell>
          <cell r="G361">
            <v>0</v>
          </cell>
          <cell r="H361">
            <v>0</v>
          </cell>
          <cell r="I361">
            <v>0</v>
          </cell>
          <cell r="K361">
            <v>0</v>
          </cell>
          <cell r="L361">
            <v>59848</v>
          </cell>
          <cell r="M361">
            <v>52567</v>
          </cell>
          <cell r="N361">
            <v>0</v>
          </cell>
          <cell r="O361">
            <v>0</v>
          </cell>
          <cell r="P361">
            <v>0</v>
          </cell>
          <cell r="Q361">
            <v>0</v>
          </cell>
          <cell r="R361">
            <v>0</v>
          </cell>
          <cell r="S361">
            <v>0</v>
          </cell>
          <cell r="T361">
            <v>0</v>
          </cell>
          <cell r="U361">
            <v>0</v>
          </cell>
          <cell r="V361">
            <v>0</v>
          </cell>
          <cell r="W361">
            <v>32326</v>
          </cell>
          <cell r="X361">
            <v>0</v>
          </cell>
          <cell r="Z361">
            <v>0</v>
          </cell>
          <cell r="AA361">
            <v>0</v>
          </cell>
          <cell r="AB361">
            <v>0</v>
          </cell>
          <cell r="AD361">
            <v>36178</v>
          </cell>
          <cell r="AE361">
            <v>0</v>
          </cell>
          <cell r="AF361">
            <v>0</v>
          </cell>
          <cell r="AG361">
            <v>0</v>
          </cell>
          <cell r="AH361">
            <v>0</v>
          </cell>
          <cell r="AI361">
            <v>0</v>
          </cell>
          <cell r="AJ361">
            <v>0</v>
          </cell>
          <cell r="AK361">
            <v>0</v>
          </cell>
          <cell r="AM361">
            <v>0</v>
          </cell>
          <cell r="AN361">
            <v>0</v>
          </cell>
          <cell r="AO361">
            <v>0</v>
          </cell>
          <cell r="AP361">
            <v>0</v>
          </cell>
          <cell r="AQ361">
            <v>0</v>
          </cell>
          <cell r="AR361">
            <v>0</v>
          </cell>
          <cell r="AS361">
            <v>0</v>
          </cell>
          <cell r="AT361">
            <v>0</v>
          </cell>
          <cell r="AU361">
            <v>0</v>
          </cell>
          <cell r="AV361">
            <v>0</v>
          </cell>
          <cell r="AW361">
            <v>0</v>
          </cell>
          <cell r="AX361">
            <v>0</v>
          </cell>
          <cell r="BA361">
            <v>0</v>
          </cell>
          <cell r="BC361">
            <v>0</v>
          </cell>
          <cell r="BD361">
            <v>6695</v>
          </cell>
          <cell r="BF361">
            <v>0</v>
          </cell>
          <cell r="BG361">
            <v>0</v>
          </cell>
          <cell r="BH361">
            <v>0</v>
          </cell>
          <cell r="BI361">
            <v>25023</v>
          </cell>
          <cell r="BJ361">
            <v>20597</v>
          </cell>
          <cell r="BK361">
            <v>20597</v>
          </cell>
          <cell r="BL361">
            <v>0</v>
          </cell>
          <cell r="BM361">
            <v>0</v>
          </cell>
          <cell r="BN361">
            <v>0</v>
          </cell>
          <cell r="BO361">
            <v>29672</v>
          </cell>
          <cell r="BP361">
            <v>0</v>
          </cell>
          <cell r="BQ361">
            <v>0</v>
          </cell>
          <cell r="BR361">
            <v>0</v>
          </cell>
          <cell r="BS361">
            <v>0</v>
          </cell>
          <cell r="BT361">
            <v>29285</v>
          </cell>
          <cell r="BY361">
            <v>0</v>
          </cell>
          <cell r="BZ361">
            <v>0</v>
          </cell>
          <cell r="CA361">
            <v>0</v>
          </cell>
          <cell r="CB361">
            <v>0</v>
          </cell>
          <cell r="CC361">
            <v>1686245</v>
          </cell>
          <cell r="CD361">
            <v>8208238</v>
          </cell>
          <cell r="CE361">
            <v>497325</v>
          </cell>
          <cell r="CF361">
            <v>0</v>
          </cell>
          <cell r="CG361">
            <v>497325</v>
          </cell>
          <cell r="CH361">
            <v>497325</v>
          </cell>
          <cell r="CI361">
            <v>497325</v>
          </cell>
          <cell r="CJ361">
            <v>497325</v>
          </cell>
          <cell r="CK361">
            <v>0</v>
          </cell>
          <cell r="CL361">
            <v>0</v>
          </cell>
          <cell r="CM361">
            <v>0</v>
          </cell>
          <cell r="CN361">
            <v>0</v>
          </cell>
          <cell r="CO361">
            <v>0</v>
          </cell>
          <cell r="CP361">
            <v>-995</v>
          </cell>
          <cell r="CQ361">
            <v>1690274</v>
          </cell>
          <cell r="CR361">
            <v>1591740</v>
          </cell>
          <cell r="CS361">
            <v>1550897</v>
          </cell>
          <cell r="CT361">
            <v>1521660</v>
          </cell>
          <cell r="CU361">
            <v>1513183</v>
          </cell>
          <cell r="CV361">
            <v>6124</v>
          </cell>
          <cell r="CW361">
            <v>0</v>
          </cell>
          <cell r="CX361">
            <v>0</v>
          </cell>
          <cell r="CY361">
            <v>0</v>
          </cell>
          <cell r="CZ361">
            <v>0</v>
          </cell>
          <cell r="DA361">
            <v>0</v>
          </cell>
          <cell r="DC361">
            <v>0</v>
          </cell>
          <cell r="DD361">
            <v>0</v>
          </cell>
          <cell r="DE361">
            <v>0</v>
          </cell>
          <cell r="DF361">
            <v>0</v>
          </cell>
          <cell r="DG361">
            <v>0</v>
          </cell>
          <cell r="DH361">
            <v>0</v>
          </cell>
          <cell r="DI361">
            <v>0</v>
          </cell>
          <cell r="DJ361">
            <v>0</v>
          </cell>
          <cell r="DK361">
            <v>0</v>
          </cell>
          <cell r="DL361">
            <v>0</v>
          </cell>
        </row>
        <row r="362">
          <cell r="A362">
            <v>944</v>
          </cell>
          <cell r="B362" t="str">
            <v>Mook en Middelaar</v>
          </cell>
          <cell r="C362">
            <v>11</v>
          </cell>
          <cell r="D362">
            <v>6756</v>
          </cell>
          <cell r="E362">
            <v>3378</v>
          </cell>
          <cell r="F362">
            <v>0</v>
          </cell>
          <cell r="G362">
            <v>0</v>
          </cell>
          <cell r="H362">
            <v>-12726</v>
          </cell>
          <cell r="I362">
            <v>-10888</v>
          </cell>
          <cell r="K362">
            <v>0</v>
          </cell>
          <cell r="L362">
            <v>21448</v>
          </cell>
          <cell r="M362">
            <v>14999</v>
          </cell>
          <cell r="N362">
            <v>0</v>
          </cell>
          <cell r="O362">
            <v>0</v>
          </cell>
          <cell r="P362">
            <v>0</v>
          </cell>
          <cell r="Q362">
            <v>0</v>
          </cell>
          <cell r="R362">
            <v>0</v>
          </cell>
          <cell r="S362">
            <v>0</v>
          </cell>
          <cell r="T362">
            <v>0</v>
          </cell>
          <cell r="U362">
            <v>0</v>
          </cell>
          <cell r="V362">
            <v>0</v>
          </cell>
          <cell r="W362">
            <v>24244</v>
          </cell>
          <cell r="X362">
            <v>0</v>
          </cell>
          <cell r="Z362">
            <v>0</v>
          </cell>
          <cell r="AA362">
            <v>0</v>
          </cell>
          <cell r="AB362">
            <v>0</v>
          </cell>
          <cell r="AD362">
            <v>0</v>
          </cell>
          <cell r="AE362">
            <v>0</v>
          </cell>
          <cell r="AF362">
            <v>0</v>
          </cell>
          <cell r="AG362">
            <v>0</v>
          </cell>
          <cell r="AH362">
            <v>0</v>
          </cell>
          <cell r="AI362">
            <v>0</v>
          </cell>
          <cell r="AJ362">
            <v>0</v>
          </cell>
          <cell r="AK362">
            <v>0</v>
          </cell>
          <cell r="AM362">
            <v>0</v>
          </cell>
          <cell r="AN362">
            <v>0</v>
          </cell>
          <cell r="AO362">
            <v>0</v>
          </cell>
          <cell r="AP362">
            <v>0</v>
          </cell>
          <cell r="AQ362">
            <v>0</v>
          </cell>
          <cell r="AR362">
            <v>0</v>
          </cell>
          <cell r="AS362">
            <v>0</v>
          </cell>
          <cell r="AT362">
            <v>0</v>
          </cell>
          <cell r="AU362">
            <v>0</v>
          </cell>
          <cell r="AV362">
            <v>0</v>
          </cell>
          <cell r="AW362">
            <v>0</v>
          </cell>
          <cell r="AX362">
            <v>0</v>
          </cell>
          <cell r="BA362">
            <v>0</v>
          </cell>
          <cell r="BC362">
            <v>0</v>
          </cell>
          <cell r="BD362">
            <v>2729</v>
          </cell>
          <cell r="BF362">
            <v>0</v>
          </cell>
          <cell r="BG362">
            <v>0</v>
          </cell>
          <cell r="BH362">
            <v>0</v>
          </cell>
          <cell r="BI362">
            <v>7672</v>
          </cell>
          <cell r="BJ362">
            <v>6316</v>
          </cell>
          <cell r="BK362">
            <v>6316</v>
          </cell>
          <cell r="BL362">
            <v>0</v>
          </cell>
          <cell r="BM362">
            <v>0</v>
          </cell>
          <cell r="BN362">
            <v>0</v>
          </cell>
          <cell r="BO362">
            <v>41833</v>
          </cell>
          <cell r="BP362">
            <v>0</v>
          </cell>
          <cell r="BQ362">
            <v>0</v>
          </cell>
          <cell r="BR362">
            <v>0</v>
          </cell>
          <cell r="BS362">
            <v>0</v>
          </cell>
          <cell r="BT362">
            <v>13764</v>
          </cell>
          <cell r="BY362">
            <v>0</v>
          </cell>
          <cell r="BZ362">
            <v>0</v>
          </cell>
          <cell r="CA362">
            <v>0</v>
          </cell>
          <cell r="CB362">
            <v>0</v>
          </cell>
          <cell r="CC362">
            <v>568956</v>
          </cell>
          <cell r="CD362">
            <v>2660759</v>
          </cell>
          <cell r="CE362">
            <v>60499</v>
          </cell>
          <cell r="CF362">
            <v>-20277</v>
          </cell>
          <cell r="CG362">
            <v>60499</v>
          </cell>
          <cell r="CH362">
            <v>60499</v>
          </cell>
          <cell r="CI362">
            <v>60499</v>
          </cell>
          <cell r="CJ362">
            <v>60499</v>
          </cell>
          <cell r="CK362">
            <v>0</v>
          </cell>
          <cell r="CL362">
            <v>0</v>
          </cell>
          <cell r="CM362">
            <v>0</v>
          </cell>
          <cell r="CN362">
            <v>0</v>
          </cell>
          <cell r="CO362">
            <v>0</v>
          </cell>
          <cell r="CP362">
            <v>-921</v>
          </cell>
          <cell r="CQ362">
            <v>518239</v>
          </cell>
          <cell r="CR362">
            <v>506642</v>
          </cell>
          <cell r="CS362">
            <v>495846</v>
          </cell>
          <cell r="CT362">
            <v>497178</v>
          </cell>
          <cell r="CU362">
            <v>498617</v>
          </cell>
          <cell r="CV362">
            <v>2767</v>
          </cell>
          <cell r="CW362">
            <v>0</v>
          </cell>
          <cell r="CX362">
            <v>0</v>
          </cell>
          <cell r="CY362">
            <v>0</v>
          </cell>
          <cell r="CZ362">
            <v>0</v>
          </cell>
          <cell r="DA362">
            <v>0</v>
          </cell>
          <cell r="DC362">
            <v>0</v>
          </cell>
          <cell r="DD362">
            <v>0</v>
          </cell>
          <cell r="DE362">
            <v>0</v>
          </cell>
          <cell r="DF362">
            <v>0</v>
          </cell>
          <cell r="DG362">
            <v>0</v>
          </cell>
          <cell r="DH362">
            <v>0</v>
          </cell>
          <cell r="DI362">
            <v>0</v>
          </cell>
          <cell r="DJ362">
            <v>0</v>
          </cell>
          <cell r="DK362">
            <v>0</v>
          </cell>
          <cell r="DL362">
            <v>0</v>
          </cell>
        </row>
        <row r="363">
          <cell r="A363">
            <v>946</v>
          </cell>
          <cell r="B363" t="str">
            <v>Nederweert</v>
          </cell>
          <cell r="C363">
            <v>11</v>
          </cell>
          <cell r="D363">
            <v>26349</v>
          </cell>
          <cell r="E363">
            <v>13175</v>
          </cell>
          <cell r="F363">
            <v>0</v>
          </cell>
          <cell r="G363">
            <v>0</v>
          </cell>
          <cell r="H363">
            <v>-9780</v>
          </cell>
          <cell r="I363">
            <v>0</v>
          </cell>
          <cell r="K363">
            <v>0</v>
          </cell>
          <cell r="L363">
            <v>59211</v>
          </cell>
          <cell r="M363">
            <v>56090</v>
          </cell>
          <cell r="N363">
            <v>0</v>
          </cell>
          <cell r="O363">
            <v>0</v>
          </cell>
          <cell r="P363">
            <v>0</v>
          </cell>
          <cell r="Q363">
            <v>0</v>
          </cell>
          <cell r="R363">
            <v>0</v>
          </cell>
          <cell r="S363">
            <v>0</v>
          </cell>
          <cell r="T363">
            <v>0</v>
          </cell>
          <cell r="U363">
            <v>0</v>
          </cell>
          <cell r="V363">
            <v>0</v>
          </cell>
          <cell r="W363">
            <v>66866</v>
          </cell>
          <cell r="X363">
            <v>0</v>
          </cell>
          <cell r="Z363">
            <v>0</v>
          </cell>
          <cell r="AA363">
            <v>0</v>
          </cell>
          <cell r="AB363">
            <v>0</v>
          </cell>
          <cell r="AD363">
            <v>0</v>
          </cell>
          <cell r="AE363">
            <v>0</v>
          </cell>
          <cell r="AF363">
            <v>0</v>
          </cell>
          <cell r="AG363">
            <v>0</v>
          </cell>
          <cell r="AH363">
            <v>0</v>
          </cell>
          <cell r="AI363">
            <v>0</v>
          </cell>
          <cell r="AJ363">
            <v>0</v>
          </cell>
          <cell r="AK363">
            <v>0</v>
          </cell>
          <cell r="AM363">
            <v>0</v>
          </cell>
          <cell r="AN363">
            <v>0</v>
          </cell>
          <cell r="AO363">
            <v>0</v>
          </cell>
          <cell r="AP363">
            <v>0</v>
          </cell>
          <cell r="AQ363">
            <v>0</v>
          </cell>
          <cell r="AR363">
            <v>0</v>
          </cell>
          <cell r="AS363">
            <v>0</v>
          </cell>
          <cell r="AT363">
            <v>0</v>
          </cell>
          <cell r="AU363">
            <v>0</v>
          </cell>
          <cell r="AV363">
            <v>0</v>
          </cell>
          <cell r="AW363">
            <v>0</v>
          </cell>
          <cell r="AX363">
            <v>0</v>
          </cell>
          <cell r="BA363">
            <v>0</v>
          </cell>
          <cell r="BC363">
            <v>0</v>
          </cell>
          <cell r="BD363">
            <v>5920</v>
          </cell>
          <cell r="BF363">
            <v>0</v>
          </cell>
          <cell r="BG363">
            <v>0</v>
          </cell>
          <cell r="BH363">
            <v>0</v>
          </cell>
          <cell r="BI363">
            <v>22380</v>
          </cell>
          <cell r="BJ363">
            <v>18422</v>
          </cell>
          <cell r="BK363">
            <v>18422</v>
          </cell>
          <cell r="BL363">
            <v>0</v>
          </cell>
          <cell r="BM363">
            <v>0</v>
          </cell>
          <cell r="BN363">
            <v>0</v>
          </cell>
          <cell r="BO363">
            <v>86584</v>
          </cell>
          <cell r="BP363">
            <v>11069.8</v>
          </cell>
          <cell r="BQ363">
            <v>19941.8604651163</v>
          </cell>
          <cell r="BR363">
            <v>0</v>
          </cell>
          <cell r="BS363">
            <v>0</v>
          </cell>
          <cell r="BT363">
            <v>26625</v>
          </cell>
          <cell r="BY363">
            <v>0</v>
          </cell>
          <cell r="BZ363">
            <v>0</v>
          </cell>
          <cell r="CA363">
            <v>0</v>
          </cell>
          <cell r="CB363">
            <v>0</v>
          </cell>
          <cell r="CC363">
            <v>1373993</v>
          </cell>
          <cell r="CD363">
            <v>7438430</v>
          </cell>
          <cell r="CE363">
            <v>321555</v>
          </cell>
          <cell r="CF363">
            <v>0</v>
          </cell>
          <cell r="CG363">
            <v>321555</v>
          </cell>
          <cell r="CH363">
            <v>321555</v>
          </cell>
          <cell r="CI363">
            <v>321555</v>
          </cell>
          <cell r="CJ363">
            <v>321555</v>
          </cell>
          <cell r="CK363">
            <v>0</v>
          </cell>
          <cell r="CL363">
            <v>0</v>
          </cell>
          <cell r="CM363">
            <v>0</v>
          </cell>
          <cell r="CN363">
            <v>0</v>
          </cell>
          <cell r="CO363">
            <v>0</v>
          </cell>
          <cell r="CP363">
            <v>0</v>
          </cell>
          <cell r="CQ363">
            <v>2393506</v>
          </cell>
          <cell r="CR363">
            <v>2242157</v>
          </cell>
          <cell r="CS363">
            <v>2179005</v>
          </cell>
          <cell r="CT363">
            <v>2110705</v>
          </cell>
          <cell r="CU363">
            <v>2080675</v>
          </cell>
          <cell r="CV363">
            <v>39541</v>
          </cell>
          <cell r="CW363">
            <v>0</v>
          </cell>
          <cell r="CX363">
            <v>0</v>
          </cell>
          <cell r="CY363">
            <v>0</v>
          </cell>
          <cell r="CZ363">
            <v>0</v>
          </cell>
          <cell r="DA363">
            <v>0</v>
          </cell>
          <cell r="DC363">
            <v>0</v>
          </cell>
          <cell r="DD363">
            <v>0</v>
          </cell>
          <cell r="DE363">
            <v>0</v>
          </cell>
          <cell r="DF363">
            <v>0</v>
          </cell>
          <cell r="DG363">
            <v>0</v>
          </cell>
          <cell r="DH363">
            <v>0</v>
          </cell>
          <cell r="DI363">
            <v>0</v>
          </cell>
          <cell r="DJ363">
            <v>0</v>
          </cell>
          <cell r="DK363">
            <v>0</v>
          </cell>
          <cell r="DL363">
            <v>0</v>
          </cell>
        </row>
        <row r="364">
          <cell r="A364">
            <v>951</v>
          </cell>
          <cell r="B364" t="str">
            <v>Nuth</v>
          </cell>
          <cell r="C364">
            <v>11</v>
          </cell>
          <cell r="D364">
            <v>9246</v>
          </cell>
          <cell r="E364">
            <v>4623</v>
          </cell>
          <cell r="F364">
            <v>0</v>
          </cell>
          <cell r="G364">
            <v>0</v>
          </cell>
          <cell r="H364">
            <v>-12358</v>
          </cell>
          <cell r="I364">
            <v>-12964</v>
          </cell>
          <cell r="K364">
            <v>0</v>
          </cell>
          <cell r="L364">
            <v>46756</v>
          </cell>
          <cell r="M364">
            <v>39877</v>
          </cell>
          <cell r="N364">
            <v>0</v>
          </cell>
          <cell r="O364">
            <v>0</v>
          </cell>
          <cell r="P364">
            <v>0</v>
          </cell>
          <cell r="Q364">
            <v>0</v>
          </cell>
          <cell r="R364">
            <v>0</v>
          </cell>
          <cell r="S364">
            <v>0</v>
          </cell>
          <cell r="T364">
            <v>0</v>
          </cell>
          <cell r="U364">
            <v>0</v>
          </cell>
          <cell r="V364">
            <v>0</v>
          </cell>
          <cell r="W364">
            <v>40205</v>
          </cell>
          <cell r="X364">
            <v>0</v>
          </cell>
          <cell r="Z364">
            <v>0</v>
          </cell>
          <cell r="AA364">
            <v>0</v>
          </cell>
          <cell r="AB364">
            <v>0</v>
          </cell>
          <cell r="AD364">
            <v>31289</v>
          </cell>
          <cell r="AE364">
            <v>0</v>
          </cell>
          <cell r="AF364">
            <v>0</v>
          </cell>
          <cell r="AG364">
            <v>0</v>
          </cell>
          <cell r="AH364">
            <v>0</v>
          </cell>
          <cell r="AI364">
            <v>0</v>
          </cell>
          <cell r="AJ364">
            <v>0</v>
          </cell>
          <cell r="AK364">
            <v>0</v>
          </cell>
          <cell r="AM364">
            <v>0</v>
          </cell>
          <cell r="AN364">
            <v>0</v>
          </cell>
          <cell r="AO364">
            <v>0</v>
          </cell>
          <cell r="AP364">
            <v>0</v>
          </cell>
          <cell r="AQ364">
            <v>0</v>
          </cell>
          <cell r="AR364">
            <v>0</v>
          </cell>
          <cell r="AS364">
            <v>0</v>
          </cell>
          <cell r="AT364">
            <v>0</v>
          </cell>
          <cell r="AU364">
            <v>0</v>
          </cell>
          <cell r="AV364">
            <v>0</v>
          </cell>
          <cell r="AW364">
            <v>0</v>
          </cell>
          <cell r="AX364">
            <v>0</v>
          </cell>
          <cell r="BA364">
            <v>0</v>
          </cell>
          <cell r="BC364">
            <v>0</v>
          </cell>
          <cell r="BD364">
            <v>26852</v>
          </cell>
          <cell r="BF364">
            <v>0</v>
          </cell>
          <cell r="BG364">
            <v>0</v>
          </cell>
          <cell r="BH364">
            <v>0</v>
          </cell>
          <cell r="BI364">
            <v>24002</v>
          </cell>
          <cell r="BJ364">
            <v>19757</v>
          </cell>
          <cell r="BK364">
            <v>19757</v>
          </cell>
          <cell r="BL364">
            <v>0</v>
          </cell>
          <cell r="BM364">
            <v>0</v>
          </cell>
          <cell r="BN364">
            <v>0</v>
          </cell>
          <cell r="BO364">
            <v>11674</v>
          </cell>
          <cell r="BP364">
            <v>0</v>
          </cell>
          <cell r="BQ364">
            <v>0</v>
          </cell>
          <cell r="BR364">
            <v>0</v>
          </cell>
          <cell r="BS364">
            <v>0</v>
          </cell>
          <cell r="BT364">
            <v>22883</v>
          </cell>
          <cell r="BY364">
            <v>0</v>
          </cell>
          <cell r="BZ364">
            <v>0</v>
          </cell>
          <cell r="CA364">
            <v>0</v>
          </cell>
          <cell r="CB364">
            <v>0</v>
          </cell>
          <cell r="CC364">
            <v>1469360</v>
          </cell>
          <cell r="CD364">
            <v>7565161</v>
          </cell>
          <cell r="CE364">
            <v>162435</v>
          </cell>
          <cell r="CF364">
            <v>-31524</v>
          </cell>
          <cell r="CG364">
            <v>162435</v>
          </cell>
          <cell r="CH364">
            <v>162435</v>
          </cell>
          <cell r="CI364">
            <v>162435</v>
          </cell>
          <cell r="CJ364">
            <v>162435</v>
          </cell>
          <cell r="CK364">
            <v>0</v>
          </cell>
          <cell r="CL364">
            <v>0</v>
          </cell>
          <cell r="CM364">
            <v>0</v>
          </cell>
          <cell r="CN364">
            <v>0</v>
          </cell>
          <cell r="CO364">
            <v>0</v>
          </cell>
          <cell r="CP364">
            <v>0</v>
          </cell>
          <cell r="CQ364">
            <v>2281482</v>
          </cell>
          <cell r="CR364">
            <v>2149076</v>
          </cell>
          <cell r="CS364">
            <v>2094996</v>
          </cell>
          <cell r="CT364">
            <v>2031700</v>
          </cell>
          <cell r="CU364">
            <v>1927242</v>
          </cell>
          <cell r="CV364">
            <v>11639</v>
          </cell>
          <cell r="CW364">
            <v>0</v>
          </cell>
          <cell r="CX364">
            <v>0</v>
          </cell>
          <cell r="CY364">
            <v>0</v>
          </cell>
          <cell r="CZ364">
            <v>0</v>
          </cell>
          <cell r="DA364">
            <v>0</v>
          </cell>
          <cell r="DC364">
            <v>0</v>
          </cell>
          <cell r="DD364">
            <v>0</v>
          </cell>
          <cell r="DE364">
            <v>0</v>
          </cell>
          <cell r="DF364">
            <v>0</v>
          </cell>
          <cell r="DG364">
            <v>0</v>
          </cell>
          <cell r="DH364">
            <v>0</v>
          </cell>
          <cell r="DI364">
            <v>0</v>
          </cell>
          <cell r="DJ364">
            <v>0</v>
          </cell>
          <cell r="DK364">
            <v>0</v>
          </cell>
          <cell r="DL364">
            <v>0</v>
          </cell>
        </row>
        <row r="365">
          <cell r="A365">
            <v>881</v>
          </cell>
          <cell r="B365" t="str">
            <v>Onderbanken</v>
          </cell>
          <cell r="C365">
            <v>11</v>
          </cell>
          <cell r="D365">
            <v>16403</v>
          </cell>
          <cell r="E365">
            <v>8202</v>
          </cell>
          <cell r="F365">
            <v>0</v>
          </cell>
          <cell r="G365">
            <v>42945</v>
          </cell>
          <cell r="H365">
            <v>360624</v>
          </cell>
          <cell r="I365">
            <v>715978</v>
          </cell>
          <cell r="K365">
            <v>0</v>
          </cell>
          <cell r="L365">
            <v>35952</v>
          </cell>
          <cell r="M365">
            <v>31878</v>
          </cell>
          <cell r="N365">
            <v>0</v>
          </cell>
          <cell r="O365">
            <v>0</v>
          </cell>
          <cell r="P365">
            <v>0</v>
          </cell>
          <cell r="Q365">
            <v>0</v>
          </cell>
          <cell r="R365">
            <v>0</v>
          </cell>
          <cell r="S365">
            <v>0</v>
          </cell>
          <cell r="T365">
            <v>0</v>
          </cell>
          <cell r="U365">
            <v>0</v>
          </cell>
          <cell r="V365">
            <v>0</v>
          </cell>
          <cell r="W365">
            <v>13536</v>
          </cell>
          <cell r="X365">
            <v>0</v>
          </cell>
          <cell r="Z365">
            <v>0</v>
          </cell>
          <cell r="AA365">
            <v>0</v>
          </cell>
          <cell r="AB365">
            <v>0</v>
          </cell>
          <cell r="AD365">
            <v>0</v>
          </cell>
          <cell r="AE365">
            <v>0</v>
          </cell>
          <cell r="AF365">
            <v>0</v>
          </cell>
          <cell r="AG365">
            <v>0</v>
          </cell>
          <cell r="AH365">
            <v>0</v>
          </cell>
          <cell r="AI365">
            <v>0</v>
          </cell>
          <cell r="AJ365">
            <v>0</v>
          </cell>
          <cell r="AK365">
            <v>0</v>
          </cell>
          <cell r="AM365">
            <v>0</v>
          </cell>
          <cell r="AN365">
            <v>0</v>
          </cell>
          <cell r="AO365">
            <v>0</v>
          </cell>
          <cell r="AP365">
            <v>0</v>
          </cell>
          <cell r="AQ365">
            <v>0</v>
          </cell>
          <cell r="AR365">
            <v>0</v>
          </cell>
          <cell r="AS365">
            <v>0</v>
          </cell>
          <cell r="AT365">
            <v>0</v>
          </cell>
          <cell r="AU365">
            <v>0</v>
          </cell>
          <cell r="AV365">
            <v>0</v>
          </cell>
          <cell r="AW365">
            <v>0</v>
          </cell>
          <cell r="AX365">
            <v>0</v>
          </cell>
          <cell r="BA365">
            <v>0</v>
          </cell>
          <cell r="BC365">
            <v>0</v>
          </cell>
          <cell r="BD365">
            <v>13799</v>
          </cell>
          <cell r="BF365">
            <v>0</v>
          </cell>
          <cell r="BG365">
            <v>0</v>
          </cell>
          <cell r="BH365">
            <v>0</v>
          </cell>
          <cell r="BI365">
            <v>12697</v>
          </cell>
          <cell r="BJ365">
            <v>10451</v>
          </cell>
          <cell r="BK365">
            <v>10451</v>
          </cell>
          <cell r="BL365">
            <v>0</v>
          </cell>
          <cell r="BM365">
            <v>0</v>
          </cell>
          <cell r="BN365">
            <v>0</v>
          </cell>
          <cell r="BO365">
            <v>0</v>
          </cell>
          <cell r="BP365">
            <v>6325.6</v>
          </cell>
          <cell r="BQ365">
            <v>11395.3488372093</v>
          </cell>
          <cell r="BR365">
            <v>0</v>
          </cell>
          <cell r="BS365">
            <v>0</v>
          </cell>
          <cell r="BT365">
            <v>14067</v>
          </cell>
          <cell r="BY365">
            <v>0</v>
          </cell>
          <cell r="BZ365">
            <v>0</v>
          </cell>
          <cell r="CA365">
            <v>0</v>
          </cell>
          <cell r="CB365">
            <v>0</v>
          </cell>
          <cell r="CC365">
            <v>734192</v>
          </cell>
          <cell r="CD365">
            <v>5313607</v>
          </cell>
          <cell r="CE365">
            <v>189589</v>
          </cell>
          <cell r="CF365">
            <v>0</v>
          </cell>
          <cell r="CG365">
            <v>189589</v>
          </cell>
          <cell r="CH365">
            <v>189589</v>
          </cell>
          <cell r="CI365">
            <v>189589</v>
          </cell>
          <cell r="CJ365">
            <v>189589</v>
          </cell>
          <cell r="CK365">
            <v>0</v>
          </cell>
          <cell r="CL365">
            <v>0</v>
          </cell>
          <cell r="CM365">
            <v>0</v>
          </cell>
          <cell r="CN365">
            <v>0</v>
          </cell>
          <cell r="CO365">
            <v>0</v>
          </cell>
          <cell r="CP365">
            <v>0</v>
          </cell>
          <cell r="CQ365">
            <v>1763324</v>
          </cell>
          <cell r="CR365">
            <v>1673420</v>
          </cell>
          <cell r="CS365">
            <v>1603879</v>
          </cell>
          <cell r="CT365">
            <v>1552953</v>
          </cell>
          <cell r="CU365">
            <v>1475513</v>
          </cell>
          <cell r="CV365">
            <v>5475</v>
          </cell>
          <cell r="CW365">
            <v>0</v>
          </cell>
          <cell r="CX365">
            <v>0</v>
          </cell>
          <cell r="CY365">
            <v>0</v>
          </cell>
          <cell r="CZ365">
            <v>0</v>
          </cell>
          <cell r="DA365">
            <v>0</v>
          </cell>
          <cell r="DC365">
            <v>0</v>
          </cell>
          <cell r="DD365">
            <v>0</v>
          </cell>
          <cell r="DE365">
            <v>0</v>
          </cell>
          <cell r="DF365">
            <v>0</v>
          </cell>
          <cell r="DG365">
            <v>0</v>
          </cell>
          <cell r="DH365">
            <v>0</v>
          </cell>
          <cell r="DI365">
            <v>0</v>
          </cell>
          <cell r="DJ365">
            <v>0</v>
          </cell>
          <cell r="DK365">
            <v>0</v>
          </cell>
          <cell r="DL365">
            <v>0</v>
          </cell>
        </row>
        <row r="366">
          <cell r="A366">
            <v>1894</v>
          </cell>
          <cell r="B366" t="str">
            <v>Peel en Maas</v>
          </cell>
          <cell r="C366">
            <v>11</v>
          </cell>
          <cell r="D366">
            <v>2978</v>
          </cell>
          <cell r="E366">
            <v>1489</v>
          </cell>
          <cell r="F366">
            <v>0</v>
          </cell>
          <cell r="G366">
            <v>61170</v>
          </cell>
          <cell r="H366">
            <v>-29252</v>
          </cell>
          <cell r="I366">
            <v>-7120</v>
          </cell>
          <cell r="K366">
            <v>0</v>
          </cell>
          <cell r="L366">
            <v>125624</v>
          </cell>
          <cell r="M366">
            <v>107371</v>
          </cell>
          <cell r="N366">
            <v>0</v>
          </cell>
          <cell r="O366">
            <v>0</v>
          </cell>
          <cell r="P366">
            <v>0</v>
          </cell>
          <cell r="Q366">
            <v>0</v>
          </cell>
          <cell r="R366">
            <v>0</v>
          </cell>
          <cell r="S366">
            <v>0</v>
          </cell>
          <cell r="T366">
            <v>0</v>
          </cell>
          <cell r="U366">
            <v>0</v>
          </cell>
          <cell r="V366">
            <v>9000</v>
          </cell>
          <cell r="W366">
            <v>176884</v>
          </cell>
          <cell r="X366">
            <v>0</v>
          </cell>
          <cell r="Z366">
            <v>0</v>
          </cell>
          <cell r="AA366">
            <v>0</v>
          </cell>
          <cell r="AB366">
            <v>0</v>
          </cell>
          <cell r="AD366">
            <v>35200</v>
          </cell>
          <cell r="AE366">
            <v>0</v>
          </cell>
          <cell r="AF366">
            <v>0</v>
          </cell>
          <cell r="AG366">
            <v>0</v>
          </cell>
          <cell r="AH366">
            <v>0</v>
          </cell>
          <cell r="AI366">
            <v>0</v>
          </cell>
          <cell r="AJ366">
            <v>0</v>
          </cell>
          <cell r="AK366">
            <v>0</v>
          </cell>
          <cell r="AM366">
            <v>0</v>
          </cell>
          <cell r="AN366">
            <v>0</v>
          </cell>
          <cell r="AO366">
            <v>0</v>
          </cell>
          <cell r="AP366">
            <v>0</v>
          </cell>
          <cell r="AQ366">
            <v>0</v>
          </cell>
          <cell r="AR366">
            <v>0</v>
          </cell>
          <cell r="AS366">
            <v>0</v>
          </cell>
          <cell r="AT366">
            <v>0</v>
          </cell>
          <cell r="AU366">
            <v>16590</v>
          </cell>
          <cell r="AV366">
            <v>0</v>
          </cell>
          <cell r="AW366">
            <v>0</v>
          </cell>
          <cell r="AX366">
            <v>0</v>
          </cell>
          <cell r="BA366">
            <v>0</v>
          </cell>
          <cell r="BC366">
            <v>0</v>
          </cell>
          <cell r="BD366">
            <v>15216</v>
          </cell>
          <cell r="BF366">
            <v>0</v>
          </cell>
          <cell r="BG366">
            <v>0</v>
          </cell>
          <cell r="BH366">
            <v>0</v>
          </cell>
          <cell r="BI366">
            <v>54262</v>
          </cell>
          <cell r="BJ366">
            <v>44666</v>
          </cell>
          <cell r="BK366">
            <v>44666</v>
          </cell>
          <cell r="BL366">
            <v>0</v>
          </cell>
          <cell r="BM366">
            <v>0</v>
          </cell>
          <cell r="BN366">
            <v>0</v>
          </cell>
          <cell r="BO366">
            <v>147874</v>
          </cell>
          <cell r="BP366">
            <v>44279.199999999997</v>
          </cell>
          <cell r="BQ366">
            <v>79767.4418604651</v>
          </cell>
          <cell r="BR366">
            <v>0</v>
          </cell>
          <cell r="BS366">
            <v>0</v>
          </cell>
          <cell r="BT366">
            <v>71106</v>
          </cell>
          <cell r="BY366">
            <v>0</v>
          </cell>
          <cell r="BZ366">
            <v>0</v>
          </cell>
          <cell r="CA366">
            <v>0</v>
          </cell>
          <cell r="CB366">
            <v>0</v>
          </cell>
          <cell r="CC366">
            <v>3391872</v>
          </cell>
          <cell r="CD366">
            <v>19254136</v>
          </cell>
          <cell r="CE366">
            <v>1103781</v>
          </cell>
          <cell r="CF366">
            <v>-15021</v>
          </cell>
          <cell r="CG366">
            <v>1103781</v>
          </cell>
          <cell r="CH366">
            <v>1103781</v>
          </cell>
          <cell r="CI366">
            <v>1103781</v>
          </cell>
          <cell r="CJ366">
            <v>1103781</v>
          </cell>
          <cell r="CK366">
            <v>0</v>
          </cell>
          <cell r="CL366">
            <v>0</v>
          </cell>
          <cell r="CM366">
            <v>0</v>
          </cell>
          <cell r="CN366">
            <v>0</v>
          </cell>
          <cell r="CO366">
            <v>0</v>
          </cell>
          <cell r="CP366">
            <v>-320</v>
          </cell>
          <cell r="CQ366">
            <v>5851792</v>
          </cell>
          <cell r="CR366">
            <v>5517870</v>
          </cell>
          <cell r="CS366">
            <v>5369399</v>
          </cell>
          <cell r="CT366">
            <v>5250284</v>
          </cell>
          <cell r="CU366">
            <v>5075512</v>
          </cell>
          <cell r="CV366">
            <v>-15473</v>
          </cell>
          <cell r="CW366">
            <v>0</v>
          </cell>
          <cell r="CX366">
            <v>0</v>
          </cell>
          <cell r="CY366">
            <v>0</v>
          </cell>
          <cell r="CZ366">
            <v>0</v>
          </cell>
          <cell r="DA366">
            <v>0</v>
          </cell>
          <cell r="DC366">
            <v>0</v>
          </cell>
          <cell r="DD366">
            <v>0</v>
          </cell>
          <cell r="DE366">
            <v>0</v>
          </cell>
          <cell r="DF366">
            <v>0</v>
          </cell>
          <cell r="DG366">
            <v>0</v>
          </cell>
          <cell r="DH366">
            <v>0</v>
          </cell>
          <cell r="DI366">
            <v>0</v>
          </cell>
          <cell r="DJ366">
            <v>0</v>
          </cell>
          <cell r="DK366">
            <v>0</v>
          </cell>
          <cell r="DL366">
            <v>0</v>
          </cell>
        </row>
        <row r="367">
          <cell r="A367">
            <v>1669</v>
          </cell>
          <cell r="B367" t="str">
            <v>Roerdalen</v>
          </cell>
          <cell r="C367">
            <v>11</v>
          </cell>
          <cell r="D367">
            <v>1596</v>
          </cell>
          <cell r="E367">
            <v>798</v>
          </cell>
          <cell r="F367">
            <v>0</v>
          </cell>
          <cell r="G367">
            <v>0</v>
          </cell>
          <cell r="H367">
            <v>-8541</v>
          </cell>
          <cell r="I367">
            <v>0</v>
          </cell>
          <cell r="K367">
            <v>0</v>
          </cell>
          <cell r="L367">
            <v>72223</v>
          </cell>
          <cell r="M367">
            <v>68803</v>
          </cell>
          <cell r="N367">
            <v>0</v>
          </cell>
          <cell r="O367">
            <v>0</v>
          </cell>
          <cell r="P367">
            <v>0</v>
          </cell>
          <cell r="Q367">
            <v>0</v>
          </cell>
          <cell r="R367">
            <v>0</v>
          </cell>
          <cell r="S367">
            <v>0</v>
          </cell>
          <cell r="T367">
            <v>0</v>
          </cell>
          <cell r="U367">
            <v>0</v>
          </cell>
          <cell r="V367">
            <v>3000</v>
          </cell>
          <cell r="W367">
            <v>72697</v>
          </cell>
          <cell r="X367">
            <v>0</v>
          </cell>
          <cell r="Z367">
            <v>0</v>
          </cell>
          <cell r="AA367">
            <v>0</v>
          </cell>
          <cell r="AB367">
            <v>0</v>
          </cell>
          <cell r="AD367">
            <v>0</v>
          </cell>
          <cell r="AE367">
            <v>0</v>
          </cell>
          <cell r="AF367">
            <v>0</v>
          </cell>
          <cell r="AG367">
            <v>0</v>
          </cell>
          <cell r="AH367">
            <v>0</v>
          </cell>
          <cell r="AI367">
            <v>0</v>
          </cell>
          <cell r="AJ367">
            <v>0</v>
          </cell>
          <cell r="AK367">
            <v>0</v>
          </cell>
          <cell r="AM367">
            <v>0</v>
          </cell>
          <cell r="AN367">
            <v>0</v>
          </cell>
          <cell r="AO367">
            <v>0</v>
          </cell>
          <cell r="AP367">
            <v>0</v>
          </cell>
          <cell r="AQ367">
            <v>0</v>
          </cell>
          <cell r="AR367">
            <v>0</v>
          </cell>
          <cell r="AS367">
            <v>0</v>
          </cell>
          <cell r="AT367">
            <v>0</v>
          </cell>
          <cell r="AU367">
            <v>2370</v>
          </cell>
          <cell r="AV367">
            <v>0</v>
          </cell>
          <cell r="AW367">
            <v>0</v>
          </cell>
          <cell r="AX367">
            <v>0</v>
          </cell>
          <cell r="BA367">
            <v>0</v>
          </cell>
          <cell r="BC367">
            <v>0</v>
          </cell>
          <cell r="BD367">
            <v>7266</v>
          </cell>
          <cell r="BF367">
            <v>0</v>
          </cell>
          <cell r="BG367">
            <v>0</v>
          </cell>
          <cell r="BH367">
            <v>0</v>
          </cell>
          <cell r="BI367">
            <v>30123</v>
          </cell>
          <cell r="BJ367">
            <v>24796</v>
          </cell>
          <cell r="BK367">
            <v>24796</v>
          </cell>
          <cell r="BL367">
            <v>0</v>
          </cell>
          <cell r="BM367">
            <v>0</v>
          </cell>
          <cell r="BN367">
            <v>0</v>
          </cell>
          <cell r="BO367">
            <v>84638</v>
          </cell>
          <cell r="BP367">
            <v>12651.2</v>
          </cell>
          <cell r="BQ367">
            <v>22790.697674418599</v>
          </cell>
          <cell r="BR367">
            <v>0</v>
          </cell>
          <cell r="BS367">
            <v>0</v>
          </cell>
          <cell r="BT367">
            <v>34620</v>
          </cell>
          <cell r="BY367">
            <v>0</v>
          </cell>
          <cell r="BZ367">
            <v>0</v>
          </cell>
          <cell r="CA367">
            <v>0</v>
          </cell>
          <cell r="CB367">
            <v>0</v>
          </cell>
          <cell r="CC367">
            <v>1857348</v>
          </cell>
          <cell r="CD367">
            <v>10576095</v>
          </cell>
          <cell r="CE367">
            <v>875792</v>
          </cell>
          <cell r="CF367">
            <v>0</v>
          </cell>
          <cell r="CG367">
            <v>875792</v>
          </cell>
          <cell r="CH367">
            <v>875792</v>
          </cell>
          <cell r="CI367">
            <v>875792</v>
          </cell>
          <cell r="CJ367">
            <v>875792</v>
          </cell>
          <cell r="CK367">
            <v>0</v>
          </cell>
          <cell r="CL367">
            <v>0</v>
          </cell>
          <cell r="CM367">
            <v>0</v>
          </cell>
          <cell r="CN367">
            <v>0</v>
          </cell>
          <cell r="CO367">
            <v>0</v>
          </cell>
          <cell r="CP367">
            <v>0</v>
          </cell>
          <cell r="CQ367">
            <v>2951396</v>
          </cell>
          <cell r="CR367">
            <v>2756196</v>
          </cell>
          <cell r="CS367">
            <v>2631720</v>
          </cell>
          <cell r="CT367">
            <v>2528368</v>
          </cell>
          <cell r="CU367">
            <v>2414803</v>
          </cell>
          <cell r="CV367">
            <v>-2253</v>
          </cell>
          <cell r="CW367">
            <v>0</v>
          </cell>
          <cell r="CX367">
            <v>0</v>
          </cell>
          <cell r="CY367">
            <v>0</v>
          </cell>
          <cell r="CZ367">
            <v>0</v>
          </cell>
          <cell r="DA367">
            <v>0</v>
          </cell>
          <cell r="DC367">
            <v>0</v>
          </cell>
          <cell r="DD367">
            <v>0</v>
          </cell>
          <cell r="DE367">
            <v>0</v>
          </cell>
          <cell r="DF367">
            <v>0</v>
          </cell>
          <cell r="DG367">
            <v>0</v>
          </cell>
          <cell r="DH367">
            <v>0</v>
          </cell>
          <cell r="DI367">
            <v>0</v>
          </cell>
          <cell r="DJ367">
            <v>0</v>
          </cell>
          <cell r="DK367">
            <v>0</v>
          </cell>
          <cell r="DL367">
            <v>0</v>
          </cell>
        </row>
        <row r="368">
          <cell r="A368">
            <v>957</v>
          </cell>
          <cell r="B368" t="str">
            <v>Roermond</v>
          </cell>
          <cell r="C368">
            <v>11</v>
          </cell>
          <cell r="D368">
            <v>65589</v>
          </cell>
          <cell r="E368">
            <v>32795</v>
          </cell>
          <cell r="F368">
            <v>0</v>
          </cell>
          <cell r="G368">
            <v>28285</v>
          </cell>
          <cell r="H368">
            <v>92060</v>
          </cell>
          <cell r="I368">
            <v>0</v>
          </cell>
          <cell r="K368">
            <v>0</v>
          </cell>
          <cell r="L368">
            <v>366089</v>
          </cell>
          <cell r="M368">
            <v>371394</v>
          </cell>
          <cell r="N368">
            <v>0</v>
          </cell>
          <cell r="O368">
            <v>0</v>
          </cell>
          <cell r="P368">
            <v>0</v>
          </cell>
          <cell r="Q368">
            <v>0</v>
          </cell>
          <cell r="R368">
            <v>0</v>
          </cell>
          <cell r="S368">
            <v>0</v>
          </cell>
          <cell r="T368">
            <v>0</v>
          </cell>
          <cell r="U368">
            <v>0</v>
          </cell>
          <cell r="V368">
            <v>48000</v>
          </cell>
          <cell r="W368">
            <v>175367</v>
          </cell>
          <cell r="X368">
            <v>0</v>
          </cell>
          <cell r="Z368">
            <v>0</v>
          </cell>
          <cell r="AA368">
            <v>0</v>
          </cell>
          <cell r="AB368">
            <v>0</v>
          </cell>
          <cell r="AD368">
            <v>100713</v>
          </cell>
          <cell r="AE368">
            <v>0</v>
          </cell>
          <cell r="AF368">
            <v>0</v>
          </cell>
          <cell r="AG368">
            <v>0</v>
          </cell>
          <cell r="AH368">
            <v>0</v>
          </cell>
          <cell r="AI368">
            <v>0</v>
          </cell>
          <cell r="AJ368">
            <v>0</v>
          </cell>
          <cell r="AK368">
            <v>0</v>
          </cell>
          <cell r="AM368">
            <v>0</v>
          </cell>
          <cell r="AN368">
            <v>0</v>
          </cell>
          <cell r="AO368">
            <v>0</v>
          </cell>
          <cell r="AP368">
            <v>0</v>
          </cell>
          <cell r="AQ368">
            <v>0</v>
          </cell>
          <cell r="AR368">
            <v>0</v>
          </cell>
          <cell r="AS368">
            <v>0</v>
          </cell>
          <cell r="AT368">
            <v>0</v>
          </cell>
          <cell r="AU368">
            <v>0</v>
          </cell>
          <cell r="AV368">
            <v>0</v>
          </cell>
          <cell r="AW368">
            <v>80000</v>
          </cell>
          <cell r="AX368">
            <v>0</v>
          </cell>
          <cell r="BA368">
            <v>0</v>
          </cell>
          <cell r="BC368">
            <v>0</v>
          </cell>
          <cell r="BD368">
            <v>20146</v>
          </cell>
          <cell r="BF368">
            <v>0</v>
          </cell>
          <cell r="BG368">
            <v>0</v>
          </cell>
          <cell r="BH368">
            <v>0</v>
          </cell>
          <cell r="BI368">
            <v>126650</v>
          </cell>
          <cell r="BJ368">
            <v>104252</v>
          </cell>
          <cell r="BK368">
            <v>104252</v>
          </cell>
          <cell r="BL368">
            <v>0</v>
          </cell>
          <cell r="BM368">
            <v>0</v>
          </cell>
          <cell r="BN368">
            <v>0</v>
          </cell>
          <cell r="BO368">
            <v>239323</v>
          </cell>
          <cell r="BP368">
            <v>28465.200000000001</v>
          </cell>
          <cell r="BQ368">
            <v>51279.069767441899</v>
          </cell>
          <cell r="BR368">
            <v>0</v>
          </cell>
          <cell r="BS368">
            <v>0</v>
          </cell>
          <cell r="BT368">
            <v>99130</v>
          </cell>
          <cell r="BY368">
            <v>0</v>
          </cell>
          <cell r="BZ368">
            <v>0</v>
          </cell>
          <cell r="CA368">
            <v>0</v>
          </cell>
          <cell r="CB368">
            <v>0</v>
          </cell>
          <cell r="CC368">
            <v>5471504</v>
          </cell>
          <cell r="CD368">
            <v>38728096</v>
          </cell>
          <cell r="CE368">
            <v>2821261</v>
          </cell>
          <cell r="CF368">
            <v>0</v>
          </cell>
          <cell r="CG368">
            <v>2821261</v>
          </cell>
          <cell r="CH368">
            <v>2821261</v>
          </cell>
          <cell r="CI368">
            <v>2821261</v>
          </cell>
          <cell r="CJ368">
            <v>2821261</v>
          </cell>
          <cell r="CK368">
            <v>0</v>
          </cell>
          <cell r="CL368">
            <v>0</v>
          </cell>
          <cell r="CM368">
            <v>0</v>
          </cell>
          <cell r="CN368">
            <v>0</v>
          </cell>
          <cell r="CO368">
            <v>0</v>
          </cell>
          <cell r="CP368">
            <v>0</v>
          </cell>
          <cell r="CQ368">
            <v>11677816</v>
          </cell>
          <cell r="CR368">
            <v>11016173</v>
          </cell>
          <cell r="CS368">
            <v>10633438</v>
          </cell>
          <cell r="CT368">
            <v>10366924</v>
          </cell>
          <cell r="CU368">
            <v>9979559</v>
          </cell>
          <cell r="CV368">
            <v>-17155</v>
          </cell>
          <cell r="CW368">
            <v>0</v>
          </cell>
          <cell r="CX368">
            <v>0</v>
          </cell>
          <cell r="CY368">
            <v>0</v>
          </cell>
          <cell r="CZ368">
            <v>0</v>
          </cell>
          <cell r="DA368">
            <v>0</v>
          </cell>
          <cell r="DC368">
            <v>0</v>
          </cell>
          <cell r="DD368">
            <v>0</v>
          </cell>
          <cell r="DE368">
            <v>0</v>
          </cell>
          <cell r="DF368">
            <v>0</v>
          </cell>
          <cell r="DG368">
            <v>0</v>
          </cell>
          <cell r="DH368">
            <v>0</v>
          </cell>
          <cell r="DI368">
            <v>0</v>
          </cell>
          <cell r="DJ368">
            <v>0</v>
          </cell>
          <cell r="DK368">
            <v>0</v>
          </cell>
          <cell r="DL368">
            <v>0</v>
          </cell>
        </row>
        <row r="369">
          <cell r="A369">
            <v>962</v>
          </cell>
          <cell r="B369" t="str">
            <v>Schinnen</v>
          </cell>
          <cell r="C369">
            <v>11</v>
          </cell>
          <cell r="D369">
            <v>2586</v>
          </cell>
          <cell r="E369">
            <v>1293</v>
          </cell>
          <cell r="F369">
            <v>0</v>
          </cell>
          <cell r="G369">
            <v>0</v>
          </cell>
          <cell r="H369">
            <v>539318</v>
          </cell>
          <cell r="I369">
            <v>1093772</v>
          </cell>
          <cell r="K369">
            <v>0</v>
          </cell>
          <cell r="L369">
            <v>39275</v>
          </cell>
          <cell r="M369">
            <v>39996</v>
          </cell>
          <cell r="N369">
            <v>0</v>
          </cell>
          <cell r="O369">
            <v>0</v>
          </cell>
          <cell r="P369">
            <v>0</v>
          </cell>
          <cell r="Q369">
            <v>0</v>
          </cell>
          <cell r="R369">
            <v>0</v>
          </cell>
          <cell r="S369">
            <v>0</v>
          </cell>
          <cell r="T369">
            <v>0</v>
          </cell>
          <cell r="U369">
            <v>0</v>
          </cell>
          <cell r="V369">
            <v>0</v>
          </cell>
          <cell r="W369">
            <v>49178</v>
          </cell>
          <cell r="X369">
            <v>0</v>
          </cell>
          <cell r="Z369">
            <v>0</v>
          </cell>
          <cell r="AA369">
            <v>0</v>
          </cell>
          <cell r="AB369">
            <v>0</v>
          </cell>
          <cell r="AD369">
            <v>0</v>
          </cell>
          <cell r="AE369">
            <v>0</v>
          </cell>
          <cell r="AF369">
            <v>0</v>
          </cell>
          <cell r="AG369">
            <v>0</v>
          </cell>
          <cell r="AH369">
            <v>0</v>
          </cell>
          <cell r="AI369">
            <v>0</v>
          </cell>
          <cell r="AJ369">
            <v>0</v>
          </cell>
          <cell r="AK369">
            <v>0</v>
          </cell>
          <cell r="AM369">
            <v>0</v>
          </cell>
          <cell r="AN369">
            <v>0</v>
          </cell>
          <cell r="AO369">
            <v>0</v>
          </cell>
          <cell r="AP369">
            <v>0</v>
          </cell>
          <cell r="AQ369">
            <v>0</v>
          </cell>
          <cell r="AR369">
            <v>0</v>
          </cell>
          <cell r="AS369">
            <v>0</v>
          </cell>
          <cell r="AT369">
            <v>0</v>
          </cell>
          <cell r="AU369">
            <v>0</v>
          </cell>
          <cell r="AV369">
            <v>0</v>
          </cell>
          <cell r="AW369">
            <v>0</v>
          </cell>
          <cell r="AX369">
            <v>0</v>
          </cell>
          <cell r="BA369">
            <v>0</v>
          </cell>
          <cell r="BC369">
            <v>0</v>
          </cell>
          <cell r="BD369">
            <v>22727</v>
          </cell>
          <cell r="BF369">
            <v>0</v>
          </cell>
          <cell r="BG369">
            <v>0</v>
          </cell>
          <cell r="BH369">
            <v>0</v>
          </cell>
          <cell r="BI369">
            <v>17357</v>
          </cell>
          <cell r="BJ369">
            <v>14287</v>
          </cell>
          <cell r="BK369">
            <v>14287</v>
          </cell>
          <cell r="BL369">
            <v>0</v>
          </cell>
          <cell r="BM369">
            <v>0</v>
          </cell>
          <cell r="BN369">
            <v>0</v>
          </cell>
          <cell r="BO369">
            <v>31618</v>
          </cell>
          <cell r="BP369">
            <v>4744.2</v>
          </cell>
          <cell r="BQ369">
            <v>8546.5116279069807</v>
          </cell>
          <cell r="BR369">
            <v>0</v>
          </cell>
          <cell r="BS369">
            <v>0</v>
          </cell>
          <cell r="BT369">
            <v>19240</v>
          </cell>
          <cell r="BY369">
            <v>0</v>
          </cell>
          <cell r="BZ369">
            <v>0</v>
          </cell>
          <cell r="CA369">
            <v>0</v>
          </cell>
          <cell r="CB369">
            <v>0</v>
          </cell>
          <cell r="CC369">
            <v>1124891</v>
          </cell>
          <cell r="CD369">
            <v>5618110</v>
          </cell>
          <cell r="CE369">
            <v>361394</v>
          </cell>
          <cell r="CF369">
            <v>0</v>
          </cell>
          <cell r="CG369">
            <v>361394</v>
          </cell>
          <cell r="CH369">
            <v>361394</v>
          </cell>
          <cell r="CI369">
            <v>361394</v>
          </cell>
          <cell r="CJ369">
            <v>361394</v>
          </cell>
          <cell r="CK369">
            <v>0</v>
          </cell>
          <cell r="CL369">
            <v>0</v>
          </cell>
          <cell r="CM369">
            <v>0</v>
          </cell>
          <cell r="CN369">
            <v>0</v>
          </cell>
          <cell r="CO369">
            <v>0</v>
          </cell>
          <cell r="CP369">
            <v>244490</v>
          </cell>
          <cell r="CQ369">
            <v>839177</v>
          </cell>
          <cell r="CR369">
            <v>761299</v>
          </cell>
          <cell r="CS369">
            <v>743534</v>
          </cell>
          <cell r="CT369">
            <v>714840</v>
          </cell>
          <cell r="CU369">
            <v>689381</v>
          </cell>
          <cell r="CV369">
            <v>-10995</v>
          </cell>
          <cell r="CW369">
            <v>0</v>
          </cell>
          <cell r="CX369">
            <v>0</v>
          </cell>
          <cell r="CY369">
            <v>0</v>
          </cell>
          <cell r="CZ369">
            <v>0</v>
          </cell>
          <cell r="DA369">
            <v>0</v>
          </cell>
          <cell r="DC369">
            <v>0</v>
          </cell>
          <cell r="DD369">
            <v>0</v>
          </cell>
          <cell r="DE369">
            <v>0</v>
          </cell>
          <cell r="DF369">
            <v>0</v>
          </cell>
          <cell r="DG369">
            <v>0</v>
          </cell>
          <cell r="DH369">
            <v>0</v>
          </cell>
          <cell r="DI369">
            <v>0</v>
          </cell>
          <cell r="DJ369">
            <v>0</v>
          </cell>
          <cell r="DK369">
            <v>0</v>
          </cell>
          <cell r="DL369">
            <v>0</v>
          </cell>
        </row>
        <row r="370">
          <cell r="A370">
            <v>965</v>
          </cell>
          <cell r="B370" t="str">
            <v>Simpelveld</v>
          </cell>
          <cell r="C370">
            <v>11</v>
          </cell>
          <cell r="D370">
            <v>27278</v>
          </cell>
          <cell r="E370">
            <v>13639</v>
          </cell>
          <cell r="F370">
            <v>0</v>
          </cell>
          <cell r="G370">
            <v>0</v>
          </cell>
          <cell r="H370">
            <v>-1833</v>
          </cell>
          <cell r="I370">
            <v>0</v>
          </cell>
          <cell r="K370">
            <v>0</v>
          </cell>
          <cell r="L370">
            <v>31794</v>
          </cell>
          <cell r="M370">
            <v>31973</v>
          </cell>
          <cell r="N370">
            <v>0</v>
          </cell>
          <cell r="O370">
            <v>0</v>
          </cell>
          <cell r="P370">
            <v>0</v>
          </cell>
          <cell r="Q370">
            <v>0</v>
          </cell>
          <cell r="R370">
            <v>0</v>
          </cell>
          <cell r="S370">
            <v>0</v>
          </cell>
          <cell r="T370">
            <v>0</v>
          </cell>
          <cell r="U370">
            <v>0</v>
          </cell>
          <cell r="V370">
            <v>0</v>
          </cell>
          <cell r="W370">
            <v>38876</v>
          </cell>
          <cell r="X370">
            <v>0</v>
          </cell>
          <cell r="Z370">
            <v>0</v>
          </cell>
          <cell r="AA370">
            <v>0</v>
          </cell>
          <cell r="AB370">
            <v>0</v>
          </cell>
          <cell r="AD370">
            <v>0</v>
          </cell>
          <cell r="AE370">
            <v>0</v>
          </cell>
          <cell r="AF370">
            <v>0</v>
          </cell>
          <cell r="AG370">
            <v>0</v>
          </cell>
          <cell r="AH370">
            <v>0</v>
          </cell>
          <cell r="AI370">
            <v>0</v>
          </cell>
          <cell r="AJ370">
            <v>0</v>
          </cell>
          <cell r="AK370">
            <v>0</v>
          </cell>
          <cell r="AM370">
            <v>0</v>
          </cell>
          <cell r="AN370">
            <v>0</v>
          </cell>
          <cell r="AO370">
            <v>0</v>
          </cell>
          <cell r="AP370">
            <v>0</v>
          </cell>
          <cell r="AQ370">
            <v>0</v>
          </cell>
          <cell r="AR370">
            <v>0</v>
          </cell>
          <cell r="AS370">
            <v>0</v>
          </cell>
          <cell r="AT370">
            <v>0</v>
          </cell>
          <cell r="AU370">
            <v>2370</v>
          </cell>
          <cell r="AV370">
            <v>0</v>
          </cell>
          <cell r="AW370">
            <v>0</v>
          </cell>
          <cell r="AX370">
            <v>0</v>
          </cell>
          <cell r="BA370">
            <v>0</v>
          </cell>
          <cell r="BC370">
            <v>0</v>
          </cell>
          <cell r="BD370">
            <v>3711</v>
          </cell>
          <cell r="BF370">
            <v>0</v>
          </cell>
          <cell r="BG370">
            <v>0</v>
          </cell>
          <cell r="BH370">
            <v>0</v>
          </cell>
          <cell r="BI370">
            <v>17816</v>
          </cell>
          <cell r="BJ370">
            <v>14665</v>
          </cell>
          <cell r="BK370">
            <v>14665</v>
          </cell>
          <cell r="BL370">
            <v>0</v>
          </cell>
          <cell r="BM370">
            <v>0</v>
          </cell>
          <cell r="BN370">
            <v>0</v>
          </cell>
          <cell r="BO370">
            <v>13620</v>
          </cell>
          <cell r="BP370">
            <v>1581.4</v>
          </cell>
          <cell r="BQ370">
            <v>2848.8372093023299</v>
          </cell>
          <cell r="BR370">
            <v>0</v>
          </cell>
          <cell r="BS370">
            <v>0</v>
          </cell>
          <cell r="BT370">
            <v>15796</v>
          </cell>
          <cell r="BY370">
            <v>0</v>
          </cell>
          <cell r="BZ370">
            <v>0</v>
          </cell>
          <cell r="CA370">
            <v>0</v>
          </cell>
          <cell r="CB370">
            <v>0</v>
          </cell>
          <cell r="CC370">
            <v>1103752</v>
          </cell>
          <cell r="CD370">
            <v>7318643</v>
          </cell>
          <cell r="CE370">
            <v>881570</v>
          </cell>
          <cell r="CF370">
            <v>0</v>
          </cell>
          <cell r="CG370">
            <v>881570</v>
          </cell>
          <cell r="CH370">
            <v>881570</v>
          </cell>
          <cell r="CI370">
            <v>881570</v>
          </cell>
          <cell r="CJ370">
            <v>881570</v>
          </cell>
          <cell r="CK370">
            <v>0</v>
          </cell>
          <cell r="CL370">
            <v>0</v>
          </cell>
          <cell r="CM370">
            <v>0</v>
          </cell>
          <cell r="CN370">
            <v>0</v>
          </cell>
          <cell r="CO370">
            <v>0</v>
          </cell>
          <cell r="CP370">
            <v>0</v>
          </cell>
          <cell r="CQ370">
            <v>2383495</v>
          </cell>
          <cell r="CR370">
            <v>2232852</v>
          </cell>
          <cell r="CS370">
            <v>2109292</v>
          </cell>
          <cell r="CT370">
            <v>2004259</v>
          </cell>
          <cell r="CU370">
            <v>1856192</v>
          </cell>
          <cell r="CV370">
            <v>6967</v>
          </cell>
          <cell r="CW370">
            <v>0</v>
          </cell>
          <cell r="CX370">
            <v>0</v>
          </cell>
          <cell r="CY370">
            <v>0</v>
          </cell>
          <cell r="CZ370">
            <v>0</v>
          </cell>
          <cell r="DA370">
            <v>0</v>
          </cell>
          <cell r="DC370">
            <v>0</v>
          </cell>
          <cell r="DD370">
            <v>0</v>
          </cell>
          <cell r="DE370">
            <v>0</v>
          </cell>
          <cell r="DF370">
            <v>0</v>
          </cell>
          <cell r="DG370">
            <v>0</v>
          </cell>
          <cell r="DH370">
            <v>0</v>
          </cell>
          <cell r="DI370">
            <v>0</v>
          </cell>
          <cell r="DJ370">
            <v>0</v>
          </cell>
          <cell r="DK370">
            <v>0</v>
          </cell>
          <cell r="DL370">
            <v>0</v>
          </cell>
        </row>
        <row r="371">
          <cell r="A371">
            <v>1883</v>
          </cell>
          <cell r="B371" t="str">
            <v>Sittard-Geleen</v>
          </cell>
          <cell r="C371">
            <v>11</v>
          </cell>
          <cell r="D371">
            <v>158310</v>
          </cell>
          <cell r="E371">
            <v>79155</v>
          </cell>
          <cell r="F371">
            <v>0</v>
          </cell>
          <cell r="G371">
            <v>6329</v>
          </cell>
          <cell r="H371">
            <v>-34756</v>
          </cell>
          <cell r="I371">
            <v>0</v>
          </cell>
          <cell r="K371">
            <v>0</v>
          </cell>
          <cell r="L371">
            <v>489445</v>
          </cell>
          <cell r="M371">
            <v>471385</v>
          </cell>
          <cell r="N371">
            <v>0</v>
          </cell>
          <cell r="O371">
            <v>0</v>
          </cell>
          <cell r="P371">
            <v>150000</v>
          </cell>
          <cell r="Q371">
            <v>0</v>
          </cell>
          <cell r="R371">
            <v>765230</v>
          </cell>
          <cell r="S371">
            <v>0</v>
          </cell>
          <cell r="T371">
            <v>0</v>
          </cell>
          <cell r="U371">
            <v>0</v>
          </cell>
          <cell r="V371">
            <v>9000</v>
          </cell>
          <cell r="W371">
            <v>338801</v>
          </cell>
          <cell r="X371">
            <v>0</v>
          </cell>
          <cell r="Z371">
            <v>0</v>
          </cell>
          <cell r="AA371">
            <v>0</v>
          </cell>
          <cell r="AB371">
            <v>0</v>
          </cell>
          <cell r="AD371">
            <v>157425</v>
          </cell>
          <cell r="AE371">
            <v>0</v>
          </cell>
          <cell r="AF371">
            <v>0</v>
          </cell>
          <cell r="AG371">
            <v>0</v>
          </cell>
          <cell r="AH371">
            <v>0</v>
          </cell>
          <cell r="AI371">
            <v>0</v>
          </cell>
          <cell r="AJ371">
            <v>0</v>
          </cell>
          <cell r="AK371">
            <v>176185</v>
          </cell>
          <cell r="AM371">
            <v>0</v>
          </cell>
          <cell r="AN371">
            <v>0</v>
          </cell>
          <cell r="AO371">
            <v>0</v>
          </cell>
          <cell r="AP371">
            <v>0</v>
          </cell>
          <cell r="AQ371">
            <v>0</v>
          </cell>
          <cell r="AR371">
            <v>0</v>
          </cell>
          <cell r="AS371">
            <v>0</v>
          </cell>
          <cell r="AT371">
            <v>20000</v>
          </cell>
          <cell r="AU371">
            <v>9480</v>
          </cell>
          <cell r="AV371">
            <v>0</v>
          </cell>
          <cell r="AW371">
            <v>0</v>
          </cell>
          <cell r="AX371">
            <v>0</v>
          </cell>
          <cell r="BA371">
            <v>0</v>
          </cell>
          <cell r="BC371">
            <v>0</v>
          </cell>
          <cell r="BD371">
            <v>32758</v>
          </cell>
          <cell r="BF371">
            <v>0</v>
          </cell>
          <cell r="BG371">
            <v>0</v>
          </cell>
          <cell r="BH371">
            <v>0</v>
          </cell>
          <cell r="BI371">
            <v>197384</v>
          </cell>
          <cell r="BJ371">
            <v>162477</v>
          </cell>
          <cell r="BK371">
            <v>162477</v>
          </cell>
          <cell r="BL371">
            <v>0</v>
          </cell>
          <cell r="BM371">
            <v>0</v>
          </cell>
          <cell r="BN371">
            <v>0</v>
          </cell>
          <cell r="BO371">
            <v>213055</v>
          </cell>
          <cell r="BP371">
            <v>42697.8</v>
          </cell>
          <cell r="BQ371">
            <v>76918.604651162794</v>
          </cell>
          <cell r="BR371">
            <v>0</v>
          </cell>
          <cell r="BS371">
            <v>0</v>
          </cell>
          <cell r="BT371">
            <v>147691</v>
          </cell>
          <cell r="BY371">
            <v>0</v>
          </cell>
          <cell r="BZ371">
            <v>0</v>
          </cell>
          <cell r="CA371">
            <v>0</v>
          </cell>
          <cell r="CB371">
            <v>0</v>
          </cell>
          <cell r="CC371">
            <v>9859039</v>
          </cell>
          <cell r="CD371">
            <v>57736431</v>
          </cell>
          <cell r="CE371">
            <v>1676246</v>
          </cell>
          <cell r="CF371">
            <v>0</v>
          </cell>
          <cell r="CG371">
            <v>1676246</v>
          </cell>
          <cell r="CH371">
            <v>1676246</v>
          </cell>
          <cell r="CI371">
            <v>1676246</v>
          </cell>
          <cell r="CJ371">
            <v>1676246</v>
          </cell>
          <cell r="CK371">
            <v>0</v>
          </cell>
          <cell r="CL371">
            <v>0</v>
          </cell>
          <cell r="CM371">
            <v>0</v>
          </cell>
          <cell r="CN371">
            <v>0</v>
          </cell>
          <cell r="CO371">
            <v>0</v>
          </cell>
          <cell r="CP371">
            <v>0</v>
          </cell>
          <cell r="CQ371">
            <v>14250835</v>
          </cell>
          <cell r="CR371">
            <v>13357396</v>
          </cell>
          <cell r="CS371">
            <v>12757133</v>
          </cell>
          <cell r="CT371">
            <v>12279516</v>
          </cell>
          <cell r="CU371">
            <v>11881646</v>
          </cell>
          <cell r="CV371">
            <v>93735</v>
          </cell>
          <cell r="CW371">
            <v>0</v>
          </cell>
          <cell r="CX371">
            <v>0</v>
          </cell>
          <cell r="CY371">
            <v>0</v>
          </cell>
          <cell r="CZ371">
            <v>0</v>
          </cell>
          <cell r="DA371">
            <v>0</v>
          </cell>
          <cell r="DC371">
            <v>0</v>
          </cell>
          <cell r="DD371">
            <v>0</v>
          </cell>
          <cell r="DE371">
            <v>0</v>
          </cell>
          <cell r="DF371">
            <v>0</v>
          </cell>
          <cell r="DG371">
            <v>0</v>
          </cell>
          <cell r="DH371">
            <v>0</v>
          </cell>
          <cell r="DI371">
            <v>0</v>
          </cell>
          <cell r="DJ371">
            <v>0</v>
          </cell>
          <cell r="DK371">
            <v>0</v>
          </cell>
          <cell r="DL371">
            <v>0</v>
          </cell>
        </row>
        <row r="372">
          <cell r="A372">
            <v>971</v>
          </cell>
          <cell r="B372" t="str">
            <v>Stein</v>
          </cell>
          <cell r="C372">
            <v>11</v>
          </cell>
          <cell r="D372">
            <v>29309</v>
          </cell>
          <cell r="E372">
            <v>14654</v>
          </cell>
          <cell r="F372">
            <v>0</v>
          </cell>
          <cell r="G372">
            <v>0</v>
          </cell>
          <cell r="H372">
            <v>-3103</v>
          </cell>
          <cell r="I372">
            <v>-514</v>
          </cell>
          <cell r="K372">
            <v>0</v>
          </cell>
          <cell r="L372">
            <v>83564</v>
          </cell>
          <cell r="M372">
            <v>77136</v>
          </cell>
          <cell r="N372">
            <v>0</v>
          </cell>
          <cell r="O372">
            <v>0</v>
          </cell>
          <cell r="P372">
            <v>0</v>
          </cell>
          <cell r="Q372">
            <v>0</v>
          </cell>
          <cell r="R372">
            <v>0</v>
          </cell>
          <cell r="S372">
            <v>0</v>
          </cell>
          <cell r="T372">
            <v>0</v>
          </cell>
          <cell r="U372">
            <v>0</v>
          </cell>
          <cell r="V372">
            <v>0</v>
          </cell>
          <cell r="W372">
            <v>67480</v>
          </cell>
          <cell r="X372">
            <v>0</v>
          </cell>
          <cell r="Z372">
            <v>0</v>
          </cell>
          <cell r="AA372">
            <v>0</v>
          </cell>
          <cell r="AB372">
            <v>0</v>
          </cell>
          <cell r="AD372">
            <v>0</v>
          </cell>
          <cell r="AE372">
            <v>0</v>
          </cell>
          <cell r="AF372">
            <v>0</v>
          </cell>
          <cell r="AG372">
            <v>0</v>
          </cell>
          <cell r="AH372">
            <v>0</v>
          </cell>
          <cell r="AI372">
            <v>0</v>
          </cell>
          <cell r="AJ372">
            <v>0</v>
          </cell>
          <cell r="AK372">
            <v>0</v>
          </cell>
          <cell r="AM372">
            <v>0</v>
          </cell>
          <cell r="AN372">
            <v>0</v>
          </cell>
          <cell r="AO372">
            <v>0</v>
          </cell>
          <cell r="AP372">
            <v>0</v>
          </cell>
          <cell r="AQ372">
            <v>0</v>
          </cell>
          <cell r="AR372">
            <v>0</v>
          </cell>
          <cell r="AS372">
            <v>0</v>
          </cell>
          <cell r="AT372">
            <v>0</v>
          </cell>
          <cell r="AU372">
            <v>4740</v>
          </cell>
          <cell r="AV372">
            <v>0</v>
          </cell>
          <cell r="AW372">
            <v>0</v>
          </cell>
          <cell r="AX372">
            <v>0</v>
          </cell>
          <cell r="BA372">
            <v>0</v>
          </cell>
          <cell r="BC372">
            <v>0</v>
          </cell>
          <cell r="BD372">
            <v>8797</v>
          </cell>
          <cell r="BF372">
            <v>0</v>
          </cell>
          <cell r="BG372">
            <v>0</v>
          </cell>
          <cell r="BH372">
            <v>0</v>
          </cell>
          <cell r="BI372">
            <v>38960</v>
          </cell>
          <cell r="BJ372">
            <v>32070</v>
          </cell>
          <cell r="BK372">
            <v>32070</v>
          </cell>
          <cell r="BL372">
            <v>0</v>
          </cell>
          <cell r="BM372">
            <v>0</v>
          </cell>
          <cell r="BN372">
            <v>0</v>
          </cell>
          <cell r="BO372">
            <v>149333</v>
          </cell>
          <cell r="BP372">
            <v>4744.2</v>
          </cell>
          <cell r="BQ372">
            <v>8546.5116279069807</v>
          </cell>
          <cell r="BR372">
            <v>0</v>
          </cell>
          <cell r="BS372">
            <v>0</v>
          </cell>
          <cell r="BT372">
            <v>32292</v>
          </cell>
          <cell r="BY372">
            <v>0</v>
          </cell>
          <cell r="BZ372">
            <v>0</v>
          </cell>
          <cell r="CA372">
            <v>0</v>
          </cell>
          <cell r="CB372">
            <v>0</v>
          </cell>
          <cell r="CC372">
            <v>2492701</v>
          </cell>
          <cell r="CD372">
            <v>12510571</v>
          </cell>
          <cell r="CE372">
            <v>437134</v>
          </cell>
          <cell r="CF372">
            <v>0</v>
          </cell>
          <cell r="CG372">
            <v>437134</v>
          </cell>
          <cell r="CH372">
            <v>437134</v>
          </cell>
          <cell r="CI372">
            <v>437134</v>
          </cell>
          <cell r="CJ372">
            <v>437134</v>
          </cell>
          <cell r="CK372">
            <v>0</v>
          </cell>
          <cell r="CL372">
            <v>0</v>
          </cell>
          <cell r="CM372">
            <v>0</v>
          </cell>
          <cell r="CN372">
            <v>0</v>
          </cell>
          <cell r="CO372">
            <v>0</v>
          </cell>
          <cell r="CP372">
            <v>-187</v>
          </cell>
          <cell r="CQ372">
            <v>3081435</v>
          </cell>
          <cell r="CR372">
            <v>2890837</v>
          </cell>
          <cell r="CS372">
            <v>2727528</v>
          </cell>
          <cell r="CT372">
            <v>2578141</v>
          </cell>
          <cell r="CU372">
            <v>2394107</v>
          </cell>
          <cell r="CV372">
            <v>52610</v>
          </cell>
          <cell r="CW372">
            <v>0</v>
          </cell>
          <cell r="CX372">
            <v>0</v>
          </cell>
          <cell r="CY372">
            <v>0</v>
          </cell>
          <cell r="CZ372">
            <v>0</v>
          </cell>
          <cell r="DA372">
            <v>0</v>
          </cell>
          <cell r="DC372">
            <v>0</v>
          </cell>
          <cell r="DD372">
            <v>0</v>
          </cell>
          <cell r="DE372">
            <v>0</v>
          </cell>
          <cell r="DF372">
            <v>0</v>
          </cell>
          <cell r="DG372">
            <v>0</v>
          </cell>
          <cell r="DH372">
            <v>0</v>
          </cell>
          <cell r="DI372">
            <v>0</v>
          </cell>
          <cell r="DJ372">
            <v>0</v>
          </cell>
          <cell r="DK372">
            <v>0</v>
          </cell>
          <cell r="DL372">
            <v>0</v>
          </cell>
        </row>
        <row r="373">
          <cell r="A373">
            <v>981</v>
          </cell>
          <cell r="B373" t="str">
            <v>Vaals</v>
          </cell>
          <cell r="C373">
            <v>11</v>
          </cell>
          <cell r="D373">
            <v>-10180</v>
          </cell>
          <cell r="E373">
            <v>-5090</v>
          </cell>
          <cell r="F373">
            <v>0</v>
          </cell>
          <cell r="G373">
            <v>0</v>
          </cell>
          <cell r="H373">
            <v>-13099</v>
          </cell>
          <cell r="I373">
            <v>-7415</v>
          </cell>
          <cell r="K373">
            <v>0</v>
          </cell>
          <cell r="L373">
            <v>44766</v>
          </cell>
          <cell r="M373">
            <v>46853</v>
          </cell>
          <cell r="N373">
            <v>0</v>
          </cell>
          <cell r="O373">
            <v>0</v>
          </cell>
          <cell r="P373">
            <v>0</v>
          </cell>
          <cell r="Q373">
            <v>0</v>
          </cell>
          <cell r="R373">
            <v>0</v>
          </cell>
          <cell r="S373">
            <v>0</v>
          </cell>
          <cell r="T373">
            <v>0</v>
          </cell>
          <cell r="U373">
            <v>0</v>
          </cell>
          <cell r="V373">
            <v>0</v>
          </cell>
          <cell r="W373">
            <v>31100</v>
          </cell>
          <cell r="X373">
            <v>0</v>
          </cell>
          <cell r="Z373">
            <v>0</v>
          </cell>
          <cell r="AA373">
            <v>0</v>
          </cell>
          <cell r="AB373">
            <v>0</v>
          </cell>
          <cell r="AD373">
            <v>36178</v>
          </cell>
          <cell r="AE373">
            <v>0</v>
          </cell>
          <cell r="AF373">
            <v>0</v>
          </cell>
          <cell r="AG373">
            <v>0</v>
          </cell>
          <cell r="AH373">
            <v>0</v>
          </cell>
          <cell r="AI373">
            <v>0</v>
          </cell>
          <cell r="AJ373">
            <v>0</v>
          </cell>
          <cell r="AK373">
            <v>0</v>
          </cell>
          <cell r="AM373">
            <v>0</v>
          </cell>
          <cell r="AN373">
            <v>0</v>
          </cell>
          <cell r="AO373">
            <v>0</v>
          </cell>
          <cell r="AP373">
            <v>0</v>
          </cell>
          <cell r="AQ373">
            <v>0</v>
          </cell>
          <cell r="AR373">
            <v>0</v>
          </cell>
          <cell r="AS373">
            <v>0</v>
          </cell>
          <cell r="AT373">
            <v>0</v>
          </cell>
          <cell r="AU373">
            <v>0</v>
          </cell>
          <cell r="AV373">
            <v>0</v>
          </cell>
          <cell r="AW373">
            <v>0</v>
          </cell>
          <cell r="AX373">
            <v>0</v>
          </cell>
          <cell r="BA373">
            <v>0</v>
          </cell>
          <cell r="BC373">
            <v>0</v>
          </cell>
          <cell r="BD373">
            <v>3409</v>
          </cell>
          <cell r="BF373">
            <v>0</v>
          </cell>
          <cell r="BG373">
            <v>0</v>
          </cell>
          <cell r="BH373">
            <v>0</v>
          </cell>
          <cell r="BI373">
            <v>23349</v>
          </cell>
          <cell r="BJ373">
            <v>19220</v>
          </cell>
          <cell r="BK373">
            <v>19220</v>
          </cell>
          <cell r="BL373">
            <v>0</v>
          </cell>
          <cell r="BM373">
            <v>0</v>
          </cell>
          <cell r="BN373">
            <v>0</v>
          </cell>
          <cell r="BO373">
            <v>29186</v>
          </cell>
          <cell r="BP373">
            <v>6325.6</v>
          </cell>
          <cell r="BQ373">
            <v>11395.3488372093</v>
          </cell>
          <cell r="BR373">
            <v>0</v>
          </cell>
          <cell r="BS373">
            <v>0</v>
          </cell>
          <cell r="BT373">
            <v>18998</v>
          </cell>
          <cell r="BY373">
            <v>0</v>
          </cell>
          <cell r="BZ373">
            <v>0</v>
          </cell>
          <cell r="CA373">
            <v>0</v>
          </cell>
          <cell r="CB373">
            <v>0</v>
          </cell>
          <cell r="CC373">
            <v>1096461</v>
          </cell>
          <cell r="CD373">
            <v>5193782</v>
          </cell>
          <cell r="CE373">
            <v>52357</v>
          </cell>
          <cell r="CF373">
            <v>-17913</v>
          </cell>
          <cell r="CG373">
            <v>52357</v>
          </cell>
          <cell r="CH373">
            <v>52357</v>
          </cell>
          <cell r="CI373">
            <v>52357</v>
          </cell>
          <cell r="CJ373">
            <v>52357</v>
          </cell>
          <cell r="CK373">
            <v>0</v>
          </cell>
          <cell r="CL373">
            <v>0</v>
          </cell>
          <cell r="CM373">
            <v>0</v>
          </cell>
          <cell r="CN373">
            <v>0</v>
          </cell>
          <cell r="CO373">
            <v>0</v>
          </cell>
          <cell r="CP373">
            <v>0</v>
          </cell>
          <cell r="CQ373">
            <v>1470280</v>
          </cell>
          <cell r="CR373">
            <v>1339173</v>
          </cell>
          <cell r="CS373">
            <v>1240565</v>
          </cell>
          <cell r="CT373">
            <v>1164533</v>
          </cell>
          <cell r="CU373">
            <v>1128076</v>
          </cell>
          <cell r="CV373">
            <v>61526</v>
          </cell>
          <cell r="CW373">
            <v>0</v>
          </cell>
          <cell r="CX373">
            <v>0</v>
          </cell>
          <cell r="CY373">
            <v>0</v>
          </cell>
          <cell r="CZ373">
            <v>0</v>
          </cell>
          <cell r="DA373">
            <v>0</v>
          </cell>
          <cell r="DC373">
            <v>0</v>
          </cell>
          <cell r="DD373">
            <v>0</v>
          </cell>
          <cell r="DE373">
            <v>0</v>
          </cell>
          <cell r="DF373">
            <v>0</v>
          </cell>
          <cell r="DG373">
            <v>0</v>
          </cell>
          <cell r="DH373">
            <v>0</v>
          </cell>
          <cell r="DI373">
            <v>0</v>
          </cell>
          <cell r="DJ373">
            <v>0</v>
          </cell>
          <cell r="DK373">
            <v>0</v>
          </cell>
          <cell r="DL373">
            <v>0</v>
          </cell>
        </row>
        <row r="374">
          <cell r="A374">
            <v>994</v>
          </cell>
          <cell r="B374" t="str">
            <v>Valkenburg aan de Geul</v>
          </cell>
          <cell r="C374">
            <v>11</v>
          </cell>
          <cell r="D374">
            <v>40826</v>
          </cell>
          <cell r="E374">
            <v>20413</v>
          </cell>
          <cell r="F374">
            <v>0</v>
          </cell>
          <cell r="G374">
            <v>0</v>
          </cell>
          <cell r="H374">
            <v>-13174</v>
          </cell>
          <cell r="I374">
            <v>-5164</v>
          </cell>
          <cell r="K374">
            <v>0</v>
          </cell>
          <cell r="L374">
            <v>59211</v>
          </cell>
          <cell r="M374">
            <v>59518</v>
          </cell>
          <cell r="N374">
            <v>0</v>
          </cell>
          <cell r="O374">
            <v>0</v>
          </cell>
          <cell r="P374">
            <v>0</v>
          </cell>
          <cell r="Q374">
            <v>0</v>
          </cell>
          <cell r="R374">
            <v>0</v>
          </cell>
          <cell r="S374">
            <v>0</v>
          </cell>
          <cell r="T374">
            <v>0</v>
          </cell>
          <cell r="U374">
            <v>0</v>
          </cell>
          <cell r="V374">
            <v>0</v>
          </cell>
          <cell r="W374">
            <v>40407</v>
          </cell>
          <cell r="X374">
            <v>0</v>
          </cell>
          <cell r="Z374">
            <v>0</v>
          </cell>
          <cell r="AA374">
            <v>0</v>
          </cell>
          <cell r="AB374">
            <v>0</v>
          </cell>
          <cell r="AD374">
            <v>51823</v>
          </cell>
          <cell r="AE374">
            <v>0</v>
          </cell>
          <cell r="AF374">
            <v>0</v>
          </cell>
          <cell r="AG374">
            <v>0</v>
          </cell>
          <cell r="AH374">
            <v>0</v>
          </cell>
          <cell r="AI374">
            <v>0</v>
          </cell>
          <cell r="AJ374">
            <v>0</v>
          </cell>
          <cell r="AK374">
            <v>0</v>
          </cell>
          <cell r="AM374">
            <v>0</v>
          </cell>
          <cell r="AN374">
            <v>0</v>
          </cell>
          <cell r="AO374">
            <v>0</v>
          </cell>
          <cell r="AP374">
            <v>0</v>
          </cell>
          <cell r="AQ374">
            <v>0</v>
          </cell>
          <cell r="AR374">
            <v>0</v>
          </cell>
          <cell r="AS374">
            <v>0</v>
          </cell>
          <cell r="AT374">
            <v>0</v>
          </cell>
          <cell r="AU374">
            <v>2370</v>
          </cell>
          <cell r="AV374">
            <v>0</v>
          </cell>
          <cell r="AW374">
            <v>0</v>
          </cell>
          <cell r="AX374">
            <v>0</v>
          </cell>
          <cell r="BA374">
            <v>0</v>
          </cell>
          <cell r="BC374">
            <v>0</v>
          </cell>
          <cell r="BD374">
            <v>5771</v>
          </cell>
          <cell r="BF374">
            <v>0</v>
          </cell>
          <cell r="BG374">
            <v>0</v>
          </cell>
          <cell r="BH374">
            <v>0</v>
          </cell>
          <cell r="BI374">
            <v>31076</v>
          </cell>
          <cell r="BJ374">
            <v>25581</v>
          </cell>
          <cell r="BK374">
            <v>25581</v>
          </cell>
          <cell r="BL374">
            <v>0</v>
          </cell>
          <cell r="BM374">
            <v>0</v>
          </cell>
          <cell r="BN374">
            <v>0</v>
          </cell>
          <cell r="BO374">
            <v>31618</v>
          </cell>
          <cell r="BP374">
            <v>1581.4</v>
          </cell>
          <cell r="BQ374">
            <v>2848.8372093023299</v>
          </cell>
          <cell r="BR374">
            <v>0</v>
          </cell>
          <cell r="BS374">
            <v>0</v>
          </cell>
          <cell r="BT374">
            <v>25832</v>
          </cell>
          <cell r="BY374">
            <v>0</v>
          </cell>
          <cell r="BZ374">
            <v>0</v>
          </cell>
          <cell r="CA374">
            <v>0</v>
          </cell>
          <cell r="CB374">
            <v>0</v>
          </cell>
          <cell r="CC374">
            <v>1720024</v>
          </cell>
          <cell r="CD374">
            <v>7731428</v>
          </cell>
          <cell r="CE374">
            <v>475464</v>
          </cell>
          <cell r="CF374">
            <v>-12530</v>
          </cell>
          <cell r="CG374">
            <v>475464</v>
          </cell>
          <cell r="CH374">
            <v>475464</v>
          </cell>
          <cell r="CI374">
            <v>475464</v>
          </cell>
          <cell r="CJ374">
            <v>475464</v>
          </cell>
          <cell r="CK374">
            <v>0</v>
          </cell>
          <cell r="CL374">
            <v>0</v>
          </cell>
          <cell r="CM374">
            <v>0</v>
          </cell>
          <cell r="CN374">
            <v>0</v>
          </cell>
          <cell r="CO374">
            <v>0</v>
          </cell>
          <cell r="CP374">
            <v>0</v>
          </cell>
          <cell r="CQ374">
            <v>1682989</v>
          </cell>
          <cell r="CR374">
            <v>1629944</v>
          </cell>
          <cell r="CS374">
            <v>1589090</v>
          </cell>
          <cell r="CT374">
            <v>1549854</v>
          </cell>
          <cell r="CU374">
            <v>1547684</v>
          </cell>
          <cell r="CV374">
            <v>8995</v>
          </cell>
          <cell r="CW374">
            <v>0</v>
          </cell>
          <cell r="CX374">
            <v>0</v>
          </cell>
          <cell r="CY374">
            <v>0</v>
          </cell>
          <cell r="CZ374">
            <v>0</v>
          </cell>
          <cell r="DA374">
            <v>0</v>
          </cell>
          <cell r="DC374">
            <v>0</v>
          </cell>
          <cell r="DD374">
            <v>0</v>
          </cell>
          <cell r="DE374">
            <v>0</v>
          </cell>
          <cell r="DF374">
            <v>0</v>
          </cell>
          <cell r="DG374">
            <v>0</v>
          </cell>
          <cell r="DH374">
            <v>0</v>
          </cell>
          <cell r="DI374">
            <v>0</v>
          </cell>
          <cell r="DJ374">
            <v>0</v>
          </cell>
          <cell r="DK374">
            <v>0</v>
          </cell>
          <cell r="DL374">
            <v>0</v>
          </cell>
        </row>
        <row r="375">
          <cell r="A375">
            <v>983</v>
          </cell>
          <cell r="B375" t="str">
            <v>Venlo</v>
          </cell>
          <cell r="C375">
            <v>11</v>
          </cell>
          <cell r="D375">
            <v>303657</v>
          </cell>
          <cell r="E375">
            <v>151828</v>
          </cell>
          <cell r="F375">
            <v>0</v>
          </cell>
          <cell r="G375">
            <v>932897</v>
          </cell>
          <cell r="H375">
            <v>-81847</v>
          </cell>
          <cell r="I375">
            <v>0</v>
          </cell>
          <cell r="K375">
            <v>7500</v>
          </cell>
          <cell r="L375">
            <v>612761</v>
          </cell>
          <cell r="M375">
            <v>602587</v>
          </cell>
          <cell r="N375">
            <v>0</v>
          </cell>
          <cell r="O375">
            <v>0</v>
          </cell>
          <cell r="P375">
            <v>150000</v>
          </cell>
          <cell r="Q375">
            <v>0</v>
          </cell>
          <cell r="R375">
            <v>0</v>
          </cell>
          <cell r="S375">
            <v>841557</v>
          </cell>
          <cell r="T375">
            <v>841557</v>
          </cell>
          <cell r="U375">
            <v>841557</v>
          </cell>
          <cell r="V375">
            <v>9000</v>
          </cell>
          <cell r="W375">
            <v>372040</v>
          </cell>
          <cell r="X375">
            <v>0</v>
          </cell>
          <cell r="Z375">
            <v>0</v>
          </cell>
          <cell r="AA375">
            <v>0</v>
          </cell>
          <cell r="AB375">
            <v>0</v>
          </cell>
          <cell r="AD375">
            <v>186759</v>
          </cell>
          <cell r="AE375">
            <v>0</v>
          </cell>
          <cell r="AF375">
            <v>0</v>
          </cell>
          <cell r="AG375">
            <v>0</v>
          </cell>
          <cell r="AH375">
            <v>0</v>
          </cell>
          <cell r="AI375">
            <v>0</v>
          </cell>
          <cell r="AJ375">
            <v>0</v>
          </cell>
          <cell r="AK375">
            <v>424462</v>
          </cell>
          <cell r="AM375">
            <v>0</v>
          </cell>
          <cell r="AN375">
            <v>0</v>
          </cell>
          <cell r="AO375">
            <v>0</v>
          </cell>
          <cell r="AP375">
            <v>0</v>
          </cell>
          <cell r="AQ375">
            <v>0</v>
          </cell>
          <cell r="AR375">
            <v>0</v>
          </cell>
          <cell r="AS375">
            <v>0</v>
          </cell>
          <cell r="AT375">
            <v>20000</v>
          </cell>
          <cell r="AU375">
            <v>4740</v>
          </cell>
          <cell r="AV375">
            <v>8198850.0365822604</v>
          </cell>
          <cell r="AW375">
            <v>174630</v>
          </cell>
          <cell r="AX375">
            <v>0</v>
          </cell>
          <cell r="BA375">
            <v>0</v>
          </cell>
          <cell r="BC375">
            <v>0</v>
          </cell>
          <cell r="BD375">
            <v>35475</v>
          </cell>
          <cell r="BF375">
            <v>0</v>
          </cell>
          <cell r="BG375">
            <v>0</v>
          </cell>
          <cell r="BH375">
            <v>0</v>
          </cell>
          <cell r="BI375">
            <v>203509</v>
          </cell>
          <cell r="BJ375">
            <v>167518</v>
          </cell>
          <cell r="BK375">
            <v>167518</v>
          </cell>
          <cell r="BL375">
            <v>0</v>
          </cell>
          <cell r="BM375">
            <v>0</v>
          </cell>
          <cell r="BN375">
            <v>214060</v>
          </cell>
          <cell r="BO375">
            <v>347796</v>
          </cell>
          <cell r="BP375">
            <v>25302.400000000001</v>
          </cell>
          <cell r="BQ375">
            <v>45581.395348837199</v>
          </cell>
          <cell r="BR375">
            <v>0</v>
          </cell>
          <cell r="BS375">
            <v>0</v>
          </cell>
          <cell r="BT375">
            <v>176663</v>
          </cell>
          <cell r="BY375">
            <v>2910725.8812301802</v>
          </cell>
          <cell r="BZ375">
            <v>3374211.1383047402</v>
          </cell>
          <cell r="CA375">
            <v>3413805.3562457799</v>
          </cell>
          <cell r="CB375">
            <v>3525600.7951381402</v>
          </cell>
          <cell r="CC375">
            <v>9863520</v>
          </cell>
          <cell r="CD375">
            <v>101565056</v>
          </cell>
          <cell r="CE375">
            <v>4098233</v>
          </cell>
          <cell r="CF375">
            <v>0</v>
          </cell>
          <cell r="CG375">
            <v>4098233</v>
          </cell>
          <cell r="CH375">
            <v>4098233</v>
          </cell>
          <cell r="CI375">
            <v>4098233</v>
          </cell>
          <cell r="CJ375">
            <v>4098233</v>
          </cell>
          <cell r="CK375">
            <v>46542823</v>
          </cell>
          <cell r="CL375">
            <v>46519553</v>
          </cell>
          <cell r="CM375">
            <v>46519177</v>
          </cell>
          <cell r="CN375">
            <v>46518349</v>
          </cell>
          <cell r="CO375">
            <v>46519496</v>
          </cell>
          <cell r="CP375">
            <v>0</v>
          </cell>
          <cell r="CQ375">
            <v>14114715</v>
          </cell>
          <cell r="CR375">
            <v>13368629</v>
          </cell>
          <cell r="CS375">
            <v>12995678</v>
          </cell>
          <cell r="CT375">
            <v>12619299</v>
          </cell>
          <cell r="CU375">
            <v>12230470</v>
          </cell>
          <cell r="CV375">
            <v>-124867</v>
          </cell>
          <cell r="CW375">
            <v>0</v>
          </cell>
          <cell r="CX375">
            <v>0</v>
          </cell>
          <cell r="CY375">
            <v>0</v>
          </cell>
          <cell r="CZ375">
            <v>0</v>
          </cell>
          <cell r="DA375">
            <v>0</v>
          </cell>
          <cell r="DC375">
            <v>0</v>
          </cell>
          <cell r="DD375">
            <v>1100000</v>
          </cell>
          <cell r="DE375">
            <v>833000</v>
          </cell>
          <cell r="DF375">
            <v>0</v>
          </cell>
          <cell r="DG375">
            <v>0</v>
          </cell>
          <cell r="DH375">
            <v>0</v>
          </cell>
          <cell r="DI375">
            <v>0</v>
          </cell>
          <cell r="DJ375">
            <v>0</v>
          </cell>
          <cell r="DK375">
            <v>0</v>
          </cell>
          <cell r="DL375">
            <v>0</v>
          </cell>
        </row>
        <row r="376">
          <cell r="A376">
            <v>984</v>
          </cell>
          <cell r="B376" t="str">
            <v>Venray</v>
          </cell>
          <cell r="C376">
            <v>11</v>
          </cell>
          <cell r="D376">
            <v>45742</v>
          </cell>
          <cell r="E376">
            <v>22871</v>
          </cell>
          <cell r="F376">
            <v>0</v>
          </cell>
          <cell r="G376">
            <v>438486</v>
          </cell>
          <cell r="H376">
            <v>-46185</v>
          </cell>
          <cell r="I376">
            <v>-23106</v>
          </cell>
          <cell r="K376">
            <v>0</v>
          </cell>
          <cell r="L376">
            <v>228308</v>
          </cell>
          <cell r="M376">
            <v>222598</v>
          </cell>
          <cell r="N376">
            <v>0</v>
          </cell>
          <cell r="O376">
            <v>0</v>
          </cell>
          <cell r="P376">
            <v>0</v>
          </cell>
          <cell r="Q376">
            <v>0</v>
          </cell>
          <cell r="R376">
            <v>0</v>
          </cell>
          <cell r="S376">
            <v>0</v>
          </cell>
          <cell r="T376">
            <v>0</v>
          </cell>
          <cell r="U376">
            <v>0</v>
          </cell>
          <cell r="V376">
            <v>30000</v>
          </cell>
          <cell r="W376">
            <v>177078</v>
          </cell>
          <cell r="X376">
            <v>0</v>
          </cell>
          <cell r="Z376">
            <v>0</v>
          </cell>
          <cell r="AA376">
            <v>0</v>
          </cell>
          <cell r="AB376">
            <v>0</v>
          </cell>
          <cell r="AD376">
            <v>36178</v>
          </cell>
          <cell r="AE376">
            <v>0</v>
          </cell>
          <cell r="AF376">
            <v>0</v>
          </cell>
          <cell r="AG376">
            <v>0</v>
          </cell>
          <cell r="AH376">
            <v>0</v>
          </cell>
          <cell r="AI376">
            <v>0</v>
          </cell>
          <cell r="AJ376">
            <v>0</v>
          </cell>
          <cell r="AK376">
            <v>0</v>
          </cell>
          <cell r="AM376">
            <v>0</v>
          </cell>
          <cell r="AN376">
            <v>0</v>
          </cell>
          <cell r="AO376">
            <v>0</v>
          </cell>
          <cell r="AP376">
            <v>0</v>
          </cell>
          <cell r="AQ376">
            <v>0</v>
          </cell>
          <cell r="AR376">
            <v>0</v>
          </cell>
          <cell r="AS376">
            <v>0</v>
          </cell>
          <cell r="AT376">
            <v>0</v>
          </cell>
          <cell r="AU376">
            <v>7110</v>
          </cell>
          <cell r="AV376">
            <v>0</v>
          </cell>
          <cell r="AW376">
            <v>0</v>
          </cell>
          <cell r="AX376">
            <v>0</v>
          </cell>
          <cell r="BA376">
            <v>0</v>
          </cell>
          <cell r="BC376">
            <v>0</v>
          </cell>
          <cell r="BD376">
            <v>15293</v>
          </cell>
          <cell r="BF376">
            <v>0</v>
          </cell>
          <cell r="BG376">
            <v>0</v>
          </cell>
          <cell r="BH376">
            <v>0</v>
          </cell>
          <cell r="BI376">
            <v>65396</v>
          </cell>
          <cell r="BJ376">
            <v>53830</v>
          </cell>
          <cell r="BK376">
            <v>53830</v>
          </cell>
          <cell r="BL376">
            <v>0</v>
          </cell>
          <cell r="BM376">
            <v>0</v>
          </cell>
          <cell r="BN376">
            <v>0</v>
          </cell>
          <cell r="BO376">
            <v>379900</v>
          </cell>
          <cell r="BP376">
            <v>33209.4</v>
          </cell>
          <cell r="BQ376">
            <v>59825.581395348803</v>
          </cell>
          <cell r="BR376">
            <v>0</v>
          </cell>
          <cell r="BS376">
            <v>0</v>
          </cell>
          <cell r="BT376">
            <v>77240</v>
          </cell>
          <cell r="BY376">
            <v>0</v>
          </cell>
          <cell r="BZ376">
            <v>0</v>
          </cell>
          <cell r="CA376">
            <v>0</v>
          </cell>
          <cell r="CB376">
            <v>0</v>
          </cell>
          <cell r="CC376">
            <v>3600973</v>
          </cell>
          <cell r="CD376">
            <v>27505621</v>
          </cell>
          <cell r="CE376">
            <v>1177796</v>
          </cell>
          <cell r="CF376">
            <v>-2492</v>
          </cell>
          <cell r="CG376">
            <v>1177796</v>
          </cell>
          <cell r="CH376">
            <v>1177796</v>
          </cell>
          <cell r="CI376">
            <v>1177796</v>
          </cell>
          <cell r="CJ376">
            <v>1177796</v>
          </cell>
          <cell r="CK376">
            <v>0</v>
          </cell>
          <cell r="CL376">
            <v>0</v>
          </cell>
          <cell r="CM376">
            <v>0</v>
          </cell>
          <cell r="CN376">
            <v>0</v>
          </cell>
          <cell r="CO376">
            <v>0</v>
          </cell>
          <cell r="CP376">
            <v>-7957</v>
          </cell>
          <cell r="CQ376">
            <v>10376639</v>
          </cell>
          <cell r="CR376">
            <v>9721091</v>
          </cell>
          <cell r="CS376">
            <v>9374608</v>
          </cell>
          <cell r="CT376">
            <v>9046999</v>
          </cell>
          <cell r="CU376">
            <v>8692075</v>
          </cell>
          <cell r="CV376">
            <v>-2069</v>
          </cell>
          <cell r="CW376">
            <v>0</v>
          </cell>
          <cell r="CX376">
            <v>0</v>
          </cell>
          <cell r="CY376">
            <v>0</v>
          </cell>
          <cell r="CZ376">
            <v>0</v>
          </cell>
          <cell r="DA376">
            <v>0</v>
          </cell>
          <cell r="DC376">
            <v>0</v>
          </cell>
          <cell r="DD376">
            <v>0</v>
          </cell>
          <cell r="DE376">
            <v>0</v>
          </cell>
          <cell r="DF376">
            <v>0</v>
          </cell>
          <cell r="DG376">
            <v>0</v>
          </cell>
          <cell r="DH376">
            <v>0</v>
          </cell>
          <cell r="DI376">
            <v>0</v>
          </cell>
          <cell r="DJ376">
            <v>0</v>
          </cell>
          <cell r="DK376">
            <v>0</v>
          </cell>
          <cell r="DL376">
            <v>0</v>
          </cell>
        </row>
        <row r="377">
          <cell r="A377">
            <v>986</v>
          </cell>
          <cell r="B377" t="str">
            <v>Voerendaal</v>
          </cell>
          <cell r="C377">
            <v>11</v>
          </cell>
          <cell r="D377">
            <v>-5197</v>
          </cell>
          <cell r="E377">
            <v>-2598</v>
          </cell>
          <cell r="F377">
            <v>0</v>
          </cell>
          <cell r="G377">
            <v>0</v>
          </cell>
          <cell r="H377">
            <v>18425</v>
          </cell>
          <cell r="I377">
            <v>0</v>
          </cell>
          <cell r="K377">
            <v>0</v>
          </cell>
          <cell r="L377">
            <v>48885</v>
          </cell>
          <cell r="M377">
            <v>38996</v>
          </cell>
          <cell r="N377">
            <v>0</v>
          </cell>
          <cell r="O377">
            <v>0</v>
          </cell>
          <cell r="P377">
            <v>0</v>
          </cell>
          <cell r="Q377">
            <v>0</v>
          </cell>
          <cell r="R377">
            <v>0</v>
          </cell>
          <cell r="S377">
            <v>0</v>
          </cell>
          <cell r="T377">
            <v>0</v>
          </cell>
          <cell r="U377">
            <v>0</v>
          </cell>
          <cell r="V377">
            <v>0</v>
          </cell>
          <cell r="W377">
            <v>45484</v>
          </cell>
          <cell r="X377">
            <v>0</v>
          </cell>
          <cell r="Z377">
            <v>0</v>
          </cell>
          <cell r="AA377">
            <v>0</v>
          </cell>
          <cell r="AB377">
            <v>0</v>
          </cell>
          <cell r="AD377">
            <v>0</v>
          </cell>
          <cell r="AE377">
            <v>0</v>
          </cell>
          <cell r="AF377">
            <v>0</v>
          </cell>
          <cell r="AG377">
            <v>0</v>
          </cell>
          <cell r="AH377">
            <v>0</v>
          </cell>
          <cell r="AI377">
            <v>0</v>
          </cell>
          <cell r="AJ377">
            <v>0</v>
          </cell>
          <cell r="AK377">
            <v>0</v>
          </cell>
          <cell r="AM377">
            <v>0</v>
          </cell>
          <cell r="AN377">
            <v>0</v>
          </cell>
          <cell r="AO377">
            <v>0</v>
          </cell>
          <cell r="AP377">
            <v>0</v>
          </cell>
          <cell r="AQ377">
            <v>0</v>
          </cell>
          <cell r="AR377">
            <v>0</v>
          </cell>
          <cell r="AS377">
            <v>0</v>
          </cell>
          <cell r="AT377">
            <v>0</v>
          </cell>
          <cell r="AU377">
            <v>0</v>
          </cell>
          <cell r="AV377">
            <v>0</v>
          </cell>
          <cell r="AW377">
            <v>0</v>
          </cell>
          <cell r="AX377">
            <v>0</v>
          </cell>
          <cell r="BA377">
            <v>0</v>
          </cell>
          <cell r="BC377">
            <v>0</v>
          </cell>
          <cell r="BD377">
            <v>4375</v>
          </cell>
          <cell r="BF377">
            <v>0</v>
          </cell>
          <cell r="BG377">
            <v>0</v>
          </cell>
          <cell r="BH377">
            <v>0</v>
          </cell>
          <cell r="BI377">
            <v>14233</v>
          </cell>
          <cell r="BJ377">
            <v>11716</v>
          </cell>
          <cell r="BK377">
            <v>11716</v>
          </cell>
          <cell r="BL377">
            <v>0</v>
          </cell>
          <cell r="BM377">
            <v>0</v>
          </cell>
          <cell r="BN377">
            <v>0</v>
          </cell>
          <cell r="BO377">
            <v>16052</v>
          </cell>
          <cell r="BP377">
            <v>0</v>
          </cell>
          <cell r="BQ377">
            <v>0</v>
          </cell>
          <cell r="BR377">
            <v>0</v>
          </cell>
          <cell r="BS377">
            <v>0</v>
          </cell>
          <cell r="BT377">
            <v>20059</v>
          </cell>
          <cell r="BY377">
            <v>0</v>
          </cell>
          <cell r="BZ377">
            <v>0</v>
          </cell>
          <cell r="CA377">
            <v>0</v>
          </cell>
          <cell r="CB377">
            <v>0</v>
          </cell>
          <cell r="CC377">
            <v>1076622</v>
          </cell>
          <cell r="CD377">
            <v>5529260</v>
          </cell>
          <cell r="CE377">
            <v>269792</v>
          </cell>
          <cell r="CF377">
            <v>0</v>
          </cell>
          <cell r="CG377">
            <v>269792</v>
          </cell>
          <cell r="CH377">
            <v>269792</v>
          </cell>
          <cell r="CI377">
            <v>269792</v>
          </cell>
          <cell r="CJ377">
            <v>269792</v>
          </cell>
          <cell r="CK377">
            <v>0</v>
          </cell>
          <cell r="CL377">
            <v>0</v>
          </cell>
          <cell r="CM377">
            <v>0</v>
          </cell>
          <cell r="CN377">
            <v>0</v>
          </cell>
          <cell r="CO377">
            <v>0</v>
          </cell>
          <cell r="CP377">
            <v>0</v>
          </cell>
          <cell r="CQ377">
            <v>1446598</v>
          </cell>
          <cell r="CR377">
            <v>1313129</v>
          </cell>
          <cell r="CS377">
            <v>1241475</v>
          </cell>
          <cell r="CT377">
            <v>1123417</v>
          </cell>
          <cell r="CU377">
            <v>1077767</v>
          </cell>
          <cell r="CV377">
            <v>1872</v>
          </cell>
          <cell r="CW377">
            <v>0</v>
          </cell>
          <cell r="CX377">
            <v>0</v>
          </cell>
          <cell r="CY377">
            <v>0</v>
          </cell>
          <cell r="CZ377">
            <v>0</v>
          </cell>
          <cell r="DA377">
            <v>0</v>
          </cell>
          <cell r="DC377">
            <v>0</v>
          </cell>
          <cell r="DD377">
            <v>0</v>
          </cell>
          <cell r="DE377">
            <v>0</v>
          </cell>
          <cell r="DF377">
            <v>0</v>
          </cell>
          <cell r="DG377">
            <v>0</v>
          </cell>
          <cell r="DH377">
            <v>0</v>
          </cell>
          <cell r="DI377">
            <v>0</v>
          </cell>
          <cell r="DJ377">
            <v>0</v>
          </cell>
          <cell r="DK377">
            <v>0</v>
          </cell>
          <cell r="DL377">
            <v>0</v>
          </cell>
        </row>
        <row r="378">
          <cell r="A378">
            <v>988</v>
          </cell>
          <cell r="B378" t="str">
            <v>Weert</v>
          </cell>
          <cell r="C378">
            <v>11</v>
          </cell>
          <cell r="D378">
            <v>-19158</v>
          </cell>
          <cell r="E378">
            <v>-9579</v>
          </cell>
          <cell r="F378">
            <v>0</v>
          </cell>
          <cell r="G378">
            <v>0</v>
          </cell>
          <cell r="H378">
            <v>-33746</v>
          </cell>
          <cell r="I378">
            <v>-9997</v>
          </cell>
          <cell r="K378">
            <v>0</v>
          </cell>
          <cell r="L378">
            <v>211178</v>
          </cell>
          <cell r="M378">
            <v>207124</v>
          </cell>
          <cell r="N378">
            <v>0</v>
          </cell>
          <cell r="O378">
            <v>0</v>
          </cell>
          <cell r="P378">
            <v>0</v>
          </cell>
          <cell r="Q378">
            <v>0</v>
          </cell>
          <cell r="R378">
            <v>0</v>
          </cell>
          <cell r="S378">
            <v>0</v>
          </cell>
          <cell r="T378">
            <v>0</v>
          </cell>
          <cell r="U378">
            <v>0</v>
          </cell>
          <cell r="V378">
            <v>3000</v>
          </cell>
          <cell r="W378">
            <v>181549</v>
          </cell>
          <cell r="X378">
            <v>0</v>
          </cell>
          <cell r="Z378">
            <v>0</v>
          </cell>
          <cell r="AA378">
            <v>0</v>
          </cell>
          <cell r="AB378">
            <v>0</v>
          </cell>
          <cell r="AD378">
            <v>33248</v>
          </cell>
          <cell r="AE378">
            <v>0</v>
          </cell>
          <cell r="AF378">
            <v>0</v>
          </cell>
          <cell r="AG378">
            <v>0</v>
          </cell>
          <cell r="AH378">
            <v>0</v>
          </cell>
          <cell r="AI378">
            <v>0</v>
          </cell>
          <cell r="AJ378">
            <v>0</v>
          </cell>
          <cell r="AK378">
            <v>0</v>
          </cell>
          <cell r="AM378">
            <v>0</v>
          </cell>
          <cell r="AN378">
            <v>0</v>
          </cell>
          <cell r="AO378">
            <v>0</v>
          </cell>
          <cell r="AP378">
            <v>0</v>
          </cell>
          <cell r="AQ378">
            <v>0</v>
          </cell>
          <cell r="AR378">
            <v>0</v>
          </cell>
          <cell r="AS378">
            <v>0</v>
          </cell>
          <cell r="AT378">
            <v>0</v>
          </cell>
          <cell r="AU378">
            <v>4740</v>
          </cell>
          <cell r="AV378">
            <v>0</v>
          </cell>
          <cell r="AW378">
            <v>0</v>
          </cell>
          <cell r="AX378">
            <v>0</v>
          </cell>
          <cell r="BA378">
            <v>0</v>
          </cell>
          <cell r="BC378">
            <v>0</v>
          </cell>
          <cell r="BD378">
            <v>17402</v>
          </cell>
          <cell r="BF378">
            <v>0</v>
          </cell>
          <cell r="BG378">
            <v>0</v>
          </cell>
          <cell r="BH378">
            <v>0</v>
          </cell>
          <cell r="BI378">
            <v>82019</v>
          </cell>
          <cell r="BJ378">
            <v>67514</v>
          </cell>
          <cell r="BK378">
            <v>67514</v>
          </cell>
          <cell r="BL378">
            <v>0</v>
          </cell>
          <cell r="BM378">
            <v>0</v>
          </cell>
          <cell r="BN378">
            <v>0</v>
          </cell>
          <cell r="BO378">
            <v>229108</v>
          </cell>
          <cell r="BP378">
            <v>23721</v>
          </cell>
          <cell r="BQ378">
            <v>42732.5581395349</v>
          </cell>
          <cell r="BR378">
            <v>0</v>
          </cell>
          <cell r="BS378">
            <v>0</v>
          </cell>
          <cell r="BT378">
            <v>76289</v>
          </cell>
          <cell r="BY378">
            <v>0</v>
          </cell>
          <cell r="BZ378">
            <v>0</v>
          </cell>
          <cell r="CA378">
            <v>0</v>
          </cell>
          <cell r="CB378">
            <v>0</v>
          </cell>
          <cell r="CC378">
            <v>4516511</v>
          </cell>
          <cell r="CD378">
            <v>27270203</v>
          </cell>
          <cell r="CE378">
            <v>1758548</v>
          </cell>
          <cell r="CF378">
            <v>0</v>
          </cell>
          <cell r="CG378">
            <v>1758548</v>
          </cell>
          <cell r="CH378">
            <v>1758548</v>
          </cell>
          <cell r="CI378">
            <v>1758548</v>
          </cell>
          <cell r="CJ378">
            <v>1758548</v>
          </cell>
          <cell r="CK378">
            <v>0</v>
          </cell>
          <cell r="CL378">
            <v>0</v>
          </cell>
          <cell r="CM378">
            <v>0</v>
          </cell>
          <cell r="CN378">
            <v>0</v>
          </cell>
          <cell r="CO378">
            <v>0</v>
          </cell>
          <cell r="CP378">
            <v>-3597</v>
          </cell>
          <cell r="CQ378">
            <v>8767951</v>
          </cell>
          <cell r="CR378">
            <v>8336688</v>
          </cell>
          <cell r="CS378">
            <v>8061679</v>
          </cell>
          <cell r="CT378">
            <v>7765639</v>
          </cell>
          <cell r="CU378">
            <v>7446568</v>
          </cell>
          <cell r="CV378">
            <v>94720</v>
          </cell>
          <cell r="CW378">
            <v>0</v>
          </cell>
          <cell r="CX378">
            <v>0</v>
          </cell>
          <cell r="CY378">
            <v>0</v>
          </cell>
          <cell r="CZ378">
            <v>0</v>
          </cell>
          <cell r="DA378">
            <v>0</v>
          </cell>
          <cell r="DC378">
            <v>0</v>
          </cell>
          <cell r="DD378">
            <v>0</v>
          </cell>
          <cell r="DE378">
            <v>0</v>
          </cell>
          <cell r="DF378">
            <v>0</v>
          </cell>
          <cell r="DG378">
            <v>0</v>
          </cell>
          <cell r="DH378">
            <v>0</v>
          </cell>
          <cell r="DI378">
            <v>0</v>
          </cell>
          <cell r="DJ378">
            <v>0</v>
          </cell>
          <cell r="DK378">
            <v>0</v>
          </cell>
          <cell r="DL378">
            <v>0</v>
          </cell>
        </row>
        <row r="379">
          <cell r="A379">
            <v>34</v>
          </cell>
          <cell r="B379" t="str">
            <v>Almere</v>
          </cell>
          <cell r="C379">
            <v>12</v>
          </cell>
          <cell r="D379">
            <v>260859</v>
          </cell>
          <cell r="E379">
            <v>130429</v>
          </cell>
          <cell r="F379">
            <v>0</v>
          </cell>
          <cell r="G379">
            <v>0</v>
          </cell>
          <cell r="H379">
            <v>-48673</v>
          </cell>
          <cell r="I379">
            <v>-72445</v>
          </cell>
          <cell r="K379">
            <v>7500</v>
          </cell>
          <cell r="L379">
            <v>1464157</v>
          </cell>
          <cell r="M379">
            <v>1418535</v>
          </cell>
          <cell r="N379">
            <v>0</v>
          </cell>
          <cell r="O379">
            <v>0</v>
          </cell>
          <cell r="P379">
            <v>150000</v>
          </cell>
          <cell r="Q379">
            <v>0</v>
          </cell>
          <cell r="R379">
            <v>0</v>
          </cell>
          <cell r="S379">
            <v>0</v>
          </cell>
          <cell r="T379">
            <v>0</v>
          </cell>
          <cell r="U379">
            <v>0</v>
          </cell>
          <cell r="V379">
            <v>102250</v>
          </cell>
          <cell r="W379">
            <v>889668</v>
          </cell>
          <cell r="X379">
            <v>0</v>
          </cell>
          <cell r="Z379">
            <v>0</v>
          </cell>
          <cell r="AA379">
            <v>40000</v>
          </cell>
          <cell r="AB379">
            <v>0</v>
          </cell>
          <cell r="AD379">
            <v>71379</v>
          </cell>
          <cell r="AE379">
            <v>7444000</v>
          </cell>
          <cell r="AF379">
            <v>7371000</v>
          </cell>
          <cell r="AG379">
            <v>0</v>
          </cell>
          <cell r="AH379">
            <v>0</v>
          </cell>
          <cell r="AI379">
            <v>0</v>
          </cell>
          <cell r="AJ379">
            <v>0</v>
          </cell>
          <cell r="AK379">
            <v>457617</v>
          </cell>
          <cell r="AM379">
            <v>0</v>
          </cell>
          <cell r="AN379">
            <v>0</v>
          </cell>
          <cell r="AO379">
            <v>0</v>
          </cell>
          <cell r="AP379">
            <v>0</v>
          </cell>
          <cell r="AQ379">
            <v>0</v>
          </cell>
          <cell r="AR379">
            <v>0</v>
          </cell>
          <cell r="AS379">
            <v>0</v>
          </cell>
          <cell r="AT379">
            <v>0</v>
          </cell>
          <cell r="AU379">
            <v>11850</v>
          </cell>
          <cell r="AV379">
            <v>8359293.4031885797</v>
          </cell>
          <cell r="AW379">
            <v>80000</v>
          </cell>
          <cell r="AX379">
            <v>0</v>
          </cell>
          <cell r="BA379">
            <v>0</v>
          </cell>
          <cell r="BC379">
            <v>0</v>
          </cell>
          <cell r="BD379">
            <v>70528</v>
          </cell>
          <cell r="BF379">
            <v>0</v>
          </cell>
          <cell r="BG379">
            <v>0</v>
          </cell>
          <cell r="BH379">
            <v>0</v>
          </cell>
          <cell r="BI379">
            <v>254477</v>
          </cell>
          <cell r="BJ379">
            <v>209472</v>
          </cell>
          <cell r="BK379">
            <v>209472</v>
          </cell>
          <cell r="BL379">
            <v>0</v>
          </cell>
          <cell r="BM379">
            <v>0</v>
          </cell>
          <cell r="BN379">
            <v>205590</v>
          </cell>
          <cell r="BO379">
            <v>206245</v>
          </cell>
          <cell r="BP379">
            <v>86977</v>
          </cell>
          <cell r="BQ379">
            <v>156686.046511628</v>
          </cell>
          <cell r="BR379">
            <v>0</v>
          </cell>
          <cell r="BS379">
            <v>0</v>
          </cell>
          <cell r="BT379">
            <v>382982</v>
          </cell>
          <cell r="BY379">
            <v>3185249.83123283</v>
          </cell>
          <cell r="BZ379">
            <v>3689930.4279300701</v>
          </cell>
          <cell r="CA379">
            <v>3733043.8457383802</v>
          </cell>
          <cell r="CB379">
            <v>3854775.8489618301</v>
          </cell>
          <cell r="CC379">
            <v>9831386</v>
          </cell>
          <cell r="CD379">
            <v>143095341</v>
          </cell>
          <cell r="CE379">
            <v>11202246</v>
          </cell>
          <cell r="CF379">
            <v>0</v>
          </cell>
          <cell r="CG379">
            <v>11202246</v>
          </cell>
          <cell r="CH379">
            <v>11202246</v>
          </cell>
          <cell r="CI379">
            <v>11202246</v>
          </cell>
          <cell r="CJ379">
            <v>11202246</v>
          </cell>
          <cell r="CK379">
            <v>46849361</v>
          </cell>
          <cell r="CL379">
            <v>46826390</v>
          </cell>
          <cell r="CM379">
            <v>46826018</v>
          </cell>
          <cell r="CN379">
            <v>46825201</v>
          </cell>
          <cell r="CO379">
            <v>46826334</v>
          </cell>
          <cell r="CP379">
            <v>-26048</v>
          </cell>
          <cell r="CQ379">
            <v>10583093</v>
          </cell>
          <cell r="CR379">
            <v>10204595</v>
          </cell>
          <cell r="CS379">
            <v>10024382</v>
          </cell>
          <cell r="CT379">
            <v>9915747</v>
          </cell>
          <cell r="CU379">
            <v>9835568</v>
          </cell>
          <cell r="CV379">
            <v>-212665</v>
          </cell>
          <cell r="CW379">
            <v>100000</v>
          </cell>
          <cell r="CX379">
            <v>0</v>
          </cell>
          <cell r="CY379">
            <v>0</v>
          </cell>
          <cell r="CZ379">
            <v>0</v>
          </cell>
          <cell r="DA379">
            <v>0</v>
          </cell>
          <cell r="DC379">
            <v>380000</v>
          </cell>
          <cell r="DD379">
            <v>0</v>
          </cell>
          <cell r="DE379">
            <v>0</v>
          </cell>
          <cell r="DF379">
            <v>0</v>
          </cell>
          <cell r="DG379">
            <v>0</v>
          </cell>
          <cell r="DH379">
            <v>0</v>
          </cell>
          <cell r="DI379">
            <v>0</v>
          </cell>
          <cell r="DJ379">
            <v>0</v>
          </cell>
          <cell r="DK379">
            <v>0</v>
          </cell>
          <cell r="DL379">
            <v>0</v>
          </cell>
        </row>
        <row r="380">
          <cell r="A380">
            <v>303</v>
          </cell>
          <cell r="B380" t="str">
            <v>Dronten</v>
          </cell>
          <cell r="C380">
            <v>12</v>
          </cell>
          <cell r="D380">
            <v>32485</v>
          </cell>
          <cell r="E380">
            <v>16242</v>
          </cell>
          <cell r="F380">
            <v>0</v>
          </cell>
          <cell r="G380">
            <v>0</v>
          </cell>
          <cell r="H380">
            <v>0</v>
          </cell>
          <cell r="I380">
            <v>-4124</v>
          </cell>
          <cell r="K380">
            <v>0</v>
          </cell>
          <cell r="L380">
            <v>200792</v>
          </cell>
          <cell r="M380">
            <v>200910</v>
          </cell>
          <cell r="N380">
            <v>0</v>
          </cell>
          <cell r="O380">
            <v>0</v>
          </cell>
          <cell r="P380">
            <v>0</v>
          </cell>
          <cell r="Q380">
            <v>0</v>
          </cell>
          <cell r="R380">
            <v>0</v>
          </cell>
          <cell r="S380">
            <v>0</v>
          </cell>
          <cell r="T380">
            <v>0</v>
          </cell>
          <cell r="U380">
            <v>0</v>
          </cell>
          <cell r="V380">
            <v>12000</v>
          </cell>
          <cell r="W380">
            <v>176107</v>
          </cell>
          <cell r="X380">
            <v>0</v>
          </cell>
          <cell r="Z380">
            <v>0</v>
          </cell>
          <cell r="AA380">
            <v>0</v>
          </cell>
          <cell r="AB380">
            <v>0</v>
          </cell>
          <cell r="AD380">
            <v>94846</v>
          </cell>
          <cell r="AE380">
            <v>0</v>
          </cell>
          <cell r="AF380">
            <v>0</v>
          </cell>
          <cell r="AG380">
            <v>0</v>
          </cell>
          <cell r="AH380">
            <v>0</v>
          </cell>
          <cell r="AI380">
            <v>0</v>
          </cell>
          <cell r="AJ380">
            <v>0</v>
          </cell>
          <cell r="AK380">
            <v>0</v>
          </cell>
          <cell r="AM380">
            <v>0</v>
          </cell>
          <cell r="AN380">
            <v>0</v>
          </cell>
          <cell r="AO380">
            <v>0</v>
          </cell>
          <cell r="AP380">
            <v>0</v>
          </cell>
          <cell r="AQ380">
            <v>0</v>
          </cell>
          <cell r="AR380">
            <v>0</v>
          </cell>
          <cell r="AS380">
            <v>0</v>
          </cell>
          <cell r="AT380">
            <v>0</v>
          </cell>
          <cell r="AU380">
            <v>2370</v>
          </cell>
          <cell r="AV380">
            <v>0</v>
          </cell>
          <cell r="AW380">
            <v>0</v>
          </cell>
          <cell r="AX380">
            <v>0</v>
          </cell>
          <cell r="BA380">
            <v>0</v>
          </cell>
          <cell r="BC380">
            <v>0</v>
          </cell>
          <cell r="BD380">
            <v>14303</v>
          </cell>
          <cell r="BF380">
            <v>0</v>
          </cell>
          <cell r="BG380">
            <v>0</v>
          </cell>
          <cell r="BH380">
            <v>0</v>
          </cell>
          <cell r="BI380">
            <v>44227</v>
          </cell>
          <cell r="BJ380">
            <v>36405</v>
          </cell>
          <cell r="BK380">
            <v>36405</v>
          </cell>
          <cell r="BL380">
            <v>0</v>
          </cell>
          <cell r="BM380">
            <v>0</v>
          </cell>
          <cell r="BN380">
            <v>0</v>
          </cell>
          <cell r="BO380">
            <v>124039</v>
          </cell>
          <cell r="BP380">
            <v>11069.8</v>
          </cell>
          <cell r="BQ380">
            <v>19941.8604651163</v>
          </cell>
          <cell r="BR380">
            <v>0</v>
          </cell>
          <cell r="BS380">
            <v>0</v>
          </cell>
          <cell r="BT380">
            <v>74138</v>
          </cell>
          <cell r="BY380">
            <v>0</v>
          </cell>
          <cell r="BZ380">
            <v>0</v>
          </cell>
          <cell r="CA380">
            <v>0</v>
          </cell>
          <cell r="CB380">
            <v>0</v>
          </cell>
          <cell r="CC380">
            <v>2620234</v>
          </cell>
          <cell r="CD380">
            <v>17681028</v>
          </cell>
          <cell r="CE380">
            <v>2320132</v>
          </cell>
          <cell r="CF380">
            <v>0</v>
          </cell>
          <cell r="CG380">
            <v>2320132</v>
          </cell>
          <cell r="CH380">
            <v>2320132</v>
          </cell>
          <cell r="CI380">
            <v>2320132</v>
          </cell>
          <cell r="CJ380">
            <v>2320132</v>
          </cell>
          <cell r="CK380">
            <v>0</v>
          </cell>
          <cell r="CL380">
            <v>0</v>
          </cell>
          <cell r="CM380">
            <v>0</v>
          </cell>
          <cell r="CN380">
            <v>0</v>
          </cell>
          <cell r="CO380">
            <v>0</v>
          </cell>
          <cell r="CP380">
            <v>-1492</v>
          </cell>
          <cell r="CQ380">
            <v>1504635</v>
          </cell>
          <cell r="CR380">
            <v>1477379</v>
          </cell>
          <cell r="CS380">
            <v>1474242</v>
          </cell>
          <cell r="CT380">
            <v>1474168</v>
          </cell>
          <cell r="CU380">
            <v>1484758</v>
          </cell>
          <cell r="CV380">
            <v>43043</v>
          </cell>
          <cell r="CW380">
            <v>0</v>
          </cell>
          <cell r="CX380">
            <v>0</v>
          </cell>
          <cell r="CY380">
            <v>0</v>
          </cell>
          <cell r="CZ380">
            <v>0</v>
          </cell>
          <cell r="DA380">
            <v>0</v>
          </cell>
          <cell r="DC380">
            <v>0</v>
          </cell>
          <cell r="DD380">
            <v>0</v>
          </cell>
          <cell r="DE380">
            <v>0</v>
          </cell>
          <cell r="DF380">
            <v>0</v>
          </cell>
          <cell r="DG380">
            <v>0</v>
          </cell>
          <cell r="DH380">
            <v>0</v>
          </cell>
          <cell r="DI380">
            <v>0</v>
          </cell>
          <cell r="DJ380">
            <v>0</v>
          </cell>
          <cell r="DK380">
            <v>0</v>
          </cell>
          <cell r="DL380">
            <v>0</v>
          </cell>
        </row>
        <row r="381">
          <cell r="A381">
            <v>995</v>
          </cell>
          <cell r="B381" t="str">
            <v>Lelystad</v>
          </cell>
          <cell r="C381">
            <v>12</v>
          </cell>
          <cell r="D381">
            <v>306776</v>
          </cell>
          <cell r="E381">
            <v>153388</v>
          </cell>
          <cell r="F381">
            <v>0</v>
          </cell>
          <cell r="G381">
            <v>0</v>
          </cell>
          <cell r="H381">
            <v>91132</v>
          </cell>
          <cell r="I381">
            <v>81157</v>
          </cell>
          <cell r="K381">
            <v>0</v>
          </cell>
          <cell r="L381">
            <v>597123</v>
          </cell>
          <cell r="M381">
            <v>573947</v>
          </cell>
          <cell r="N381">
            <v>0</v>
          </cell>
          <cell r="O381">
            <v>0</v>
          </cell>
          <cell r="P381">
            <v>150000</v>
          </cell>
          <cell r="Q381">
            <v>650000</v>
          </cell>
          <cell r="R381">
            <v>0</v>
          </cell>
          <cell r="S381">
            <v>0</v>
          </cell>
          <cell r="T381">
            <v>0</v>
          </cell>
          <cell r="U381">
            <v>0</v>
          </cell>
          <cell r="V381">
            <v>6000</v>
          </cell>
          <cell r="W381">
            <v>309644</v>
          </cell>
          <cell r="X381">
            <v>0</v>
          </cell>
          <cell r="Z381">
            <v>0</v>
          </cell>
          <cell r="AA381">
            <v>0</v>
          </cell>
          <cell r="AB381">
            <v>0</v>
          </cell>
          <cell r="AD381">
            <v>88002</v>
          </cell>
          <cell r="AE381">
            <v>0</v>
          </cell>
          <cell r="AF381">
            <v>0</v>
          </cell>
          <cell r="AG381">
            <v>0</v>
          </cell>
          <cell r="AH381">
            <v>0</v>
          </cell>
          <cell r="AI381">
            <v>0</v>
          </cell>
          <cell r="AJ381">
            <v>0</v>
          </cell>
          <cell r="AK381">
            <v>463015</v>
          </cell>
          <cell r="AM381">
            <v>0</v>
          </cell>
          <cell r="AN381">
            <v>0</v>
          </cell>
          <cell r="AO381">
            <v>0</v>
          </cell>
          <cell r="AP381">
            <v>0</v>
          </cell>
          <cell r="AQ381">
            <v>0</v>
          </cell>
          <cell r="AR381">
            <v>0</v>
          </cell>
          <cell r="AS381">
            <v>0</v>
          </cell>
          <cell r="AT381">
            <v>19000</v>
          </cell>
          <cell r="AU381">
            <v>0</v>
          </cell>
          <cell r="AV381">
            <v>0</v>
          </cell>
          <cell r="AW381">
            <v>0</v>
          </cell>
          <cell r="AX381">
            <v>0</v>
          </cell>
          <cell r="BA381">
            <v>0</v>
          </cell>
          <cell r="BC381">
            <v>0</v>
          </cell>
          <cell r="BD381">
            <v>27008</v>
          </cell>
          <cell r="BF381">
            <v>0</v>
          </cell>
          <cell r="BG381">
            <v>0</v>
          </cell>
          <cell r="BH381">
            <v>0</v>
          </cell>
          <cell r="BI381">
            <v>128406</v>
          </cell>
          <cell r="BJ381">
            <v>105697</v>
          </cell>
          <cell r="BK381">
            <v>105697</v>
          </cell>
          <cell r="BL381">
            <v>0</v>
          </cell>
          <cell r="BM381">
            <v>0</v>
          </cell>
          <cell r="BN381">
            <v>0</v>
          </cell>
          <cell r="BO381">
            <v>322502</v>
          </cell>
          <cell r="BP381">
            <v>31628</v>
          </cell>
          <cell r="BQ381">
            <v>56976.744186046497</v>
          </cell>
          <cell r="BR381">
            <v>0</v>
          </cell>
          <cell r="BS381">
            <v>0</v>
          </cell>
          <cell r="BT381">
            <v>144824</v>
          </cell>
          <cell r="BY381">
            <v>0</v>
          </cell>
          <cell r="BZ381">
            <v>0</v>
          </cell>
          <cell r="CA381">
            <v>0</v>
          </cell>
          <cell r="CB381">
            <v>0</v>
          </cell>
          <cell r="CC381">
            <v>5135977</v>
          </cell>
          <cell r="CD381">
            <v>47119364</v>
          </cell>
          <cell r="CE381">
            <v>3938135</v>
          </cell>
          <cell r="CF381">
            <v>1894264</v>
          </cell>
          <cell r="CG381">
            <v>3938135</v>
          </cell>
          <cell r="CH381">
            <v>3938135</v>
          </cell>
          <cell r="CI381">
            <v>3938135</v>
          </cell>
          <cell r="CJ381">
            <v>3938135</v>
          </cell>
          <cell r="CK381">
            <v>0</v>
          </cell>
          <cell r="CL381">
            <v>0</v>
          </cell>
          <cell r="CM381">
            <v>0</v>
          </cell>
          <cell r="CN381">
            <v>0</v>
          </cell>
          <cell r="CO381">
            <v>0</v>
          </cell>
          <cell r="CP381">
            <v>-3935</v>
          </cell>
          <cell r="CQ381">
            <v>6985182</v>
          </cell>
          <cell r="CR381">
            <v>6666613</v>
          </cell>
          <cell r="CS381">
            <v>6582639</v>
          </cell>
          <cell r="CT381">
            <v>6477902</v>
          </cell>
          <cell r="CU381">
            <v>6331431</v>
          </cell>
          <cell r="CV381">
            <v>-261436</v>
          </cell>
          <cell r="CW381">
            <v>0</v>
          </cell>
          <cell r="CX381">
            <v>0</v>
          </cell>
          <cell r="CY381">
            <v>0</v>
          </cell>
          <cell r="CZ381">
            <v>0</v>
          </cell>
          <cell r="DA381">
            <v>0</v>
          </cell>
          <cell r="DC381">
            <v>0</v>
          </cell>
          <cell r="DD381">
            <v>0</v>
          </cell>
          <cell r="DE381">
            <v>0</v>
          </cell>
          <cell r="DF381">
            <v>0</v>
          </cell>
          <cell r="DG381">
            <v>0</v>
          </cell>
          <cell r="DH381">
            <v>0</v>
          </cell>
          <cell r="DI381">
            <v>0</v>
          </cell>
          <cell r="DJ381">
            <v>0</v>
          </cell>
          <cell r="DK381">
            <v>0</v>
          </cell>
          <cell r="DL381">
            <v>0</v>
          </cell>
        </row>
        <row r="382">
          <cell r="A382">
            <v>171</v>
          </cell>
          <cell r="B382" t="str">
            <v>Noordoostpolder</v>
          </cell>
          <cell r="C382">
            <v>12</v>
          </cell>
          <cell r="D382">
            <v>22710</v>
          </cell>
          <cell r="E382">
            <v>11355</v>
          </cell>
          <cell r="F382">
            <v>0</v>
          </cell>
          <cell r="G382">
            <v>0</v>
          </cell>
          <cell r="H382">
            <v>-24715</v>
          </cell>
          <cell r="I382">
            <v>0</v>
          </cell>
          <cell r="K382">
            <v>0</v>
          </cell>
          <cell r="L382">
            <v>242534</v>
          </cell>
          <cell r="M382">
            <v>244549</v>
          </cell>
          <cell r="N382">
            <v>0</v>
          </cell>
          <cell r="O382">
            <v>0</v>
          </cell>
          <cell r="P382">
            <v>0</v>
          </cell>
          <cell r="Q382">
            <v>0</v>
          </cell>
          <cell r="R382">
            <v>0</v>
          </cell>
          <cell r="S382">
            <v>0</v>
          </cell>
          <cell r="T382">
            <v>0</v>
          </cell>
          <cell r="U382">
            <v>0</v>
          </cell>
          <cell r="V382">
            <v>9000</v>
          </cell>
          <cell r="W382">
            <v>191126</v>
          </cell>
          <cell r="X382">
            <v>0</v>
          </cell>
          <cell r="Z382">
            <v>0</v>
          </cell>
          <cell r="AA382">
            <v>0</v>
          </cell>
          <cell r="AB382">
            <v>0</v>
          </cell>
          <cell r="AD382">
            <v>91913</v>
          </cell>
          <cell r="AE382">
            <v>0</v>
          </cell>
          <cell r="AF382">
            <v>0</v>
          </cell>
          <cell r="AG382">
            <v>0</v>
          </cell>
          <cell r="AH382">
            <v>0</v>
          </cell>
          <cell r="AI382">
            <v>0</v>
          </cell>
          <cell r="AJ382">
            <v>0</v>
          </cell>
          <cell r="AK382">
            <v>0</v>
          </cell>
          <cell r="AM382">
            <v>0</v>
          </cell>
          <cell r="AN382">
            <v>0</v>
          </cell>
          <cell r="AO382">
            <v>0</v>
          </cell>
          <cell r="AP382">
            <v>0</v>
          </cell>
          <cell r="AQ382">
            <v>0</v>
          </cell>
          <cell r="AR382">
            <v>0</v>
          </cell>
          <cell r="AS382">
            <v>0</v>
          </cell>
          <cell r="AT382">
            <v>0</v>
          </cell>
          <cell r="AU382">
            <v>2370</v>
          </cell>
          <cell r="AV382">
            <v>0</v>
          </cell>
          <cell r="AW382">
            <v>0</v>
          </cell>
          <cell r="AX382">
            <v>0</v>
          </cell>
          <cell r="BA382">
            <v>0</v>
          </cell>
          <cell r="BC382">
            <v>0</v>
          </cell>
          <cell r="BD382">
            <v>16339</v>
          </cell>
          <cell r="BF382">
            <v>0</v>
          </cell>
          <cell r="BG382">
            <v>0</v>
          </cell>
          <cell r="BH382">
            <v>0</v>
          </cell>
          <cell r="BI382">
            <v>63880</v>
          </cell>
          <cell r="BJ382">
            <v>52583</v>
          </cell>
          <cell r="BK382">
            <v>52583</v>
          </cell>
          <cell r="BL382">
            <v>0</v>
          </cell>
          <cell r="BM382">
            <v>0</v>
          </cell>
          <cell r="BN382">
            <v>0</v>
          </cell>
          <cell r="BO382">
            <v>385737</v>
          </cell>
          <cell r="BP382">
            <v>14232.6</v>
          </cell>
          <cell r="BQ382">
            <v>25639.534883720899</v>
          </cell>
          <cell r="BR382">
            <v>0</v>
          </cell>
          <cell r="BS382">
            <v>0</v>
          </cell>
          <cell r="BT382">
            <v>89875</v>
          </cell>
          <cell r="BY382">
            <v>0</v>
          </cell>
          <cell r="BZ382">
            <v>0</v>
          </cell>
          <cell r="CA382">
            <v>0</v>
          </cell>
          <cell r="CB382">
            <v>0</v>
          </cell>
          <cell r="CC382">
            <v>3030002</v>
          </cell>
          <cell r="CD382">
            <v>22759080</v>
          </cell>
          <cell r="CE382">
            <v>2267129</v>
          </cell>
          <cell r="CF382">
            <v>0</v>
          </cell>
          <cell r="CG382">
            <v>2267129</v>
          </cell>
          <cell r="CH382">
            <v>2267129</v>
          </cell>
          <cell r="CI382">
            <v>2267129</v>
          </cell>
          <cell r="CJ382">
            <v>2267129</v>
          </cell>
          <cell r="CK382">
            <v>0</v>
          </cell>
          <cell r="CL382">
            <v>0</v>
          </cell>
          <cell r="CM382">
            <v>0</v>
          </cell>
          <cell r="CN382">
            <v>0</v>
          </cell>
          <cell r="CO382">
            <v>0</v>
          </cell>
          <cell r="CP382">
            <v>0</v>
          </cell>
          <cell r="CQ382">
            <v>5337053</v>
          </cell>
          <cell r="CR382">
            <v>5076154</v>
          </cell>
          <cell r="CS382">
            <v>4918418</v>
          </cell>
          <cell r="CT382">
            <v>4819430</v>
          </cell>
          <cell r="CU382">
            <v>4725392</v>
          </cell>
          <cell r="CV382">
            <v>-49858</v>
          </cell>
          <cell r="CW382">
            <v>0</v>
          </cell>
          <cell r="CX382">
            <v>0</v>
          </cell>
          <cell r="CY382">
            <v>0</v>
          </cell>
          <cell r="CZ382">
            <v>0</v>
          </cell>
          <cell r="DA382">
            <v>0</v>
          </cell>
          <cell r="DC382">
            <v>0</v>
          </cell>
          <cell r="DD382">
            <v>0</v>
          </cell>
          <cell r="DE382">
            <v>0</v>
          </cell>
          <cell r="DF382">
            <v>0</v>
          </cell>
          <cell r="DG382">
            <v>0</v>
          </cell>
          <cell r="DH382">
            <v>0</v>
          </cell>
          <cell r="DI382">
            <v>0</v>
          </cell>
          <cell r="DJ382">
            <v>0</v>
          </cell>
          <cell r="DK382">
            <v>0</v>
          </cell>
          <cell r="DL382">
            <v>0</v>
          </cell>
        </row>
        <row r="383">
          <cell r="A383">
            <v>184</v>
          </cell>
          <cell r="B383" t="str">
            <v>Urk</v>
          </cell>
          <cell r="C383">
            <v>12</v>
          </cell>
          <cell r="D383">
            <v>18474</v>
          </cell>
          <cell r="E383">
            <v>9237</v>
          </cell>
          <cell r="F383">
            <v>0</v>
          </cell>
          <cell r="G383">
            <v>0</v>
          </cell>
          <cell r="H383">
            <v>0</v>
          </cell>
          <cell r="I383">
            <v>0</v>
          </cell>
          <cell r="K383">
            <v>0</v>
          </cell>
          <cell r="L383">
            <v>68284</v>
          </cell>
          <cell r="M383">
            <v>61280</v>
          </cell>
          <cell r="N383">
            <v>0</v>
          </cell>
          <cell r="O383">
            <v>0</v>
          </cell>
          <cell r="P383">
            <v>0</v>
          </cell>
          <cell r="Q383">
            <v>0</v>
          </cell>
          <cell r="R383">
            <v>0</v>
          </cell>
          <cell r="S383">
            <v>0</v>
          </cell>
          <cell r="T383">
            <v>0</v>
          </cell>
          <cell r="U383">
            <v>0</v>
          </cell>
          <cell r="V383">
            <v>3000</v>
          </cell>
          <cell r="W383">
            <v>119154</v>
          </cell>
          <cell r="X383">
            <v>0</v>
          </cell>
          <cell r="Z383">
            <v>0</v>
          </cell>
          <cell r="AA383">
            <v>0</v>
          </cell>
          <cell r="AB383">
            <v>0</v>
          </cell>
          <cell r="AD383">
            <v>0</v>
          </cell>
          <cell r="AE383">
            <v>0</v>
          </cell>
          <cell r="AF383">
            <v>0</v>
          </cell>
          <cell r="AG383">
            <v>0</v>
          </cell>
          <cell r="AH383">
            <v>0</v>
          </cell>
          <cell r="AI383">
            <v>0</v>
          </cell>
          <cell r="AJ383">
            <v>0</v>
          </cell>
          <cell r="AK383">
            <v>0</v>
          </cell>
          <cell r="AM383">
            <v>0</v>
          </cell>
          <cell r="AN383">
            <v>0</v>
          </cell>
          <cell r="AO383">
            <v>0</v>
          </cell>
          <cell r="AP383">
            <v>0</v>
          </cell>
          <cell r="AQ383">
            <v>0</v>
          </cell>
          <cell r="AR383">
            <v>0</v>
          </cell>
          <cell r="AS383">
            <v>0</v>
          </cell>
          <cell r="AT383">
            <v>0</v>
          </cell>
          <cell r="AU383">
            <v>2370</v>
          </cell>
          <cell r="AV383">
            <v>0</v>
          </cell>
          <cell r="AW383">
            <v>0</v>
          </cell>
          <cell r="AX383">
            <v>0</v>
          </cell>
          <cell r="BA383">
            <v>0</v>
          </cell>
          <cell r="BC383">
            <v>0</v>
          </cell>
          <cell r="BD383">
            <v>7098</v>
          </cell>
          <cell r="BF383">
            <v>0</v>
          </cell>
          <cell r="BG383">
            <v>0</v>
          </cell>
          <cell r="BH383">
            <v>0</v>
          </cell>
          <cell r="BI383">
            <v>12061</v>
          </cell>
          <cell r="BJ383">
            <v>9928</v>
          </cell>
          <cell r="BK383">
            <v>9928</v>
          </cell>
          <cell r="BL383">
            <v>0</v>
          </cell>
          <cell r="BM383">
            <v>0</v>
          </cell>
          <cell r="BN383">
            <v>0</v>
          </cell>
          <cell r="BO383">
            <v>46211</v>
          </cell>
          <cell r="BP383">
            <v>18976.8</v>
          </cell>
          <cell r="BQ383">
            <v>34186.046511627901</v>
          </cell>
          <cell r="BR383">
            <v>0</v>
          </cell>
          <cell r="BS383">
            <v>0</v>
          </cell>
          <cell r="BT383">
            <v>42000</v>
          </cell>
          <cell r="BY383">
            <v>0</v>
          </cell>
          <cell r="BZ383">
            <v>0</v>
          </cell>
          <cell r="CA383">
            <v>0</v>
          </cell>
          <cell r="CB383">
            <v>0</v>
          </cell>
          <cell r="CC383">
            <v>662141</v>
          </cell>
          <cell r="CD383">
            <v>9409880</v>
          </cell>
          <cell r="CE383">
            <v>2181116</v>
          </cell>
          <cell r="CF383">
            <v>-64146</v>
          </cell>
          <cell r="CG383">
            <v>2181116</v>
          </cell>
          <cell r="CH383">
            <v>2181116</v>
          </cell>
          <cell r="CI383">
            <v>2181116</v>
          </cell>
          <cell r="CJ383">
            <v>2181116</v>
          </cell>
          <cell r="CK383">
            <v>0</v>
          </cell>
          <cell r="CL383">
            <v>0</v>
          </cell>
          <cell r="CM383">
            <v>0</v>
          </cell>
          <cell r="CN383">
            <v>0</v>
          </cell>
          <cell r="CO383">
            <v>0</v>
          </cell>
          <cell r="CP383">
            <v>445910</v>
          </cell>
          <cell r="CQ383">
            <v>1536891</v>
          </cell>
          <cell r="CR383">
            <v>1483324</v>
          </cell>
          <cell r="CS383">
            <v>1460413</v>
          </cell>
          <cell r="CT383">
            <v>1445112</v>
          </cell>
          <cell r="CU383">
            <v>1411056</v>
          </cell>
          <cell r="CV383">
            <v>-68869</v>
          </cell>
          <cell r="CW383">
            <v>0</v>
          </cell>
          <cell r="CX383">
            <v>0</v>
          </cell>
          <cell r="CY383">
            <v>0</v>
          </cell>
          <cell r="CZ383">
            <v>0</v>
          </cell>
          <cell r="DA383">
            <v>0</v>
          </cell>
          <cell r="DC383">
            <v>0</v>
          </cell>
          <cell r="DD383">
            <v>0</v>
          </cell>
          <cell r="DE383">
            <v>0</v>
          </cell>
          <cell r="DF383">
            <v>0</v>
          </cell>
          <cell r="DG383">
            <v>0</v>
          </cell>
          <cell r="DH383">
            <v>0</v>
          </cell>
          <cell r="DI383">
            <v>0</v>
          </cell>
          <cell r="DJ383">
            <v>0</v>
          </cell>
          <cell r="DK383">
            <v>0</v>
          </cell>
          <cell r="DL383">
            <v>0</v>
          </cell>
        </row>
        <row r="384">
          <cell r="A384">
            <v>50</v>
          </cell>
          <cell r="B384" t="str">
            <v>Zeewolde</v>
          </cell>
          <cell r="C384">
            <v>12</v>
          </cell>
          <cell r="D384">
            <v>38393</v>
          </cell>
          <cell r="E384">
            <v>19196</v>
          </cell>
          <cell r="F384">
            <v>0</v>
          </cell>
          <cell r="G384">
            <v>0</v>
          </cell>
          <cell r="H384">
            <v>-3247</v>
          </cell>
          <cell r="I384">
            <v>-4027</v>
          </cell>
          <cell r="K384">
            <v>0</v>
          </cell>
          <cell r="L384">
            <v>98844</v>
          </cell>
          <cell r="M384">
            <v>91277</v>
          </cell>
          <cell r="N384">
            <v>0</v>
          </cell>
          <cell r="O384">
            <v>0</v>
          </cell>
          <cell r="P384">
            <v>0</v>
          </cell>
          <cell r="Q384">
            <v>0</v>
          </cell>
          <cell r="R384">
            <v>0</v>
          </cell>
          <cell r="S384">
            <v>0</v>
          </cell>
          <cell r="T384">
            <v>0</v>
          </cell>
          <cell r="U384">
            <v>0</v>
          </cell>
          <cell r="V384">
            <v>3000</v>
          </cell>
          <cell r="W384">
            <v>109435</v>
          </cell>
          <cell r="X384">
            <v>0</v>
          </cell>
          <cell r="Z384">
            <v>0</v>
          </cell>
          <cell r="AA384">
            <v>0</v>
          </cell>
          <cell r="AB384">
            <v>0</v>
          </cell>
          <cell r="AD384">
            <v>20000</v>
          </cell>
          <cell r="AE384">
            <v>0</v>
          </cell>
          <cell r="AF384">
            <v>0</v>
          </cell>
          <cell r="AG384">
            <v>0</v>
          </cell>
          <cell r="AH384">
            <v>0</v>
          </cell>
          <cell r="AI384">
            <v>0</v>
          </cell>
          <cell r="AJ384">
            <v>0</v>
          </cell>
          <cell r="AK384">
            <v>0</v>
          </cell>
          <cell r="AM384">
            <v>0</v>
          </cell>
          <cell r="AN384">
            <v>0</v>
          </cell>
          <cell r="AO384">
            <v>0</v>
          </cell>
          <cell r="AP384">
            <v>0</v>
          </cell>
          <cell r="AQ384">
            <v>0</v>
          </cell>
          <cell r="AR384">
            <v>0</v>
          </cell>
          <cell r="AS384">
            <v>0</v>
          </cell>
          <cell r="AT384">
            <v>0</v>
          </cell>
          <cell r="AU384">
            <v>7110</v>
          </cell>
          <cell r="AV384">
            <v>0</v>
          </cell>
          <cell r="AW384">
            <v>0</v>
          </cell>
          <cell r="AX384">
            <v>0</v>
          </cell>
          <cell r="BA384">
            <v>0</v>
          </cell>
          <cell r="BC384">
            <v>0</v>
          </cell>
          <cell r="BD384">
            <v>7883</v>
          </cell>
          <cell r="BF384">
            <v>0</v>
          </cell>
          <cell r="BG384">
            <v>0</v>
          </cell>
          <cell r="BH384">
            <v>0</v>
          </cell>
          <cell r="BI384">
            <v>20034</v>
          </cell>
          <cell r="BJ384">
            <v>16491</v>
          </cell>
          <cell r="BK384">
            <v>16491</v>
          </cell>
          <cell r="BL384">
            <v>0</v>
          </cell>
          <cell r="BM384">
            <v>0</v>
          </cell>
          <cell r="BN384">
            <v>0</v>
          </cell>
          <cell r="BO384">
            <v>93881</v>
          </cell>
          <cell r="BP384">
            <v>11069.8</v>
          </cell>
          <cell r="BQ384">
            <v>19941.8604651163</v>
          </cell>
          <cell r="BR384">
            <v>0</v>
          </cell>
          <cell r="BS384">
            <v>0</v>
          </cell>
          <cell r="BT384">
            <v>42132</v>
          </cell>
          <cell r="BY384">
            <v>0</v>
          </cell>
          <cell r="BZ384">
            <v>0</v>
          </cell>
          <cell r="CA384">
            <v>0</v>
          </cell>
          <cell r="CB384">
            <v>0</v>
          </cell>
          <cell r="CC384">
            <v>1005732</v>
          </cell>
          <cell r="CD384">
            <v>7571648</v>
          </cell>
          <cell r="CE384">
            <v>1147636</v>
          </cell>
          <cell r="CF384">
            <v>0</v>
          </cell>
          <cell r="CG384">
            <v>1147636</v>
          </cell>
          <cell r="CH384">
            <v>1147636</v>
          </cell>
          <cell r="CI384">
            <v>1147636</v>
          </cell>
          <cell r="CJ384">
            <v>1147636</v>
          </cell>
          <cell r="CK384">
            <v>0</v>
          </cell>
          <cell r="CL384">
            <v>0</v>
          </cell>
          <cell r="CM384">
            <v>0</v>
          </cell>
          <cell r="CN384">
            <v>0</v>
          </cell>
          <cell r="CO384">
            <v>0</v>
          </cell>
          <cell r="CP384">
            <v>-1429</v>
          </cell>
          <cell r="CQ384">
            <v>443399</v>
          </cell>
          <cell r="CR384">
            <v>441346</v>
          </cell>
          <cell r="CS384">
            <v>443361</v>
          </cell>
          <cell r="CT384">
            <v>450703</v>
          </cell>
          <cell r="CU384">
            <v>458616</v>
          </cell>
          <cell r="CV384">
            <v>134023</v>
          </cell>
          <cell r="CW384">
            <v>0</v>
          </cell>
          <cell r="CX384">
            <v>0</v>
          </cell>
          <cell r="CY384">
            <v>0</v>
          </cell>
          <cell r="CZ384">
            <v>0</v>
          </cell>
          <cell r="DA384">
            <v>0</v>
          </cell>
          <cell r="DC384">
            <v>0</v>
          </cell>
          <cell r="DD384">
            <v>0</v>
          </cell>
          <cell r="DE384">
            <v>0</v>
          </cell>
          <cell r="DF384">
            <v>0</v>
          </cell>
          <cell r="DG384">
            <v>0</v>
          </cell>
          <cell r="DH384">
            <v>0</v>
          </cell>
          <cell r="DI384">
            <v>0</v>
          </cell>
          <cell r="DJ384">
            <v>0</v>
          </cell>
          <cell r="DK384">
            <v>0</v>
          </cell>
          <cell r="DL384">
            <v>0</v>
          </cell>
        </row>
      </sheetData>
      <sheetData sheetId="9"/>
      <sheetData sheetId="10"/>
      <sheetData sheetId="11"/>
      <sheetData sheetId="12"/>
      <sheetData sheetId="13"/>
      <sheetData sheetId="14"/>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447"/>
  <sheetViews>
    <sheetView showGridLines="0" topLeftCell="C35" zoomScaleNormal="100" workbookViewId="0">
      <selection activeCell="I13" sqref="I13"/>
    </sheetView>
  </sheetViews>
  <sheetFormatPr defaultColWidth="9.109375" defaultRowHeight="13.2" x14ac:dyDescent="0.25"/>
  <cols>
    <col min="1" max="1" width="4" style="14" bestFit="1" customWidth="1"/>
    <col min="2" max="2" width="44.6640625" style="14" bestFit="1" customWidth="1"/>
    <col min="3" max="3" width="34.6640625" style="14" customWidth="1"/>
    <col min="4" max="4" width="4.109375" style="14" customWidth="1"/>
    <col min="5" max="5" width="6" style="14" customWidth="1"/>
    <col min="6" max="6" width="51.33203125" style="14" customWidth="1"/>
    <col min="7" max="7" width="18.6640625" style="14" customWidth="1"/>
    <col min="8" max="8" width="17.6640625" style="3" customWidth="1"/>
    <col min="9" max="9" width="17.109375" style="3" customWidth="1"/>
    <col min="10" max="10" width="6" style="5" customWidth="1"/>
    <col min="11" max="11" width="20.109375" style="5" customWidth="1"/>
    <col min="12" max="12" width="21.33203125" style="3" customWidth="1"/>
    <col min="13" max="13" width="22" style="5" customWidth="1"/>
    <col min="14" max="14" width="20.33203125" style="5" customWidth="1"/>
    <col min="15" max="15" width="23.33203125" style="5" customWidth="1"/>
    <col min="16" max="16" width="17" style="3" hidden="1" customWidth="1"/>
    <col min="17" max="17" width="16.44140625" style="3" hidden="1" customWidth="1"/>
    <col min="18" max="18" width="15.109375" style="3" hidden="1" customWidth="1"/>
    <col min="19" max="19" width="20" style="3" customWidth="1"/>
    <col min="20" max="20" width="18.88671875" style="3" customWidth="1"/>
    <col min="21" max="21" width="17.6640625" style="3" hidden="1" customWidth="1"/>
    <col min="22" max="22" width="21.6640625" style="3" hidden="1" customWidth="1"/>
    <col min="23" max="23" width="19.5546875" style="3" customWidth="1"/>
    <col min="24" max="24" width="23.44140625" style="3" customWidth="1"/>
    <col min="25" max="25" width="18.6640625" style="3" customWidth="1"/>
    <col min="26" max="26" width="14.88671875" style="3" customWidth="1"/>
    <col min="27" max="27" width="20.109375" style="14" customWidth="1"/>
    <col min="28" max="28" width="19.33203125" style="3" customWidth="1"/>
    <col min="29" max="29" width="31.5546875" style="214" hidden="1" customWidth="1"/>
    <col min="30" max="30" width="25" style="14" customWidth="1"/>
    <col min="31" max="31" width="15" style="14" bestFit="1" customWidth="1"/>
    <col min="32" max="32" width="13.44140625" style="14" bestFit="1" customWidth="1"/>
    <col min="33" max="33" width="12.6640625" style="14" customWidth="1"/>
    <col min="34" max="34" width="9.109375" style="14" customWidth="1"/>
    <col min="35" max="35" width="17.109375" style="14" customWidth="1"/>
    <col min="36" max="36" width="11.6640625" style="14" customWidth="1"/>
    <col min="37" max="16384" width="9.109375" style="14"/>
  </cols>
  <sheetData>
    <row r="1" spans="1:36" x14ac:dyDescent="0.25">
      <c r="A1" s="319" t="s">
        <v>102</v>
      </c>
      <c r="B1" s="319"/>
      <c r="C1" s="45">
        <v>2019</v>
      </c>
      <c r="J1" s="91"/>
      <c r="K1" s="91"/>
      <c r="L1" s="92"/>
      <c r="M1" s="91"/>
      <c r="N1" s="91"/>
      <c r="O1" s="91"/>
      <c r="P1" s="92"/>
      <c r="Q1" s="92"/>
      <c r="R1" s="92"/>
      <c r="S1" s="92"/>
      <c r="T1" s="92"/>
      <c r="U1" s="92"/>
      <c r="V1" s="92"/>
      <c r="W1" s="92"/>
      <c r="X1" s="92"/>
      <c r="Y1" s="92"/>
      <c r="Z1" s="92"/>
      <c r="AA1" s="93"/>
    </row>
    <row r="2" spans="1:36" x14ac:dyDescent="0.25">
      <c r="A2" s="52" t="s">
        <v>87</v>
      </c>
      <c r="B2" s="46"/>
      <c r="C2" s="77" t="s">
        <v>289</v>
      </c>
      <c r="E2" s="318" t="s">
        <v>543</v>
      </c>
      <c r="F2" s="318"/>
      <c r="G2" s="75" t="s">
        <v>943</v>
      </c>
      <c r="H2" s="76" t="s">
        <v>92</v>
      </c>
      <c r="I2" s="137" t="s">
        <v>539</v>
      </c>
      <c r="J2" s="1" t="s">
        <v>515</v>
      </c>
      <c r="K2" s="92"/>
      <c r="L2" s="92"/>
      <c r="M2" s="92"/>
      <c r="N2" s="92"/>
      <c r="O2" s="92"/>
      <c r="P2" s="92"/>
      <c r="Q2" s="92"/>
      <c r="R2" s="92"/>
      <c r="S2" s="92"/>
      <c r="T2" s="92"/>
      <c r="U2" s="92"/>
      <c r="V2" s="92"/>
      <c r="W2" s="92"/>
      <c r="X2" s="92"/>
      <c r="Y2" s="92"/>
      <c r="Z2" s="92"/>
      <c r="AA2" s="92"/>
      <c r="AC2" s="215" t="s">
        <v>121</v>
      </c>
      <c r="AE2" s="45"/>
    </row>
    <row r="3" spans="1:36" x14ac:dyDescent="0.25">
      <c r="A3" s="318" t="s">
        <v>637</v>
      </c>
      <c r="B3" s="318"/>
      <c r="C3" s="63" t="s">
        <v>757</v>
      </c>
      <c r="D3" s="63"/>
      <c r="E3" s="46">
        <v>1</v>
      </c>
      <c r="F3" s="46" t="s">
        <v>758</v>
      </c>
      <c r="G3" s="50">
        <f>IF($G$2="Slechtweer",20%,I3)</f>
        <v>0.2</v>
      </c>
      <c r="H3" s="47"/>
      <c r="I3" s="138">
        <v>0</v>
      </c>
      <c r="J3" s="206" t="s">
        <v>21</v>
      </c>
      <c r="K3" s="206" t="s">
        <v>58</v>
      </c>
      <c r="L3" s="206" t="s">
        <v>20</v>
      </c>
      <c r="M3" s="206" t="s">
        <v>118</v>
      </c>
      <c r="N3" s="206" t="s">
        <v>555</v>
      </c>
      <c r="O3" s="206" t="s">
        <v>513</v>
      </c>
      <c r="P3" s="92"/>
      <c r="Q3" s="92"/>
      <c r="R3" s="92"/>
      <c r="S3" s="61" t="s">
        <v>540</v>
      </c>
      <c r="T3" s="205" t="s">
        <v>572</v>
      </c>
      <c r="U3" s="94" t="s">
        <v>596</v>
      </c>
      <c r="V3" s="94" t="s">
        <v>59</v>
      </c>
      <c r="W3" s="206" t="s">
        <v>531</v>
      </c>
      <c r="X3" s="206" t="s">
        <v>117</v>
      </c>
      <c r="Y3" s="206" t="s">
        <v>86</v>
      </c>
      <c r="Z3" s="206"/>
      <c r="AA3" s="205"/>
      <c r="AB3" s="61"/>
      <c r="AC3" s="214">
        <f>IF(G2="Handmatig",I3,0%)</f>
        <v>0</v>
      </c>
    </row>
    <row r="4" spans="1:36" x14ac:dyDescent="0.25">
      <c r="A4" s="46">
        <v>1</v>
      </c>
      <c r="B4" s="46" t="s">
        <v>644</v>
      </c>
      <c r="C4" s="53">
        <v>1.4E-2</v>
      </c>
      <c r="D4" s="18"/>
      <c r="E4" s="46">
        <v>2</v>
      </c>
      <c r="F4" s="46" t="s">
        <v>759</v>
      </c>
      <c r="G4" s="50">
        <f>IF($G$2="Slechtweer",11%,I4)</f>
        <v>0.11</v>
      </c>
      <c r="H4" s="47"/>
      <c r="I4" s="49">
        <v>0</v>
      </c>
      <c r="J4" s="95">
        <f>SUM(C1,-1)</f>
        <v>2018</v>
      </c>
      <c r="K4" s="96">
        <f>S4/Balansprognose!F35*-1</f>
        <v>-9.8338728914636228E-2</v>
      </c>
      <c r="L4" s="168">
        <f>Balansprognose!F35</f>
        <v>234760000</v>
      </c>
      <c r="M4" s="243" t="s">
        <v>120</v>
      </c>
      <c r="N4" s="243" t="s">
        <v>558</v>
      </c>
      <c r="O4" s="243" t="s">
        <v>119</v>
      </c>
      <c r="P4" s="92" t="s">
        <v>66</v>
      </c>
      <c r="Q4" s="92" t="s">
        <v>67</v>
      </c>
      <c r="R4" s="92" t="s">
        <v>68</v>
      </c>
      <c r="S4" s="22">
        <f>SUM('Investeringen &amp; financiering'!P54)</f>
        <v>23086000</v>
      </c>
      <c r="T4" s="107">
        <f t="shared" ref="T4:T14" si="0">S4/Y4</f>
        <v>254.17552049500699</v>
      </c>
      <c r="U4" s="22">
        <f t="shared" ref="U4:U14" si="1">SUM(S4,-V4)</f>
        <v>1005000</v>
      </c>
      <c r="V4" s="168">
        <f>SUM(Balansprognose!B15)</f>
        <v>22081000</v>
      </c>
      <c r="W4" s="94"/>
      <c r="X4" s="21"/>
      <c r="Y4" s="106">
        <f>C10</f>
        <v>90827</v>
      </c>
      <c r="Z4" s="21"/>
      <c r="AA4" s="107"/>
      <c r="AB4" s="140"/>
      <c r="AC4" s="214">
        <f>IF(G2="Handmatig",I4,0%)</f>
        <v>0</v>
      </c>
      <c r="AE4" s="140"/>
    </row>
    <row r="5" spans="1:36" x14ac:dyDescent="0.25">
      <c r="A5" s="46">
        <v>2</v>
      </c>
      <c r="B5" s="46" t="s">
        <v>677</v>
      </c>
      <c r="C5" s="53">
        <v>1.4E-2</v>
      </c>
      <c r="D5" s="24"/>
      <c r="E5" s="46">
        <v>3</v>
      </c>
      <c r="F5" s="46" t="s">
        <v>760</v>
      </c>
      <c r="G5" s="50">
        <f>IF($G$2="Slechtweer",1%,I5)</f>
        <v>0.01</v>
      </c>
      <c r="H5" s="47"/>
      <c r="I5" s="49">
        <v>0</v>
      </c>
      <c r="J5" s="92">
        <f>C1</f>
        <v>2019</v>
      </c>
      <c r="K5" s="96">
        <f t="shared" ref="K5:K14" si="2">S5/L5*-1</f>
        <v>-6.6602520601959612E-3</v>
      </c>
      <c r="L5" s="168">
        <f>SUM(W5,'Inkomsten &amp; uitgaven'!I30,'Investeringen &amp; financiering'!E7,Balansprognose!C39,Balansprognose!C40,Balansprognose!C44)</f>
        <v>226242000</v>
      </c>
      <c r="M5" s="28">
        <f>SUM('Inkomsten &amp; uitgaven'!J30,-'Inkomsten &amp; uitgaven'!K30,'Inkomsten &amp; uitgaven'!G86,'Inkomsten &amp; uitgaven'!G85)</f>
        <v>206889384.62155348</v>
      </c>
      <c r="N5" s="168">
        <f>SUM('Investeringen &amp; financiering'!E7,Balansprognose!C44,-Balansprognose!C45)</f>
        <v>3625000</v>
      </c>
      <c r="O5" s="168">
        <f>-SUM('Investeringen &amp; financiering'!C6,'Investeringen &amp; financiering'!F6,'Investeringen &amp; financiering'!G6,'Investeringen &amp; financiering'!H6)</f>
        <v>24510921.458395813</v>
      </c>
      <c r="P5" s="97">
        <f>'Inkomsten &amp; uitgaven'!N30</f>
        <v>7592543.1433738573</v>
      </c>
      <c r="Q5" s="97">
        <f>'Investeringen &amp; financiering'!T6</f>
        <v>-28539533.972771004</v>
      </c>
      <c r="R5" s="97">
        <f>'Investeringen &amp; financiering'!R79</f>
        <v>-632180.42399999965</v>
      </c>
      <c r="S5" s="22">
        <f t="shared" ref="S5:S14" si="3">SUM(S4,P5,Q5,R5)</f>
        <v>1506828.7466028547</v>
      </c>
      <c r="T5" s="107">
        <f t="shared" si="0"/>
        <v>16.444156322029123</v>
      </c>
      <c r="U5" s="22">
        <f t="shared" si="1"/>
        <v>-20574171.253397144</v>
      </c>
      <c r="V5" s="28">
        <f>SUM('Investeringen &amp; financiering'!C78,'Investeringen &amp; financiering'!D78,-'Investeringen &amp; financiering'!C79,-'Investeringen &amp; financiering'!D79,Balansprognose!C41,Balansprognose!C42)</f>
        <v>22081000</v>
      </c>
      <c r="W5" s="168">
        <f>'Investeringen &amp; financiering'!T79</f>
        <v>1477781.736</v>
      </c>
      <c r="X5" s="21">
        <f>SUM('Investeringen &amp; financiering'!S6,'Investeringen &amp; financiering'!S79,'Inkomsten &amp; uitgaven'!M30)</f>
        <v>-2172615.1734478474</v>
      </c>
      <c r="Y5" s="106">
        <f>SUM(Y4,Y4*C12)</f>
        <v>91633.083333333328</v>
      </c>
      <c r="Z5" s="21"/>
      <c r="AA5" s="107"/>
      <c r="AB5" s="140"/>
      <c r="AC5" s="214">
        <f>IF(G2="Handmatig",I5,0%)</f>
        <v>0</v>
      </c>
      <c r="AE5" s="204"/>
      <c r="AF5" s="140"/>
    </row>
    <row r="6" spans="1:36" x14ac:dyDescent="0.25">
      <c r="A6" s="46">
        <v>3</v>
      </c>
      <c r="B6" s="46" t="s">
        <v>645</v>
      </c>
      <c r="C6" s="53">
        <v>1.6E-2</v>
      </c>
      <c r="D6" s="18"/>
      <c r="E6" s="46">
        <v>4</v>
      </c>
      <c r="F6" s="46" t="s">
        <v>761</v>
      </c>
      <c r="G6" s="50">
        <f>IF($G$2="Slechtweer",1%,I6)</f>
        <v>0.01</v>
      </c>
      <c r="H6" s="47"/>
      <c r="I6" s="49">
        <v>0</v>
      </c>
      <c r="J6" s="92">
        <f>SUM(C1,1)</f>
        <v>2020</v>
      </c>
      <c r="K6" s="96">
        <f t="shared" si="2"/>
        <v>0.15900879136414323</v>
      </c>
      <c r="L6" s="168">
        <f>SUM(W6,'Inkomsten &amp; uitgaven'!I31,'Investeringen &amp; financiering'!E9,)</f>
        <v>216952620.3870655</v>
      </c>
      <c r="M6" s="28">
        <f>SUM('Inkomsten &amp; uitgaven'!J31,-'Inkomsten &amp; uitgaven'!K31,-'Investeringen &amp; financiering'!E8,-X6)</f>
        <v>224913561.67574468</v>
      </c>
      <c r="N6" s="21">
        <f>SUM('Investeringen &amp; financiering'!E9,'Investeringen &amp; financiering'!E8)</f>
        <v>1795750</v>
      </c>
      <c r="O6" s="168">
        <f>-SUM('Investeringen &amp; financiering'!C8,'Investeringen &amp; financiering'!F8,'Investeringen &amp; financiering'!G8,'Investeringen &amp; financiering'!H8)*SUM(1,-G21)</f>
        <v>25393541.408954725</v>
      </c>
      <c r="P6" s="97">
        <f>'Inkomsten &amp; uitgaven'!N31</f>
        <v>-9623852.6967412252</v>
      </c>
      <c r="Q6" s="97">
        <f>'Investeringen &amp; financiering'!T8</f>
        <v>-23957810.944062982</v>
      </c>
      <c r="R6" s="97">
        <f>'Investeringen &amp; financiering'!R81</f>
        <v>-2422539.0568297138</v>
      </c>
      <c r="S6" s="22">
        <f t="shared" si="3"/>
        <v>-34497373.951031066</v>
      </c>
      <c r="T6" s="107">
        <f t="shared" si="0"/>
        <v>-373.16113531593993</v>
      </c>
      <c r="U6" s="22">
        <f t="shared" si="1"/>
        <v>-53928653.951031066</v>
      </c>
      <c r="V6" s="168">
        <f>SUM(V5,-'Investeringen &amp; financiering'!C81,-'Investeringen &amp; financiering'!D81,-'Investeringen &amp; financiering'!N81)</f>
        <v>19431280</v>
      </c>
      <c r="W6" s="168">
        <f>'Investeringen &amp; financiering'!T81</f>
        <v>2196753.0614285711</v>
      </c>
      <c r="X6" s="21">
        <f>SUM('Investeringen &amp; financiering'!S8,'Investeringen &amp; financiering'!S81,'Inkomsten &amp; uitgaven'!M31)</f>
        <v>-2360777.7274872693</v>
      </c>
      <c r="Y6" s="106">
        <f>SUM(Y5,Y5*C12)</f>
        <v>92446.320600411884</v>
      </c>
      <c r="Z6" s="21"/>
      <c r="AA6" s="107"/>
      <c r="AB6" s="140"/>
      <c r="AC6" s="214">
        <f>IF(G2="Handmatig",I6,0%)</f>
        <v>0</v>
      </c>
      <c r="AE6" s="204"/>
      <c r="AF6" s="140"/>
      <c r="AG6" s="140"/>
      <c r="AJ6" s="190"/>
    </row>
    <row r="7" spans="1:36" x14ac:dyDescent="0.25">
      <c r="A7" s="46">
        <v>4</v>
      </c>
      <c r="B7" s="46" t="s">
        <v>679</v>
      </c>
      <c r="C7" s="53">
        <v>1.9E-2</v>
      </c>
      <c r="D7" s="24"/>
      <c r="E7" s="46">
        <v>5</v>
      </c>
      <c r="F7" s="46" t="s">
        <v>762</v>
      </c>
      <c r="G7" s="50">
        <f>IF($G$2="Slechtweer",20%,I7)</f>
        <v>0.2</v>
      </c>
      <c r="H7" s="47"/>
      <c r="I7" s="49">
        <v>0</v>
      </c>
      <c r="J7" s="92">
        <f>SUM(C1,2)</f>
        <v>2021</v>
      </c>
      <c r="K7" s="96">
        <f t="shared" si="2"/>
        <v>0.26592187046397581</v>
      </c>
      <c r="L7" s="168">
        <f>SUM(W7,'Inkomsten &amp; uitgaven'!I32,'Investeringen &amp; financiering'!E11)</f>
        <v>228603742.61354524</v>
      </c>
      <c r="M7" s="28">
        <f>SUM('Inkomsten &amp; uitgaven'!J32,-'Inkomsten &amp; uitgaven'!K32,-'Investeringen &amp; financiering'!E10,-X7)</f>
        <v>229056741.58468401</v>
      </c>
      <c r="N7" s="21">
        <f>SUM('Investeringen &amp; financiering'!E10,'Investeringen &amp; financiering'!E11)</f>
        <v>1795750</v>
      </c>
      <c r="O7" s="168">
        <f>-SUM('Investeringen &amp; financiering'!C10,'Investeringen &amp; financiering'!F10,'Investeringen &amp; financiering'!G10,'Investeringen &amp; financiering'!H10)*SUM(1,-G21)</f>
        <v>25840361.908689417</v>
      </c>
      <c r="P7" s="97">
        <f>'Inkomsten &amp; uitgaven'!N32</f>
        <v>-2448410.3875308963</v>
      </c>
      <c r="Q7" s="97">
        <f>'Investeringen &amp; financiering'!T10</f>
        <v>-24911754.042444013</v>
      </c>
      <c r="R7" s="97">
        <f>'Investeringen &amp; financiering'!R83</f>
        <v>1066803.5501467253</v>
      </c>
      <c r="S7" s="22">
        <f t="shared" si="3"/>
        <v>-60790734.830859244</v>
      </c>
      <c r="T7" s="107">
        <f t="shared" si="0"/>
        <v>-651.7941103956814</v>
      </c>
      <c r="U7" s="22">
        <f t="shared" si="1"/>
        <v>-80222014.830859244</v>
      </c>
      <c r="V7" s="168">
        <f>SUM(V6,-'Investeringen &amp; financiering'!C83,-'Investeringen &amp; financiering'!D83,-'Investeringen &amp; financiering'!N83)</f>
        <v>19431280</v>
      </c>
      <c r="W7" s="168">
        <f>'Investeringen &amp; financiering'!T83</f>
        <v>3018430.0576000004</v>
      </c>
      <c r="X7" s="21">
        <f>SUM('Investeringen &amp; financiering'!S10,'Investeringen &amp; financiering'!S83,'Inkomsten &amp; uitgaven'!M32)</f>
        <v>-2957224.4352113446</v>
      </c>
      <c r="Y7" s="106">
        <f>SUM(Y6,Y6*C12)</f>
        <v>93266.7752919021</v>
      </c>
      <c r="Z7" s="21"/>
      <c r="AA7" s="107"/>
      <c r="AB7" s="140"/>
      <c r="AC7" s="214">
        <f>IF(G2="Handmatig",I7,0%)</f>
        <v>0</v>
      </c>
      <c r="AE7" s="204"/>
      <c r="AF7" s="140"/>
      <c r="AG7" s="140"/>
    </row>
    <row r="8" spans="1:36" x14ac:dyDescent="0.25">
      <c r="A8" s="46">
        <v>5</v>
      </c>
      <c r="B8" s="46" t="s">
        <v>738</v>
      </c>
      <c r="C8" s="53">
        <v>1.4999999999999999E-2</v>
      </c>
      <c r="D8" s="24"/>
      <c r="E8" s="46">
        <v>6</v>
      </c>
      <c r="F8" s="46" t="s">
        <v>763</v>
      </c>
      <c r="G8" s="50">
        <f>IF($G$2="Slechtweer",20%,I8)</f>
        <v>0.2</v>
      </c>
      <c r="H8" s="47"/>
      <c r="I8" s="49">
        <v>0</v>
      </c>
      <c r="J8" s="92">
        <f>SUM(C1,3)</f>
        <v>2022</v>
      </c>
      <c r="K8" s="96">
        <f t="shared" si="2"/>
        <v>0.33499065221397389</v>
      </c>
      <c r="L8" s="168">
        <f>SUM(W8,'Inkomsten &amp; uitgaven'!I33,'Investeringen &amp; financiering'!E13)</f>
        <v>239674219.06864244</v>
      </c>
      <c r="M8" s="28">
        <f>SUM('Inkomsten &amp; uitgaven'!J33,-'Inkomsten &amp; uitgaven'!K33,-'Investeringen &amp; financiering'!E12,-X8)</f>
        <v>233325594.24667791</v>
      </c>
      <c r="N8" s="21">
        <f>SUM('Investeringen &amp; financiering'!E12,'Investeringen &amp; financiering'!E13)</f>
        <v>1547362.5</v>
      </c>
      <c r="O8" s="168">
        <f>-SUM('Investeringen &amp; financiering'!C12,'Investeringen &amp; financiering'!F12,'Investeringen &amp; financiering'!G12,'Investeringen &amp; financiering'!H12)*SUM(1,-G21)</f>
        <v>25846512.955784664</v>
      </c>
      <c r="P8" s="97">
        <f>'Inkomsten &amp; uitgaven'!N33</f>
        <v>5324568.126252166</v>
      </c>
      <c r="Q8" s="97">
        <f>'Investeringen &amp; financiering'!T12</f>
        <v>-25938802.948033966</v>
      </c>
      <c r="R8" s="97">
        <f>'Investeringen &amp; financiering'!R85</f>
        <v>1116346.6879616512</v>
      </c>
      <c r="S8" s="22">
        <f t="shared" si="3"/>
        <v>-80288622.96467939</v>
      </c>
      <c r="T8" s="107">
        <f t="shared" si="0"/>
        <v>-853.27636774170674</v>
      </c>
      <c r="U8" s="22">
        <f t="shared" si="1"/>
        <v>-99719902.96467939</v>
      </c>
      <c r="V8" s="168">
        <f>SUM(V7,-'Investeringen &amp; financiering'!C85,-'Investeringen &amp; financiering'!D85,-'Investeringen &amp; financiering'!N85)</f>
        <v>19431280</v>
      </c>
      <c r="W8" s="168">
        <f>'Investeringen &amp; financiering'!T85</f>
        <v>3016667.5031111115</v>
      </c>
      <c r="X8" s="21">
        <f>SUM('Investeringen &amp; financiering'!S12,'Investeringen &amp; financiering'!S85,'Inkomsten &amp; uitgaven'!M33)</f>
        <v>-3614868.0304742842</v>
      </c>
      <c r="Y8" s="106">
        <f>SUM(Y7,Y7*C12)</f>
        <v>94094.511461945673</v>
      </c>
      <c r="Z8" s="21"/>
      <c r="AA8" s="107"/>
      <c r="AB8" s="140"/>
      <c r="AC8" s="214">
        <f>IF(G2="Handmatig",I8,0%)</f>
        <v>0</v>
      </c>
      <c r="AE8" s="204"/>
      <c r="AF8" s="140"/>
      <c r="AG8" s="140"/>
    </row>
    <row r="9" spans="1:36" x14ac:dyDescent="0.25">
      <c r="A9" s="46">
        <v>6</v>
      </c>
      <c r="B9" s="46" t="s">
        <v>891</v>
      </c>
      <c r="C9" s="53">
        <v>2.4E-2</v>
      </c>
      <c r="D9" s="18"/>
      <c r="E9" s="46">
        <v>7</v>
      </c>
      <c r="F9" s="46" t="s">
        <v>764</v>
      </c>
      <c r="G9" s="50">
        <f>IF($G$2="Slechtweer",12%,I9)</f>
        <v>0.12</v>
      </c>
      <c r="H9" s="48"/>
      <c r="I9" s="49">
        <v>0</v>
      </c>
      <c r="J9" s="92">
        <f>SUM(C1,4)</f>
        <v>2023</v>
      </c>
      <c r="K9" s="96">
        <f t="shared" si="2"/>
        <v>0.36869301674604071</v>
      </c>
      <c r="L9" s="168">
        <f>SUM(W9,'Inkomsten &amp; uitgaven'!I34,'Investeringen &amp; financiering'!E15)</f>
        <v>251250688.84909549</v>
      </c>
      <c r="M9" s="28">
        <f>SUM('Inkomsten &amp; uitgaven'!J34,-'Inkomsten &amp; uitgaven'!K34,-'Investeringen &amp; financiering'!E14,-X9)</f>
        <v>237520417.9641141</v>
      </c>
      <c r="N9" s="21">
        <f>SUM('Investeringen &amp; financiering'!E14,'Investeringen &amp; financiering'!E15)</f>
        <v>1298975</v>
      </c>
      <c r="O9" s="168">
        <f>-SUM('Investeringen &amp; financiering'!C14,'Investeringen &amp; financiering'!F14,'Investeringen &amp; financiering'!G14,'Investeringen &amp; financiering'!H14)*SUM(1,-G21)</f>
        <v>26076022.351595841</v>
      </c>
      <c r="P9" s="97">
        <f>'Inkomsten &amp; uitgaven'!N34</f>
        <v>13817684.014303731</v>
      </c>
      <c r="Q9" s="97">
        <f>'Investeringen &amp; financiering'!T14</f>
        <v>-27359098.894098967</v>
      </c>
      <c r="R9" s="97">
        <f>'Investeringen &amp; financiering'!R87</f>
        <v>1195663.413180796</v>
      </c>
      <c r="S9" s="22">
        <f t="shared" si="3"/>
        <v>-92634374.43129383</v>
      </c>
      <c r="T9" s="107">
        <f t="shared" si="0"/>
        <v>-975.82187796654625</v>
      </c>
      <c r="U9" s="22">
        <f t="shared" si="1"/>
        <v>-112065654.43129383</v>
      </c>
      <c r="V9" s="168">
        <f>SUM(V8,-'Investeringen &amp; financiering'!C87,-'Investeringen &amp; financiering'!D87,-'Investeringen &amp; financiering'!N87)</f>
        <v>19431280</v>
      </c>
      <c r="W9" s="168">
        <f>'Investeringen &amp; financiering'!T87</f>
        <v>3009319.8384727277</v>
      </c>
      <c r="X9" s="21">
        <f>SUM('Investeringen &amp; financiering'!S14,'Investeringen &amp; financiering'!S87,'Inkomsten &amp; uitgaven'!M34)</f>
        <v>-4132134.5783656612</v>
      </c>
      <c r="Y9" s="106">
        <f>SUM(Y8,Y8*C12)</f>
        <v>94929.593733160364</v>
      </c>
      <c r="Z9" s="21"/>
      <c r="AA9" s="107"/>
      <c r="AB9" s="140"/>
      <c r="AC9" s="214">
        <f>IF(G2="Handmatig",I9,0%)</f>
        <v>0</v>
      </c>
      <c r="AE9" s="204"/>
      <c r="AF9" s="140"/>
      <c r="AG9" s="140"/>
    </row>
    <row r="10" spans="1:36" x14ac:dyDescent="0.25">
      <c r="A10" s="46">
        <v>7</v>
      </c>
      <c r="B10" s="46" t="s">
        <v>839</v>
      </c>
      <c r="C10" s="85">
        <f>VLOOKUP($C$2,'Data macrogegevens'!$B$2:$F$357,5,0)</f>
        <v>90827</v>
      </c>
      <c r="D10" s="18"/>
      <c r="E10" s="46">
        <v>8</v>
      </c>
      <c r="F10" s="46" t="s">
        <v>765</v>
      </c>
      <c r="G10" s="50">
        <f>IF($G$2="Slechtweer",12%,I10)</f>
        <v>0.12</v>
      </c>
      <c r="H10" s="48"/>
      <c r="I10" s="49">
        <v>0</v>
      </c>
      <c r="J10" s="92">
        <f>SUM(C1,5)</f>
        <v>2024</v>
      </c>
      <c r="K10" s="96">
        <f t="shared" si="2"/>
        <v>0.36870783673734264</v>
      </c>
      <c r="L10" s="168">
        <f>SUM(W10,'Inkomsten &amp; uitgaven'!I35,'Investeringen &amp; financiering'!E17)</f>
        <v>263361204.46791351</v>
      </c>
      <c r="M10" s="28">
        <f>SUM('Inkomsten &amp; uitgaven'!J35,-'Inkomsten &amp; uitgaven'!K35,-'Investeringen &amp; financiering'!E16,-X10)</f>
        <v>241522598.56673402</v>
      </c>
      <c r="N10" s="21">
        <f>SUM('Investeringen &amp; financiering'!E16,'Investeringen &amp; financiering'!E17)</f>
        <v>1050587.5</v>
      </c>
      <c r="O10" s="168">
        <f>-SUM('Investeringen &amp; financiering'!C16,'Investeringen &amp; financiering'!F16,'Investeringen &amp; financiering'!G16,'Investeringen &amp; financiering'!H16)*SUM(1,-G21)</f>
        <v>26307571.449791018</v>
      </c>
      <c r="P10" s="97">
        <f>'Inkomsten &amp; uitgaven'!N35</f>
        <v>23089380.764546026</v>
      </c>
      <c r="Q10" s="97">
        <f>'Investeringen &amp; financiering'!T16</f>
        <v>-28832601.911249217</v>
      </c>
      <c r="R10" s="97">
        <f>'Investeringen &amp; financiering'!R89</f>
        <v>1274255.5980916678</v>
      </c>
      <c r="S10" s="22">
        <f t="shared" si="3"/>
        <v>-97103339.979905367</v>
      </c>
      <c r="T10" s="107">
        <f t="shared" si="0"/>
        <v>-1013.9002157698274</v>
      </c>
      <c r="U10" s="22">
        <f t="shared" si="1"/>
        <v>-116534619.97990537</v>
      </c>
      <c r="V10" s="168">
        <f>SUM(V9,-'Investeringen &amp; financiering'!C89,-'Investeringen &amp; financiering'!D89,-'Investeringen &amp; financiering'!N89)</f>
        <v>19431280</v>
      </c>
      <c r="W10" s="168">
        <f>'Investeringen &amp; financiering'!T89</f>
        <v>3003238.3296000003</v>
      </c>
      <c r="X10" s="21">
        <f>SUM('Investeringen &amp; financiering'!S16,'Investeringen &amp; financiering'!S89,'Inkomsten &amp; uitgaven'!M35)</f>
        <v>-4388446.5903551178</v>
      </c>
      <c r="Y10" s="106">
        <f>SUM(Y9,Y9*C12)</f>
        <v>95772.087301685198</v>
      </c>
      <c r="Z10" s="21"/>
      <c r="AA10" s="107"/>
      <c r="AB10" s="140"/>
      <c r="AC10" s="214">
        <f>IF(G2="Handmatig",I10,0%)</f>
        <v>0</v>
      </c>
      <c r="AE10" s="204"/>
      <c r="AF10" s="140"/>
      <c r="AG10" s="140"/>
    </row>
    <row r="11" spans="1:36" x14ac:dyDescent="0.25">
      <c r="A11" s="46">
        <v>8</v>
      </c>
      <c r="B11" s="46" t="s">
        <v>688</v>
      </c>
      <c r="C11" s="53">
        <v>3.0999999999999999E-3</v>
      </c>
      <c r="D11" s="18"/>
      <c r="E11" s="46">
        <v>9</v>
      </c>
      <c r="F11" s="46" t="s">
        <v>536</v>
      </c>
      <c r="G11" s="193"/>
      <c r="H11" s="48"/>
      <c r="I11" s="136"/>
      <c r="J11" s="92">
        <f>SUM(C1,6)</f>
        <v>2025</v>
      </c>
      <c r="K11" s="141">
        <f t="shared" si="2"/>
        <v>0.37179839147440447</v>
      </c>
      <c r="L11" s="168">
        <f>SUM(W11,'Inkomsten &amp; uitgaven'!I36,'Investeringen &amp; financiering'!E19)</f>
        <v>270998902.27071577</v>
      </c>
      <c r="M11" s="28">
        <f>SUM('Inkomsten &amp; uitgaven'!J36,-'Inkomsten &amp; uitgaven'!K36,-'Investeringen &amp; financiering'!E18,-X11)</f>
        <v>248111339.82924223</v>
      </c>
      <c r="N11" s="21">
        <f>SUM('Investeringen &amp; financiering'!E18,'Investeringen &amp; financiering'!E19)</f>
        <v>802200</v>
      </c>
      <c r="O11" s="168">
        <f>-SUM('Investeringen &amp; financiering'!C18,'Investeringen &amp; financiering'!F18,'Investeringen &amp; financiering'!G18,'Investeringen &amp; financiering'!H18)*SUM(1,-G21)</f>
        <v>26541178.417149641</v>
      </c>
      <c r="P11" s="97">
        <f>'Inkomsten &amp; uitgaven'!N36</f>
        <v>25372694.903400287</v>
      </c>
      <c r="Q11" s="97">
        <f>'Investeringen &amp; financiering'!T18</f>
        <v>-30361245.947825268</v>
      </c>
      <c r="R11" s="97">
        <f>'Investeringen &amp; financiering'!R91</f>
        <v>1334935.0687488946</v>
      </c>
      <c r="S11" s="22">
        <f t="shared" si="3"/>
        <v>-100756955.95558146</v>
      </c>
      <c r="T11" s="107">
        <f t="shared" si="0"/>
        <v>-1042.794555419028</v>
      </c>
      <c r="U11" s="22">
        <f t="shared" si="1"/>
        <v>-120188235.95558146</v>
      </c>
      <c r="V11" s="168">
        <f>SUM(V10,-'Investeringen &amp; financiering'!C91,-'Investeringen &amp; financiering'!D91,-'Investeringen &amp; financiering'!N91)</f>
        <v>19431280</v>
      </c>
      <c r="W11" s="168">
        <f>'Investeringen &amp; financiering'!T91</f>
        <v>3004018.85205926</v>
      </c>
      <c r="X11" s="21">
        <f>SUM('Investeringen &amp; financiering'!S18,'Investeringen &amp; financiering'!S91,'Inkomsten &amp; uitgaven'!M36)</f>
        <v>-4518303.9284442905</v>
      </c>
      <c r="Y11" s="106">
        <f>SUM(Y10,Y10*C12)</f>
        <v>96622.057942270418</v>
      </c>
      <c r="Z11" s="21"/>
      <c r="AA11" s="107"/>
      <c r="AB11" s="140"/>
      <c r="AE11" s="204"/>
      <c r="AF11" s="140"/>
      <c r="AG11" s="140"/>
    </row>
    <row r="12" spans="1:36" x14ac:dyDescent="0.25">
      <c r="A12" s="46">
        <v>9</v>
      </c>
      <c r="B12" s="46" t="s">
        <v>689</v>
      </c>
      <c r="C12" s="53">
        <f>VLOOKUP($C$2,'Data macrogegevens'!$B$2:$F$357,2,0)</f>
        <v>8.8749307291150579E-3</v>
      </c>
      <c r="D12" s="18"/>
      <c r="E12" s="46">
        <v>10</v>
      </c>
      <c r="F12" s="46" t="s">
        <v>766</v>
      </c>
      <c r="G12" s="50">
        <f>IF($G$2="Slechtweer",1%,I12)</f>
        <v>0.01</v>
      </c>
      <c r="H12" s="48"/>
      <c r="I12" s="49">
        <v>0</v>
      </c>
      <c r="J12" s="92">
        <f>SUM(C1,7)</f>
        <v>2026</v>
      </c>
      <c r="K12" s="96">
        <f t="shared" si="2"/>
        <v>0.36996155052692009</v>
      </c>
      <c r="L12" s="168">
        <f>SUM(W12,'Inkomsten &amp; uitgaven'!I37,'Investeringen &amp; financiering'!E21)</f>
        <v>279147304.54918045</v>
      </c>
      <c r="M12" s="28">
        <f>SUM('Inkomsten &amp; uitgaven'!J37,-'Inkomsten &amp; uitgaven'!K37,-'Investeringen &amp; financiering'!E20,-X12)</f>
        <v>254887256.62686726</v>
      </c>
      <c r="N12" s="21">
        <f>SUM('Investeringen &amp; financiering'!E20,'Investeringen &amp; financiering'!E21)</f>
        <v>802200</v>
      </c>
      <c r="O12" s="168">
        <f>-SUM('Investeringen &amp; financiering'!C20,'Investeringen &amp; financiering'!F20,'Investeringen &amp; financiering'!G20,'Investeringen &amp; financiering'!H20)*SUM(1,-G21)</f>
        <v>26776861.583156902</v>
      </c>
      <c r="P12" s="97">
        <f>'Inkomsten &amp; uitgaven'!N37</f>
        <v>27805679.490267389</v>
      </c>
      <c r="Q12" s="97">
        <f>'Investeringen &amp; financiering'!T20</f>
        <v>-31694176.26494237</v>
      </c>
      <c r="R12" s="97">
        <f>'Investeringen &amp; financiering'!R93</f>
        <v>1371683.1138312621</v>
      </c>
      <c r="S12" s="22">
        <f t="shared" si="3"/>
        <v>-103273769.61642517</v>
      </c>
      <c r="T12" s="107">
        <f t="shared" si="0"/>
        <v>-1059.4401214873544</v>
      </c>
      <c r="U12" s="22">
        <f t="shared" si="1"/>
        <v>-122705049.61642517</v>
      </c>
      <c r="V12" s="168">
        <f>SUM(V11,-'Investeringen &amp; financiering'!C93,-'Investeringen &amp; financiering'!D93,-'Investeringen &amp; financiering'!N93)</f>
        <v>19431280</v>
      </c>
      <c r="W12" s="168">
        <f>'Investeringen &amp; financiering'!T93</f>
        <v>3013389.7013333342</v>
      </c>
      <c r="X12" s="21">
        <f>SUM('Investeringen &amp; financiering'!S20,'Investeringen &amp; financiering'!S93,'Inkomsten &amp; uitgaven'!M37)</f>
        <v>-4647888.285429514</v>
      </c>
      <c r="Y12" s="106">
        <f>SUM(Y11,Y11*C12)</f>
        <v>97479.572013412602</v>
      </c>
      <c r="Z12" s="21"/>
      <c r="AA12" s="107"/>
      <c r="AB12" s="140"/>
      <c r="AC12" s="214">
        <f>IF(G2="Handmatig",I12,0%)</f>
        <v>0</v>
      </c>
      <c r="AE12" s="204"/>
      <c r="AF12" s="140"/>
      <c r="AG12" s="140"/>
    </row>
    <row r="13" spans="1:36" x14ac:dyDescent="0.25">
      <c r="A13" s="46">
        <v>10</v>
      </c>
      <c r="B13" s="46" t="s">
        <v>114</v>
      </c>
      <c r="C13" s="53">
        <f>VLOOKUP($C$2,'Data macrogegevens'!$B$2:$F$357,4,0)</f>
        <v>4.8005598320503849E-2</v>
      </c>
      <c r="D13" s="18"/>
      <c r="E13" s="46">
        <v>11</v>
      </c>
      <c r="F13" s="46" t="s">
        <v>767</v>
      </c>
      <c r="G13" s="50">
        <f>IF($G$2="Slechtweer",2%,I13)</f>
        <v>0.02</v>
      </c>
      <c r="H13" s="48"/>
      <c r="I13" s="49">
        <v>0</v>
      </c>
      <c r="J13" s="92">
        <f>SUM(C1,8)</f>
        <v>2027</v>
      </c>
      <c r="K13" s="96">
        <f t="shared" si="2"/>
        <v>0.36356807871673208</v>
      </c>
      <c r="L13" s="168">
        <f>SUM(W13,'Inkomsten &amp; uitgaven'!I38,'Investeringen &amp; financiering'!E23)</f>
        <v>287558495.96517909</v>
      </c>
      <c r="M13" s="28">
        <f>SUM('Inkomsten &amp; uitgaven'!J38,-'Inkomsten &amp; uitgaven'!K38,-'Investeringen &amp; financiering'!E22,-X13)</f>
        <v>261817176.80400565</v>
      </c>
      <c r="N13" s="21">
        <f>SUM('Investeringen &amp; financiering'!E22,'Investeringen &amp; financiering'!E23)</f>
        <v>802200</v>
      </c>
      <c r="O13" s="168">
        <f>-SUM('Investeringen &amp; financiering'!C22,'Investeringen &amp; financiering'!F22,'Investeringen &amp; financiering'!G22,'Investeringen &amp; financiering'!H22)*SUM(1,-G21)</f>
        <v>27014639.441481572</v>
      </c>
      <c r="P13" s="97">
        <f>'Inkomsten &amp; uitgaven'!N38</f>
        <v>30396486.746950813</v>
      </c>
      <c r="Q13" s="97">
        <f>'Investeringen &amp; financiering'!T22</f>
        <v>-33077224.470254816</v>
      </c>
      <c r="R13" s="97">
        <f>'Investeringen &amp; financiering'!R95</f>
        <v>1407417.4429958537</v>
      </c>
      <c r="S13" s="22">
        <f t="shared" si="3"/>
        <v>-104547089.89673331</v>
      </c>
      <c r="T13" s="107">
        <f t="shared" si="0"/>
        <v>-1063.0678995136327</v>
      </c>
      <c r="U13" s="22">
        <f t="shared" si="1"/>
        <v>-123978369.89673331</v>
      </c>
      <c r="V13" s="168">
        <f>SUM(V12,-'Investeringen &amp; financiering'!C95,-'Investeringen &amp; financiering'!D95,-'Investeringen &amp; financiering'!N95)</f>
        <v>19431280</v>
      </c>
      <c r="W13" s="168">
        <f>'Investeringen &amp; financiering'!T95</f>
        <v>3023658.8384000007</v>
      </c>
      <c r="X13" s="21">
        <f>SUM('Investeringen &amp; financiering'!S22,'Investeringen &amp; financiering'!S95,'Inkomsten &amp; uitgaven'!M38)</f>
        <v>-4738578.5166750289</v>
      </c>
      <c r="Y13" s="106">
        <f>SUM(Y12,Y12*C12)</f>
        <v>98344.696462535416</v>
      </c>
      <c r="Z13" s="21"/>
      <c r="AA13" s="107"/>
      <c r="AB13" s="140"/>
      <c r="AC13" s="214">
        <f>IF(G2="Handmatig",I13,0%)</f>
        <v>0</v>
      </c>
      <c r="AE13" s="204"/>
      <c r="AF13" s="140"/>
      <c r="AG13" s="140"/>
    </row>
    <row r="14" spans="1:36" x14ac:dyDescent="0.25">
      <c r="A14" s="46">
        <v>11</v>
      </c>
      <c r="B14" s="46" t="s">
        <v>618</v>
      </c>
      <c r="C14" s="53">
        <v>0</v>
      </c>
      <c r="D14" s="18"/>
      <c r="E14" s="46">
        <v>12</v>
      </c>
      <c r="F14" s="46" t="s">
        <v>768</v>
      </c>
      <c r="G14" s="50">
        <f>IF($G$2="Slechtweer",3%,I14)</f>
        <v>0.03</v>
      </c>
      <c r="H14" s="48"/>
      <c r="I14" s="49">
        <v>0</v>
      </c>
      <c r="J14" s="92">
        <f>SUM(C1,9)</f>
        <v>2028</v>
      </c>
      <c r="K14" s="96">
        <f t="shared" si="2"/>
        <v>0.35273540996262692</v>
      </c>
      <c r="L14" s="168">
        <f>SUM(W14,'Inkomsten &amp; uitgaven'!I39,'Investeringen &amp; financiering'!E25)</f>
        <v>296252208.56521088</v>
      </c>
      <c r="M14" s="28">
        <f>SUM('Inkomsten &amp; uitgaven'!J39,-'Inkomsten &amp; uitgaven'!K39,-'Investeringen &amp; financiering'!E24,-X14)</f>
        <v>268949232.25759327</v>
      </c>
      <c r="N14" s="21">
        <f>SUM('Investeringen &amp; financiering'!E24,'Investeringen &amp; financiering'!E25)</f>
        <v>802200</v>
      </c>
      <c r="O14" s="168">
        <f>-SUM('Investeringen &amp; financiering'!C24,'Investeringen &amp; financiering'!F24,'Investeringen &amp; financiering'!G24,'Investeringen &amp; financiering'!H24)*SUM(1,-G21)</f>
        <v>27254530.651467618</v>
      </c>
      <c r="P14" s="97">
        <f>'Inkomsten &amp; uitgaven'!N39</f>
        <v>33153668.268422756</v>
      </c>
      <c r="Q14" s="97">
        <f>'Investeringen &amp; financiering'!T24</f>
        <v>-34512213.802949779</v>
      </c>
      <c r="R14" s="97">
        <f>'Investeringen &amp; financiering'!R97</f>
        <v>1406991.1906770382</v>
      </c>
      <c r="S14" s="22">
        <f t="shared" si="3"/>
        <v>-104498644.24058332</v>
      </c>
      <c r="T14" s="107">
        <f t="shared" si="0"/>
        <v>-1053.2279635304158</v>
      </c>
      <c r="U14" s="22">
        <f t="shared" si="1"/>
        <v>-123929924.24058332</v>
      </c>
      <c r="V14" s="168">
        <f>SUM(V13,-'Investeringen &amp; financiering'!C97,-'Investeringen &amp; financiering'!D97,-'Investeringen &amp; financiering'!N97)</f>
        <v>19431280</v>
      </c>
      <c r="W14" s="168">
        <f>'Investeringen &amp; financiering'!T97</f>
        <v>3046131.408133334</v>
      </c>
      <c r="X14" s="21">
        <f>SUM('Investeringen &amp; financiering'!S24,'Investeringen &amp; financiering'!S97,'Inkomsten &amp; uitgaven'!M39)</f>
        <v>-4832898.8501623021</v>
      </c>
      <c r="Y14" s="106">
        <f>SUM(Y13,Y13*C12)</f>
        <v>99217.49883121626</v>
      </c>
      <c r="Z14" s="21"/>
      <c r="AA14" s="107"/>
      <c r="AB14" s="140"/>
      <c r="AC14" s="214">
        <f>IF(G2="Handmatig",I14,0%)</f>
        <v>0</v>
      </c>
      <c r="AE14" s="204"/>
      <c r="AF14" s="140"/>
      <c r="AG14" s="140"/>
    </row>
    <row r="15" spans="1:36" x14ac:dyDescent="0.25">
      <c r="A15" s="46">
        <v>12</v>
      </c>
      <c r="B15" s="46" t="s">
        <v>101</v>
      </c>
      <c r="C15" s="53">
        <v>0</v>
      </c>
      <c r="D15" s="24"/>
      <c r="E15" s="46">
        <v>13</v>
      </c>
      <c r="F15" s="46" t="s">
        <v>514</v>
      </c>
      <c r="G15" s="51">
        <f>'Inkomsten &amp; uitgaven'!M13</f>
        <v>20816155</v>
      </c>
      <c r="H15" s="48"/>
      <c r="I15" s="50"/>
      <c r="J15" s="3"/>
      <c r="K15" s="3"/>
      <c r="M15" s="3"/>
      <c r="N15" s="3"/>
      <c r="O15" s="3"/>
      <c r="X15" s="27"/>
      <c r="AA15" s="3"/>
    </row>
    <row r="16" spans="1:36" x14ac:dyDescent="0.25">
      <c r="A16" s="46">
        <v>13</v>
      </c>
      <c r="B16" s="46" t="s">
        <v>552</v>
      </c>
      <c r="C16" s="53">
        <v>6.0000000000000001E-3</v>
      </c>
      <c r="D16" s="18"/>
      <c r="E16" s="46">
        <v>14</v>
      </c>
      <c r="F16" s="46" t="s">
        <v>687</v>
      </c>
      <c r="G16" s="51">
        <f>'Inkomsten &amp; uitgaven'!M14</f>
        <v>154392487.62155348</v>
      </c>
      <c r="H16" s="48"/>
      <c r="I16" s="50"/>
      <c r="J16" s="1"/>
      <c r="K16" s="249"/>
      <c r="P16" s="27"/>
    </row>
    <row r="17" spans="1:32" x14ac:dyDescent="0.25">
      <c r="A17" s="46">
        <v>14</v>
      </c>
      <c r="B17" s="14" t="s">
        <v>619</v>
      </c>
      <c r="C17" s="53">
        <v>1.0999999999999999E-2</v>
      </c>
      <c r="E17" s="46">
        <v>15</v>
      </c>
      <c r="F17" s="46" t="s">
        <v>769</v>
      </c>
      <c r="G17" s="311">
        <v>3.6999999999999998E-2</v>
      </c>
      <c r="H17" s="180">
        <f>G17*SUM(G15,G16)</f>
        <v>6482719.7769974787</v>
      </c>
      <c r="I17" s="136"/>
      <c r="J17" s="1"/>
      <c r="K17" s="249"/>
      <c r="L17" s="1"/>
      <c r="Y17" s="2"/>
      <c r="Z17" s="38"/>
      <c r="AA17" s="2"/>
      <c r="AB17" s="45"/>
    </row>
    <row r="18" spans="1:32" x14ac:dyDescent="0.25">
      <c r="A18" s="14">
        <v>15</v>
      </c>
      <c r="B18" s="46" t="s">
        <v>696</v>
      </c>
      <c r="C18" s="84" t="str">
        <f>VLOOKUP($C$2,'Data macrogegevens'!$B$2:$F$357,3,0)</f>
        <v>Laag</v>
      </c>
      <c r="E18" s="46">
        <v>16</v>
      </c>
      <c r="F18" s="46" t="s">
        <v>690</v>
      </c>
      <c r="G18" s="98">
        <v>1</v>
      </c>
      <c r="H18" s="180">
        <f>H17*G18*5</f>
        <v>32413598.884987392</v>
      </c>
      <c r="I18" s="136"/>
      <c r="K18" s="3"/>
      <c r="L18" s="5"/>
      <c r="Y18" s="21"/>
      <c r="Z18" s="29"/>
      <c r="AA18" s="21"/>
      <c r="AB18" s="16"/>
    </row>
    <row r="19" spans="1:32" ht="13.8" x14ac:dyDescent="0.3">
      <c r="A19" s="260"/>
      <c r="C19" s="53"/>
      <c r="E19" s="46">
        <v>17</v>
      </c>
      <c r="F19" s="46" t="s">
        <v>770</v>
      </c>
      <c r="G19" s="139">
        <f>IF($G$2="Slechtweer",I19,$AC$19)</f>
        <v>0</v>
      </c>
      <c r="H19" s="142"/>
      <c r="I19" s="161">
        <v>0</v>
      </c>
      <c r="K19" s="7"/>
      <c r="L19" s="4"/>
      <c r="Y19" s="21"/>
      <c r="Z19" s="29"/>
      <c r="AA19" s="21"/>
      <c r="AB19" s="16"/>
      <c r="AC19" s="216">
        <f>IF(G2="Handmatig",I19,0%)</f>
        <v>0</v>
      </c>
    </row>
    <row r="20" spans="1:32" ht="13.8" x14ac:dyDescent="0.3">
      <c r="A20" s="260" t="s">
        <v>69</v>
      </c>
      <c r="B20" s="14" t="s">
        <v>803</v>
      </c>
      <c r="C20" s="53"/>
      <c r="E20" s="46"/>
      <c r="F20" s="46"/>
      <c r="G20" s="143"/>
      <c r="H20" s="127"/>
      <c r="I20" s="127"/>
      <c r="K20" s="7"/>
      <c r="L20" s="4"/>
      <c r="Y20" s="21"/>
      <c r="Z20" s="29"/>
      <c r="AA20" s="21"/>
      <c r="AB20" s="16"/>
    </row>
    <row r="21" spans="1:32" x14ac:dyDescent="0.25">
      <c r="E21" s="46"/>
      <c r="F21" s="46"/>
      <c r="G21" s="144"/>
      <c r="H21" s="127"/>
      <c r="I21" s="145"/>
      <c r="K21" s="7"/>
      <c r="L21" s="4"/>
      <c r="Y21" s="21"/>
      <c r="Z21" s="29"/>
      <c r="AA21" s="21"/>
      <c r="AB21" s="16"/>
      <c r="AC21" s="216"/>
    </row>
    <row r="22" spans="1:32" ht="13.8" x14ac:dyDescent="0.3">
      <c r="A22" s="23"/>
      <c r="E22" s="46"/>
      <c r="F22" s="46"/>
      <c r="G22" s="128"/>
      <c r="H22" s="127"/>
      <c r="K22" s="7"/>
      <c r="V22" s="29"/>
      <c r="W22" s="29"/>
      <c r="X22" s="29"/>
      <c r="Y22" s="21"/>
      <c r="Z22" s="29"/>
      <c r="AA22" s="21"/>
      <c r="AB22" s="16"/>
    </row>
    <row r="23" spans="1:32" x14ac:dyDescent="0.25">
      <c r="C23" s="264" t="s">
        <v>21</v>
      </c>
      <c r="D23" s="115"/>
      <c r="E23" s="115"/>
      <c r="F23" s="265" t="s">
        <v>804</v>
      </c>
      <c r="G23" s="266">
        <v>2017</v>
      </c>
      <c r="H23" s="267">
        <v>2018</v>
      </c>
      <c r="I23" s="267">
        <v>2019</v>
      </c>
      <c r="J23" s="322"/>
      <c r="K23" s="141"/>
      <c r="L23" s="323"/>
      <c r="M23" s="322"/>
      <c r="N23" s="322"/>
      <c r="O23" s="322"/>
      <c r="P23" s="92"/>
      <c r="Q23" s="92"/>
      <c r="R23" s="92"/>
      <c r="S23" s="92"/>
      <c r="V23" s="162"/>
      <c r="W23" s="162"/>
      <c r="X23" s="162"/>
      <c r="Y23" s="251"/>
      <c r="Z23" s="162"/>
      <c r="AA23" s="149"/>
      <c r="AB23" s="16"/>
    </row>
    <row r="24" spans="1:32" x14ac:dyDescent="0.25">
      <c r="C24" s="317" t="s">
        <v>1342</v>
      </c>
      <c r="D24" s="110"/>
      <c r="E24" s="110"/>
      <c r="F24" s="218"/>
      <c r="G24" s="209"/>
      <c r="H24" s="209"/>
      <c r="I24" s="209"/>
      <c r="J24" s="322"/>
      <c r="K24" s="141"/>
      <c r="L24" s="322"/>
      <c r="M24" s="322"/>
      <c r="N24" s="322"/>
      <c r="O24" s="323"/>
      <c r="P24" s="235"/>
      <c r="Q24" s="235"/>
      <c r="R24" s="235"/>
      <c r="S24" s="235"/>
      <c r="AA24" s="22"/>
      <c r="AB24" s="16"/>
    </row>
    <row r="25" spans="1:32" x14ac:dyDescent="0.25">
      <c r="C25" s="108" t="s">
        <v>672</v>
      </c>
      <c r="D25" s="110"/>
      <c r="E25" s="110"/>
      <c r="F25" s="218"/>
      <c r="G25" s="112">
        <f>VLOOKUP($C$2,'Balans &amp; kengetallen 2017'!$AD$2:$AM$357,2,0)</f>
        <v>0</v>
      </c>
      <c r="H25" s="273">
        <f>Balansprognose!$F$41</f>
        <v>0</v>
      </c>
      <c r="I25" s="112">
        <f>Balansprognose!$G$41</f>
        <v>0</v>
      </c>
      <c r="J25" s="322"/>
      <c r="K25" s="257">
        <f>SUM(20.001%,-G25)</f>
        <v>0.20001000000000002</v>
      </c>
      <c r="L25" s="257">
        <f>SUM(20.001%,-H25)</f>
        <v>0.20001000000000002</v>
      </c>
      <c r="M25" s="257">
        <f>SUM(20.001%,-I25)</f>
        <v>0.20001000000000002</v>
      </c>
      <c r="N25" s="245">
        <f>IF(L25&lt;0,1,0)</f>
        <v>0</v>
      </c>
      <c r="O25" s="235"/>
      <c r="P25" s="235"/>
      <c r="Q25" s="235"/>
      <c r="R25" s="235"/>
      <c r="S25" s="235"/>
      <c r="AA25" s="22"/>
      <c r="AB25" s="16"/>
    </row>
    <row r="26" spans="1:32" x14ac:dyDescent="0.25">
      <c r="C26" s="169" t="s">
        <v>1343</v>
      </c>
      <c r="D26" s="109"/>
      <c r="E26" s="109"/>
      <c r="F26" s="219"/>
      <c r="G26" s="164"/>
      <c r="H26" s="112"/>
      <c r="I26" s="113"/>
      <c r="J26" s="322"/>
      <c r="K26" s="257"/>
      <c r="L26" s="258"/>
      <c r="M26" s="258"/>
      <c r="N26" s="258"/>
      <c r="O26" s="235"/>
      <c r="P26" s="235"/>
      <c r="Q26" s="235"/>
      <c r="R26" s="235"/>
      <c r="S26" s="235"/>
      <c r="AA26" s="22"/>
      <c r="AB26" s="253"/>
      <c r="AC26" s="252"/>
      <c r="AD26" s="121"/>
      <c r="AE26" s="121"/>
      <c r="AF26" s="121"/>
    </row>
    <row r="27" spans="1:32" x14ac:dyDescent="0.25">
      <c r="C27" s="108" t="s">
        <v>744</v>
      </c>
      <c r="D27" s="109"/>
      <c r="E27" s="109"/>
      <c r="F27" s="219"/>
      <c r="G27" s="112"/>
      <c r="H27" s="112"/>
      <c r="I27" s="274" t="str">
        <f>IF(N27=1,"Ja","Nee")</f>
        <v>Nee</v>
      </c>
      <c r="J27" s="322"/>
      <c r="K27" s="236">
        <f>IF(SUM(N28,N31,N38)&gt;0,1,0)</f>
        <v>0</v>
      </c>
      <c r="L27" s="236">
        <f>IF(SUM(N33,L37)&gt;0,1,0)</f>
        <v>1</v>
      </c>
      <c r="M27" s="245">
        <f>IF(N27=1,-1,1)</f>
        <v>1</v>
      </c>
      <c r="N27" s="236">
        <f>IF(SUM(K27,L27)&gt;1,1,0)</f>
        <v>0</v>
      </c>
      <c r="O27" s="235"/>
      <c r="P27" s="235"/>
      <c r="Q27" s="235"/>
      <c r="R27" s="235"/>
      <c r="S27" s="235"/>
      <c r="AA27" s="22"/>
      <c r="AB27" s="253"/>
      <c r="AC27" s="252"/>
      <c r="AD27" s="121"/>
      <c r="AE27" s="121"/>
      <c r="AF27" s="121"/>
    </row>
    <row r="28" spans="1:32" x14ac:dyDescent="0.25">
      <c r="C28" s="108" t="s">
        <v>564</v>
      </c>
      <c r="D28" s="109"/>
      <c r="E28" s="109"/>
      <c r="F28" s="219"/>
      <c r="G28" s="112">
        <f>VLOOKUP($C$2,'Balans &amp; kengetallen 2017'!$AD$2:$AM$357,3,0)</f>
        <v>-0.10643516426773382</v>
      </c>
      <c r="H28" s="273">
        <f>Balansprognose!$F$42</f>
        <v>-9.8338728914636228E-2</v>
      </c>
      <c r="I28" s="113">
        <f>Balansprognose!$G$42</f>
        <v>-6.6602520601959326E-3</v>
      </c>
      <c r="J28" s="322"/>
      <c r="K28" s="244">
        <f>SUM(130.001%,-G28)</f>
        <v>1.406445164267734</v>
      </c>
      <c r="L28" s="244">
        <f>SUM(130.001%,-H28)</f>
        <v>1.3983487289146364</v>
      </c>
      <c r="M28" s="244">
        <f>SUM(130.001%,-I28)</f>
        <v>1.306670252060196</v>
      </c>
      <c r="N28" s="245">
        <f>IF(L28&lt;0,1,0)</f>
        <v>0</v>
      </c>
      <c r="O28" s="235"/>
      <c r="P28" s="235"/>
      <c r="Q28" s="235"/>
      <c r="R28" s="235"/>
      <c r="S28" s="235"/>
      <c r="AA28" s="22"/>
      <c r="AB28" s="253"/>
      <c r="AC28" s="252"/>
      <c r="AD28" s="121"/>
      <c r="AE28" s="121"/>
      <c r="AF28" s="121"/>
    </row>
    <row r="29" spans="1:32" x14ac:dyDescent="0.25">
      <c r="C29" s="108" t="s">
        <v>84</v>
      </c>
      <c r="D29" s="109"/>
      <c r="E29" s="109"/>
      <c r="F29" s="219"/>
      <c r="G29" s="112">
        <f>VLOOKUP($C$2,'Balans &amp; kengetallen 2017'!$AD$2:$AM$357,4,0)</f>
        <v>0.10180173534591659</v>
      </c>
      <c r="H29" s="261">
        <f>Balansprognose!$F$43</f>
        <v>9.4057761117737268E-2</v>
      </c>
      <c r="I29" s="113">
        <f>Balansprognose!$G$43</f>
        <v>9.7599031125962465E-2</v>
      </c>
      <c r="J29" s="322"/>
      <c r="K29" s="258"/>
      <c r="L29" s="258"/>
      <c r="M29" s="258"/>
      <c r="N29" s="258"/>
      <c r="O29" s="235"/>
      <c r="P29" s="235"/>
      <c r="Q29" s="235"/>
      <c r="R29" s="235"/>
      <c r="S29" s="235"/>
      <c r="AA29" s="93"/>
      <c r="AB29" s="171"/>
      <c r="AC29" s="252"/>
      <c r="AD29" s="121"/>
      <c r="AE29" s="121"/>
      <c r="AF29" s="121"/>
    </row>
    <row r="30" spans="1:32" x14ac:dyDescent="0.25">
      <c r="C30" s="108" t="s">
        <v>559</v>
      </c>
      <c r="D30" s="109"/>
      <c r="E30" s="109"/>
      <c r="F30" s="219"/>
      <c r="G30" s="112">
        <f>VLOOKUP($C$2,'Balans &amp; kengetallen 2017'!$AD$2:$AM$357,5,0)</f>
        <v>9.497376695466155E-4</v>
      </c>
      <c r="H30" s="263">
        <f>Balansprognose!$F$44</f>
        <v>8.7749190662804563E-4</v>
      </c>
      <c r="I30" s="113">
        <f>Balansprognose!$G$44</f>
        <v>3.4398939962794181E-2</v>
      </c>
      <c r="J30" s="322"/>
      <c r="K30" s="258"/>
      <c r="L30" s="258"/>
      <c r="M30" s="258"/>
      <c r="N30" s="258"/>
      <c r="O30" s="235"/>
      <c r="P30" s="235"/>
      <c r="Q30" s="235"/>
      <c r="R30" s="235"/>
      <c r="S30" s="235"/>
      <c r="AA30" s="93"/>
      <c r="AB30" s="171"/>
      <c r="AC30" s="252"/>
      <c r="AD30" s="121"/>
      <c r="AE30" s="121"/>
      <c r="AF30" s="121"/>
    </row>
    <row r="31" spans="1:32" x14ac:dyDescent="0.25">
      <c r="A31" s="5"/>
      <c r="C31" s="108" t="s">
        <v>673</v>
      </c>
      <c r="D31" s="109"/>
      <c r="E31" s="109"/>
      <c r="F31" s="219"/>
      <c r="G31" s="112">
        <f>VLOOKUP($C$2,'Balans &amp; kengetallen 2017'!$AD$2:$AM$357,6,0)</f>
        <v>-9.488377239490646E-2</v>
      </c>
      <c r="H31" s="262">
        <f>SUM(H28,0.12*H29,-0.7*H30)</f>
        <v>-8.7666041915147389E-2</v>
      </c>
      <c r="I31" s="262">
        <f>SUM(I28,0.12*I29,-0.7*I30)</f>
        <v>-1.9027626299036364E-2</v>
      </c>
      <c r="J31" s="322"/>
      <c r="K31" s="244">
        <f>SUM(120.001%,-0.12*G29,0.7*G30,-G28)</f>
        <v>1.2948937723949066</v>
      </c>
      <c r="L31" s="244">
        <f>SUM(120.001%,-0.12*H29,0.7*H30,-H28)</f>
        <v>1.2876760419151474</v>
      </c>
      <c r="M31" s="244">
        <f>SUM(120.001%,-0.12*I29,0.7*I30,-I28)</f>
        <v>1.2190376262990363</v>
      </c>
      <c r="N31" s="245">
        <f>IF(L31&lt;0,1,0)</f>
        <v>0</v>
      </c>
      <c r="O31" s="235"/>
      <c r="P31" s="235"/>
      <c r="Q31" s="235"/>
      <c r="R31" s="235"/>
      <c r="S31" s="235"/>
      <c r="AA31" s="93"/>
      <c r="AB31" s="171"/>
      <c r="AC31" s="252"/>
      <c r="AD31" s="121"/>
      <c r="AE31" s="121"/>
      <c r="AF31" s="121"/>
    </row>
    <row r="32" spans="1:32" x14ac:dyDescent="0.25">
      <c r="A32" s="5"/>
      <c r="C32" s="169" t="s">
        <v>1344</v>
      </c>
      <c r="D32" s="109"/>
      <c r="E32" s="109"/>
      <c r="F32" s="219"/>
      <c r="G32" s="164"/>
      <c r="H32" s="113"/>
      <c r="I32" s="113"/>
      <c r="J32" s="322"/>
      <c r="K32" s="246">
        <f>IF(K33&lt;0,1,0)</f>
        <v>0</v>
      </c>
      <c r="L32" s="246">
        <f>IF(L33&lt;0,1,0)</f>
        <v>1</v>
      </c>
      <c r="M32" s="246">
        <f>IF(M33&lt;0,1,0)</f>
        <v>0</v>
      </c>
      <c r="N32" s="258"/>
      <c r="O32" s="235"/>
      <c r="P32" s="235"/>
      <c r="Q32" s="235"/>
      <c r="R32" s="235"/>
      <c r="S32" s="235"/>
      <c r="AA32" s="93"/>
      <c r="AB32" s="171"/>
      <c r="AC32" s="252"/>
      <c r="AD32" s="121"/>
      <c r="AE32" s="121"/>
      <c r="AF32" s="121"/>
    </row>
    <row r="33" spans="1:32" x14ac:dyDescent="0.25">
      <c r="A33" s="5"/>
      <c r="C33" s="108" t="s">
        <v>565</v>
      </c>
      <c r="D33" s="109"/>
      <c r="E33" s="109"/>
      <c r="F33" s="219"/>
      <c r="G33" s="262">
        <f>VLOOKUP($C$2,'Balans &amp; kengetallen 2017'!$AD$2:$AM$357,7,0)</f>
        <v>2.4942139768190243E-2</v>
      </c>
      <c r="H33" s="262">
        <f>Balansprognose!$F$46</f>
        <v>-1.59524620889419E-2</v>
      </c>
      <c r="I33" s="262">
        <f>Balansprognose!$G$46</f>
        <v>1.9978606978368297E-3</v>
      </c>
      <c r="J33" s="322"/>
      <c r="K33" s="244">
        <f>G33</f>
        <v>2.4942139768190243E-2</v>
      </c>
      <c r="L33" s="244">
        <f>H33</f>
        <v>-1.59524620889419E-2</v>
      </c>
      <c r="M33" s="244">
        <f>I33</f>
        <v>1.9978606978368297E-3</v>
      </c>
      <c r="N33" s="245">
        <f>IF(SUM(K32:M32)&gt;0,1,0)</f>
        <v>1</v>
      </c>
      <c r="O33" s="235"/>
      <c r="P33" s="235"/>
      <c r="Q33" s="235"/>
      <c r="R33" s="235"/>
      <c r="S33" s="235"/>
      <c r="AA33" s="93"/>
      <c r="AB33" s="171"/>
      <c r="AC33" s="252"/>
      <c r="AD33" s="121"/>
      <c r="AE33" s="121"/>
      <c r="AF33" s="121"/>
    </row>
    <row r="34" spans="1:32" x14ac:dyDescent="0.25">
      <c r="A34" s="5"/>
      <c r="C34" s="108" t="s">
        <v>627</v>
      </c>
      <c r="D34" s="109"/>
      <c r="E34" s="109"/>
      <c r="F34" s="219"/>
      <c r="G34" s="112"/>
      <c r="H34" s="112"/>
      <c r="I34" s="263">
        <f>'Inkomsten &amp; uitgaven'!$Q$29</f>
        <v>0.56123532952605837</v>
      </c>
      <c r="J34" s="322"/>
      <c r="K34" s="258"/>
      <c r="L34" s="258"/>
      <c r="M34" s="244">
        <f>SUM(70.001%,-I34)</f>
        <v>0.13877467047394165</v>
      </c>
      <c r="N34" s="245">
        <f>IF(M34&lt;0,1,0)</f>
        <v>0</v>
      </c>
      <c r="O34" s="235"/>
      <c r="P34" s="235"/>
      <c r="Q34" s="235"/>
      <c r="R34" s="235"/>
      <c r="S34" s="235"/>
      <c r="AA34" s="93"/>
      <c r="AB34" s="171"/>
      <c r="AC34" s="252"/>
      <c r="AD34" s="121"/>
      <c r="AE34" s="121"/>
      <c r="AF34" s="121"/>
    </row>
    <row r="35" spans="1:32" x14ac:dyDescent="0.25">
      <c r="A35" s="5"/>
      <c r="C35" s="108" t="s">
        <v>568</v>
      </c>
      <c r="D35" s="114"/>
      <c r="E35" s="114"/>
      <c r="F35" s="220"/>
      <c r="G35" s="112">
        <f>VLOOKUP($C$2,'Balans &amp; kengetallen 2017'!$AD$2:$AM$357,8,0)</f>
        <v>5.9206041120161736E-2</v>
      </c>
      <c r="H35" s="112">
        <f>VLOOKUP(C2,' Data belastingen 2019'!X2:AE357,7,0)/Balansprognose!F35</f>
        <v>9.2638928957902586E-2</v>
      </c>
      <c r="I35" s="263">
        <f>'Inkomsten &amp; uitgaven'!Q31</f>
        <v>9.2008358306592056E-2</v>
      </c>
      <c r="J35" s="322"/>
      <c r="K35" s="301">
        <f>G35</f>
        <v>5.9206041120161736E-2</v>
      </c>
      <c r="L35" s="301">
        <f>H35</f>
        <v>9.2638928957902586E-2</v>
      </c>
      <c r="M35" s="302">
        <f>I35</f>
        <v>9.2008358306592056E-2</v>
      </c>
      <c r="N35" s="245">
        <f>IF(M35&lt;0,1,0)</f>
        <v>0</v>
      </c>
      <c r="O35" s="235"/>
      <c r="P35" s="235"/>
      <c r="Q35" s="235"/>
      <c r="R35" s="235"/>
      <c r="S35" s="235"/>
      <c r="AA35" s="93"/>
      <c r="AB35" s="171"/>
      <c r="AC35" s="252"/>
      <c r="AD35" s="121"/>
      <c r="AE35" s="121"/>
      <c r="AF35" s="121"/>
    </row>
    <row r="36" spans="1:32" x14ac:dyDescent="0.25">
      <c r="A36" s="5"/>
      <c r="C36" s="169" t="s">
        <v>1345</v>
      </c>
      <c r="D36" s="114"/>
      <c r="E36" s="114"/>
      <c r="F36" s="220"/>
      <c r="G36" s="217"/>
      <c r="H36" s="112"/>
      <c r="I36" s="229"/>
      <c r="J36" s="322"/>
      <c r="K36" s="258"/>
      <c r="L36" s="258"/>
      <c r="M36" s="258"/>
      <c r="N36" s="258"/>
      <c r="O36" s="235"/>
      <c r="P36" s="235"/>
      <c r="Q36" s="235"/>
      <c r="R36" s="235"/>
      <c r="S36" s="235"/>
      <c r="AA36" s="93"/>
      <c r="AB36" s="171"/>
      <c r="AC36" s="252"/>
      <c r="AD36" s="121"/>
      <c r="AE36" s="121"/>
      <c r="AF36" s="121"/>
    </row>
    <row r="37" spans="1:32" x14ac:dyDescent="0.25">
      <c r="A37" s="5"/>
      <c r="C37" s="108" t="s">
        <v>674</v>
      </c>
      <c r="D37" s="111"/>
      <c r="E37" s="111"/>
      <c r="F37" s="164"/>
      <c r="G37" s="112">
        <f>VLOOKUP($C$2,'Balans &amp; kengetallen 2017'!$AD$2:$AM$357,9,0)</f>
        <v>5.5140109358143312E-3</v>
      </c>
      <c r="H37" s="273">
        <f>Balansprognose!F47</f>
        <v>-1.0382944283523598E-3</v>
      </c>
      <c r="I37" s="273">
        <f>Balansprognose!G47</f>
        <v>1.1428786966316289E-2</v>
      </c>
      <c r="J37" s="322"/>
      <c r="K37" s="246">
        <f>IF(I37&lt;1%,1,0)</f>
        <v>0</v>
      </c>
      <c r="L37" s="246">
        <f>IF(I37&gt;5%,1,0)</f>
        <v>0</v>
      </c>
      <c r="M37" s="246">
        <f>IF(SUM(K37,L37)&gt;0,-1,1)</f>
        <v>1</v>
      </c>
      <c r="N37" s="245">
        <f>IF(M37&lt;0,1,0)</f>
        <v>0</v>
      </c>
      <c r="O37" s="235"/>
      <c r="P37" s="235"/>
      <c r="Q37" s="235"/>
      <c r="R37" s="235"/>
      <c r="S37" s="235"/>
      <c r="AA37" s="93"/>
      <c r="AB37" s="171"/>
      <c r="AC37" s="252"/>
      <c r="AD37" s="121"/>
      <c r="AE37" s="121"/>
      <c r="AF37" s="121"/>
    </row>
    <row r="38" spans="1:32" x14ac:dyDescent="0.25">
      <c r="A38" s="5"/>
      <c r="C38" s="192" t="s">
        <v>85</v>
      </c>
      <c r="D38" s="111"/>
      <c r="E38" s="111"/>
      <c r="F38" s="164"/>
      <c r="G38" s="112">
        <f>VLOOKUP($C$2,'Balans &amp; kengetallen 2017'!$AD$2:$AM$357,10,0)</f>
        <v>0.6765636400517101</v>
      </c>
      <c r="H38" s="275">
        <f>Balansprognose!$F$38</f>
        <v>0.60418161506253354</v>
      </c>
      <c r="I38" s="112">
        <f>Balansprognose!$G$38</f>
        <v>0.56768549975464633</v>
      </c>
      <c r="J38" s="322"/>
      <c r="K38" s="244">
        <f>SUM(G38,-5.001%)</f>
        <v>0.6265536400517101</v>
      </c>
      <c r="L38" s="244">
        <f>SUM(H38,-5.001%)</f>
        <v>0.55417161506253354</v>
      </c>
      <c r="M38" s="244">
        <f>SUM(I38,-5.001%)</f>
        <v>0.51767549975464633</v>
      </c>
      <c r="N38" s="236">
        <f>IF(L38&lt;0,1,0)</f>
        <v>0</v>
      </c>
      <c r="O38" s="235"/>
      <c r="P38" s="235"/>
      <c r="Q38" s="235"/>
      <c r="R38" s="235"/>
      <c r="S38" s="235"/>
      <c r="AA38" s="93"/>
      <c r="AB38" s="171"/>
      <c r="AC38" s="252"/>
      <c r="AD38" s="121"/>
      <c r="AE38" s="121"/>
      <c r="AF38" s="121"/>
    </row>
    <row r="39" spans="1:32" x14ac:dyDescent="0.25">
      <c r="A39" s="5"/>
      <c r="C39" s="108" t="s">
        <v>685</v>
      </c>
      <c r="D39" s="111"/>
      <c r="E39" s="111"/>
      <c r="F39" s="164"/>
      <c r="G39" s="112"/>
      <c r="H39" s="112"/>
      <c r="I39" s="276">
        <f>$G$16/$Y$5</f>
        <v>1684.8989688573558</v>
      </c>
      <c r="J39" s="322"/>
      <c r="K39" s="235">
        <f>IF(Macrogegevens!$C$18="Hoog",1803,0)</f>
        <v>0</v>
      </c>
      <c r="L39" s="235">
        <f>IF(Macrogegevens!$C$18="Midden",1378,0)</f>
        <v>0</v>
      </c>
      <c r="M39" s="235">
        <f>IF(Macrogegevens!$C$18="Laag",1227,0)</f>
        <v>1227</v>
      </c>
      <c r="N39" s="245">
        <f>IF(SUM(I39,-K39,-L39,-M39)&lt;0,1,0)</f>
        <v>0</v>
      </c>
      <c r="O39" s="235"/>
      <c r="P39" s="235"/>
      <c r="Q39" s="235"/>
      <c r="R39" s="235"/>
      <c r="S39" s="235"/>
      <c r="AA39" s="93"/>
      <c r="AB39" s="171"/>
      <c r="AC39" s="252"/>
      <c r="AD39" s="121"/>
      <c r="AE39" s="121"/>
      <c r="AF39" s="121"/>
    </row>
    <row r="40" spans="1:32" x14ac:dyDescent="0.25">
      <c r="A40" s="5"/>
      <c r="C40" s="169" t="s">
        <v>1346</v>
      </c>
      <c r="D40" s="111"/>
      <c r="E40" s="111"/>
      <c r="F40" s="164"/>
      <c r="G40" s="164"/>
      <c r="H40" s="230"/>
      <c r="I40" s="112"/>
      <c r="J40" s="322"/>
      <c r="K40" s="235">
        <f>IF(Macrogegevens!$C$18="Hoog",2983,0)</f>
        <v>0</v>
      </c>
      <c r="L40" s="235">
        <f>IF(Macrogegevens!$C$18="Midden",2135,0)</f>
        <v>0</v>
      </c>
      <c r="M40" s="235">
        <f>IF(Macrogegevens!$C$18="Laag",1751,0)</f>
        <v>1751</v>
      </c>
      <c r="N40" s="245">
        <f>IF(SUM(K40,L40,M40,-I39)&lt;0,1,0)</f>
        <v>0</v>
      </c>
      <c r="O40" s="235">
        <f>IF(SUM(N39:N40)&gt;0,-1,1)</f>
        <v>1</v>
      </c>
      <c r="P40" s="235"/>
      <c r="Q40" s="235"/>
      <c r="R40" s="235"/>
      <c r="S40" s="235"/>
      <c r="AA40" s="93"/>
      <c r="AB40" s="171"/>
      <c r="AC40" s="252"/>
      <c r="AD40" s="121"/>
      <c r="AE40" s="121"/>
      <c r="AF40" s="121"/>
    </row>
    <row r="41" spans="1:32" x14ac:dyDescent="0.25">
      <c r="A41" s="5"/>
      <c r="C41" s="166" t="s">
        <v>1347</v>
      </c>
      <c r="D41" s="165"/>
      <c r="E41" s="165"/>
      <c r="F41" s="191"/>
      <c r="G41" s="268">
        <f>VLOOKUP($C$2,'Balans &amp; kengetallen 2017'!$AD$2:$AO$357,12,0)</f>
        <v>0.154</v>
      </c>
      <c r="H41" s="191"/>
      <c r="I41" s="277">
        <f>$H$18/SUM($G$15,$G$16)</f>
        <v>0.185</v>
      </c>
      <c r="J41" s="322"/>
      <c r="K41" s="258"/>
      <c r="L41" s="258"/>
      <c r="M41" s="246">
        <f>SUM(25.801%,-I41)</f>
        <v>7.3009999999999964E-2</v>
      </c>
      <c r="N41" s="245">
        <f>IF(M41&lt;0,1,0)</f>
        <v>0</v>
      </c>
      <c r="O41" s="235"/>
      <c r="P41" s="235"/>
      <c r="Q41" s="235"/>
      <c r="R41" s="235"/>
      <c r="S41" s="235"/>
      <c r="AA41" s="93"/>
      <c r="AB41" s="171"/>
      <c r="AC41" s="252"/>
      <c r="AD41" s="121"/>
      <c r="AE41" s="121"/>
      <c r="AF41" s="121"/>
    </row>
    <row r="42" spans="1:32" ht="13.8" x14ac:dyDescent="0.3">
      <c r="A42" s="5"/>
      <c r="C42" s="234" t="s">
        <v>686</v>
      </c>
      <c r="D42" s="165"/>
      <c r="E42" s="165"/>
      <c r="F42" s="254">
        <f>SUM(10,-N42)</f>
        <v>9</v>
      </c>
      <c r="J42" s="322"/>
      <c r="K42" s="258"/>
      <c r="L42" s="258"/>
      <c r="M42" s="258"/>
      <c r="N42" s="259">
        <f>SUM(N25:N41)</f>
        <v>1</v>
      </c>
      <c r="O42" s="235"/>
      <c r="P42" s="92"/>
      <c r="Q42" s="92"/>
      <c r="R42" s="92"/>
      <c r="S42" s="92"/>
      <c r="AA42" s="93"/>
    </row>
    <row r="43" spans="1:32" x14ac:dyDescent="0.25">
      <c r="A43" s="5"/>
      <c r="B43" s="5"/>
      <c r="C43" s="5"/>
      <c r="J43" s="322"/>
      <c r="K43" s="322"/>
      <c r="L43" s="322"/>
      <c r="M43" s="322"/>
      <c r="N43" s="322"/>
      <c r="O43" s="323"/>
      <c r="V43" s="246"/>
      <c r="W43" s="246"/>
      <c r="X43" s="246"/>
      <c r="Y43" s="245">
        <f>SUM(Y26:Y42)</f>
        <v>0</v>
      </c>
      <c r="Z43" s="235"/>
      <c r="AA43" s="93"/>
    </row>
    <row r="44" spans="1:32" x14ac:dyDescent="0.25">
      <c r="J44" s="322"/>
      <c r="K44" s="322"/>
      <c r="L44" s="323"/>
      <c r="M44" s="322"/>
      <c r="N44" s="322"/>
      <c r="O44" s="323"/>
      <c r="V44" s="256"/>
      <c r="W44" s="256"/>
      <c r="X44" s="256"/>
      <c r="Y44" s="92"/>
      <c r="Z44" s="92"/>
      <c r="AA44" s="93"/>
    </row>
    <row r="45" spans="1:32" x14ac:dyDescent="0.25">
      <c r="J45" s="322"/>
      <c r="K45" s="322"/>
      <c r="L45" s="323"/>
      <c r="M45" s="322"/>
      <c r="N45" s="322"/>
      <c r="O45" s="322"/>
      <c r="P45" s="5"/>
      <c r="Q45" s="255"/>
      <c r="R45" s="93"/>
      <c r="S45" s="93"/>
      <c r="T45" s="14"/>
      <c r="U45" s="14"/>
      <c r="V45" s="14"/>
      <c r="W45" s="14"/>
      <c r="X45" s="14"/>
      <c r="Y45" s="14"/>
      <c r="Z45" s="14"/>
      <c r="AC45" s="214" t="s">
        <v>129</v>
      </c>
    </row>
    <row r="46" spans="1:32" x14ac:dyDescent="0.25">
      <c r="P46" s="5"/>
      <c r="Q46" s="93"/>
      <c r="R46" s="93"/>
      <c r="S46" s="93"/>
      <c r="T46" s="14"/>
      <c r="U46" s="14"/>
      <c r="V46" s="14"/>
      <c r="W46" s="14"/>
      <c r="X46" s="14"/>
      <c r="Y46" s="14"/>
      <c r="Z46" s="14"/>
      <c r="AC46" s="214" t="s">
        <v>287</v>
      </c>
    </row>
    <row r="47" spans="1:32" x14ac:dyDescent="0.25">
      <c r="P47" s="5"/>
      <c r="Q47" s="93"/>
      <c r="R47" s="93"/>
      <c r="S47" s="93"/>
      <c r="T47" s="14"/>
      <c r="U47" s="14"/>
      <c r="V47" s="14"/>
      <c r="W47" s="14"/>
      <c r="X47" s="14"/>
      <c r="Y47" s="14"/>
      <c r="Z47" s="14"/>
      <c r="AC47" s="214" t="s">
        <v>209</v>
      </c>
    </row>
    <row r="48" spans="1:32" x14ac:dyDescent="0.25">
      <c r="P48" s="5"/>
      <c r="Q48" s="93"/>
      <c r="R48" s="93"/>
      <c r="S48" s="93"/>
      <c r="T48" s="14"/>
      <c r="U48" s="14"/>
      <c r="V48" s="14"/>
      <c r="W48" s="14"/>
      <c r="X48" s="14"/>
      <c r="Y48" s="14"/>
      <c r="Z48" s="14"/>
      <c r="AC48" s="214" t="s">
        <v>165</v>
      </c>
    </row>
    <row r="49" spans="7:29" x14ac:dyDescent="0.25">
      <c r="P49" s="5"/>
      <c r="Q49" s="93"/>
      <c r="R49" s="93"/>
      <c r="S49" s="93"/>
      <c r="T49" s="14"/>
      <c r="U49" s="14"/>
      <c r="V49" s="14"/>
      <c r="W49" s="14"/>
      <c r="X49" s="14"/>
      <c r="Y49" s="56"/>
      <c r="Z49" s="190"/>
      <c r="AC49" s="214" t="s">
        <v>332</v>
      </c>
    </row>
    <row r="50" spans="7:29" x14ac:dyDescent="0.25">
      <c r="P50" s="5"/>
      <c r="Q50" s="92"/>
      <c r="R50" s="92"/>
      <c r="S50" s="92"/>
      <c r="Y50" s="43"/>
      <c r="AA50" s="43"/>
      <c r="AC50" s="214" t="s">
        <v>333</v>
      </c>
    </row>
    <row r="51" spans="7:29" x14ac:dyDescent="0.25">
      <c r="P51" s="5"/>
      <c r="AC51" s="214" t="s">
        <v>288</v>
      </c>
    </row>
    <row r="52" spans="7:29" x14ac:dyDescent="0.25">
      <c r="P52" s="5"/>
      <c r="AC52" s="214" t="s">
        <v>185</v>
      </c>
    </row>
    <row r="53" spans="7:29" x14ac:dyDescent="0.25">
      <c r="P53" s="5"/>
      <c r="AC53" s="214" t="s">
        <v>494</v>
      </c>
    </row>
    <row r="54" spans="7:29" x14ac:dyDescent="0.25">
      <c r="P54" s="5"/>
      <c r="AC54" s="214" t="s">
        <v>334</v>
      </c>
    </row>
    <row r="55" spans="7:29" x14ac:dyDescent="0.25">
      <c r="P55" s="5"/>
      <c r="AC55" s="214" t="s">
        <v>403</v>
      </c>
    </row>
    <row r="56" spans="7:29" x14ac:dyDescent="0.25">
      <c r="P56" s="5"/>
      <c r="AC56" s="214" t="s">
        <v>745</v>
      </c>
    </row>
    <row r="57" spans="7:29" x14ac:dyDescent="0.25">
      <c r="G57" s="3"/>
      <c r="J57" s="3"/>
      <c r="K57" s="3"/>
      <c r="M57" s="3"/>
      <c r="N57" s="3"/>
      <c r="O57" s="3"/>
      <c r="AC57" s="214" t="s">
        <v>166</v>
      </c>
    </row>
    <row r="58" spans="7:29" x14ac:dyDescent="0.25">
      <c r="G58" s="3"/>
      <c r="J58" s="3"/>
      <c r="K58" s="3"/>
      <c r="M58" s="3"/>
      <c r="N58" s="3"/>
      <c r="O58" s="3"/>
      <c r="AC58" s="214" t="s">
        <v>262</v>
      </c>
    </row>
    <row r="59" spans="7:29" x14ac:dyDescent="0.25">
      <c r="G59" s="3"/>
      <c r="J59" s="3"/>
      <c r="K59" s="3"/>
      <c r="M59" s="3"/>
      <c r="N59" s="3"/>
      <c r="O59" s="3"/>
      <c r="AC59" s="214" t="s">
        <v>289</v>
      </c>
    </row>
    <row r="60" spans="7:29" x14ac:dyDescent="0.25">
      <c r="G60" s="3"/>
      <c r="J60" s="3"/>
      <c r="K60" s="3"/>
      <c r="M60" s="3"/>
      <c r="N60" s="3"/>
      <c r="O60" s="3"/>
      <c r="AC60" s="214" t="s">
        <v>290</v>
      </c>
    </row>
    <row r="61" spans="7:29" x14ac:dyDescent="0.25">
      <c r="G61" s="3"/>
      <c r="J61" s="3"/>
      <c r="K61" s="3"/>
      <c r="M61" s="3"/>
      <c r="N61" s="3"/>
      <c r="O61" s="3"/>
      <c r="AC61" s="214" t="s">
        <v>210</v>
      </c>
    </row>
    <row r="62" spans="7:29" x14ac:dyDescent="0.25">
      <c r="G62" s="3"/>
      <c r="J62" s="3"/>
      <c r="K62" s="3"/>
      <c r="M62" s="3"/>
      <c r="N62" s="3"/>
      <c r="O62" s="3"/>
      <c r="AC62" s="214" t="s">
        <v>142</v>
      </c>
    </row>
    <row r="63" spans="7:29" x14ac:dyDescent="0.25">
      <c r="G63" s="3"/>
      <c r="J63" s="3"/>
      <c r="K63" s="3"/>
      <c r="M63" s="3"/>
      <c r="N63" s="3"/>
      <c r="O63" s="3"/>
      <c r="AC63" s="214" t="s">
        <v>211</v>
      </c>
    </row>
    <row r="64" spans="7:29" x14ac:dyDescent="0.25">
      <c r="G64" s="3"/>
      <c r="J64" s="3"/>
      <c r="K64" s="3"/>
      <c r="M64" s="3"/>
      <c r="N64" s="3"/>
      <c r="O64" s="3"/>
      <c r="AC64" s="214" t="s">
        <v>130</v>
      </c>
    </row>
    <row r="65" spans="7:29" x14ac:dyDescent="0.25">
      <c r="G65" s="3"/>
      <c r="J65" s="3"/>
      <c r="K65" s="3"/>
      <c r="M65" s="3"/>
      <c r="N65" s="3"/>
      <c r="O65" s="3"/>
      <c r="AC65" s="214" t="s">
        <v>404</v>
      </c>
    </row>
    <row r="66" spans="7:29" x14ac:dyDescent="0.25">
      <c r="G66" s="3"/>
      <c r="J66" s="3"/>
      <c r="K66" s="3"/>
      <c r="M66" s="3"/>
      <c r="N66" s="3"/>
      <c r="O66" s="3"/>
      <c r="AC66" s="214" t="s">
        <v>405</v>
      </c>
    </row>
    <row r="67" spans="7:29" x14ac:dyDescent="0.25">
      <c r="G67" s="3"/>
      <c r="J67" s="3"/>
      <c r="K67" s="3"/>
      <c r="M67" s="3"/>
      <c r="N67" s="3"/>
      <c r="O67" s="3"/>
      <c r="AC67" s="214" t="s">
        <v>263</v>
      </c>
    </row>
    <row r="68" spans="7:29" x14ac:dyDescent="0.25">
      <c r="G68" s="3"/>
      <c r="J68" s="3"/>
      <c r="K68" s="3"/>
      <c r="M68" s="3"/>
      <c r="N68" s="3"/>
      <c r="O68" s="3"/>
      <c r="AC68" s="214" t="s">
        <v>335</v>
      </c>
    </row>
    <row r="69" spans="7:29" x14ac:dyDescent="0.25">
      <c r="G69" s="3"/>
      <c r="J69" s="3"/>
      <c r="K69" s="3"/>
      <c r="M69" s="3"/>
      <c r="N69" s="3"/>
      <c r="O69" s="3"/>
      <c r="AC69" s="214" t="s">
        <v>212</v>
      </c>
    </row>
    <row r="70" spans="7:29" x14ac:dyDescent="0.25">
      <c r="G70" s="3"/>
      <c r="J70" s="3"/>
      <c r="K70" s="3"/>
      <c r="M70" s="3"/>
      <c r="N70" s="3"/>
      <c r="O70" s="3"/>
      <c r="AC70" s="214" t="s">
        <v>462</v>
      </c>
    </row>
    <row r="71" spans="7:29" x14ac:dyDescent="0.25">
      <c r="G71" s="3"/>
      <c r="J71" s="3"/>
      <c r="K71" s="3"/>
      <c r="M71" s="3"/>
      <c r="N71" s="3"/>
      <c r="O71" s="3"/>
      <c r="AC71" s="214" t="s">
        <v>746</v>
      </c>
    </row>
    <row r="72" spans="7:29" x14ac:dyDescent="0.25">
      <c r="G72" s="3"/>
      <c r="J72" s="3"/>
      <c r="K72" s="3"/>
      <c r="M72" s="3"/>
      <c r="N72" s="3"/>
      <c r="O72" s="3"/>
      <c r="AC72" s="214" t="s">
        <v>291</v>
      </c>
    </row>
    <row r="73" spans="7:29" x14ac:dyDescent="0.25">
      <c r="G73" s="3"/>
      <c r="J73" s="3"/>
      <c r="K73" s="3"/>
      <c r="M73" s="3"/>
      <c r="N73" s="3"/>
      <c r="O73" s="3"/>
      <c r="AC73" s="214" t="s">
        <v>463</v>
      </c>
    </row>
    <row r="74" spans="7:29" x14ac:dyDescent="0.25">
      <c r="G74" s="3"/>
      <c r="J74" s="3"/>
      <c r="K74" s="3"/>
      <c r="M74" s="3"/>
      <c r="N74" s="3"/>
      <c r="O74" s="3"/>
      <c r="AC74" s="214" t="s">
        <v>609</v>
      </c>
    </row>
    <row r="75" spans="7:29" x14ac:dyDescent="0.25">
      <c r="G75" s="3"/>
      <c r="J75" s="3"/>
      <c r="K75" s="3"/>
      <c r="M75" s="3"/>
      <c r="N75" s="3"/>
      <c r="O75" s="3"/>
      <c r="AC75" s="214" t="s">
        <v>406</v>
      </c>
    </row>
    <row r="76" spans="7:29" x14ac:dyDescent="0.25">
      <c r="G76" s="3"/>
      <c r="J76" s="3"/>
      <c r="K76" s="3"/>
      <c r="M76" s="3"/>
      <c r="N76" s="3"/>
      <c r="O76" s="3"/>
      <c r="AC76" s="214" t="s">
        <v>502</v>
      </c>
    </row>
    <row r="77" spans="7:29" x14ac:dyDescent="0.25">
      <c r="G77" s="3"/>
      <c r="J77" s="3"/>
      <c r="K77" s="3"/>
      <c r="M77" s="3"/>
      <c r="N77" s="3"/>
      <c r="O77" s="3"/>
      <c r="AC77" s="214" t="s">
        <v>503</v>
      </c>
    </row>
    <row r="78" spans="7:29" x14ac:dyDescent="0.25">
      <c r="G78" s="3"/>
      <c r="J78" s="3"/>
      <c r="K78" s="3"/>
      <c r="M78" s="3"/>
      <c r="N78" s="3"/>
      <c r="O78" s="3"/>
      <c r="AC78" s="214" t="s">
        <v>407</v>
      </c>
    </row>
    <row r="79" spans="7:29" x14ac:dyDescent="0.25">
      <c r="G79" s="3"/>
      <c r="J79" s="3"/>
      <c r="K79" s="3"/>
      <c r="M79" s="3"/>
      <c r="N79" s="3"/>
      <c r="O79" s="3"/>
      <c r="AC79" s="214" t="s">
        <v>213</v>
      </c>
    </row>
    <row r="80" spans="7:29" x14ac:dyDescent="0.25">
      <c r="G80" s="3"/>
      <c r="J80" s="3"/>
      <c r="K80" s="3"/>
      <c r="M80" s="3"/>
      <c r="N80" s="3"/>
      <c r="O80" s="3"/>
      <c r="AC80" s="214" t="s">
        <v>408</v>
      </c>
    </row>
    <row r="81" spans="16:29" x14ac:dyDescent="0.25">
      <c r="P81" s="5"/>
      <c r="AC81" s="214" t="s">
        <v>409</v>
      </c>
    </row>
    <row r="82" spans="16:29" x14ac:dyDescent="0.25">
      <c r="P82" s="5"/>
      <c r="AC82" s="214" t="s">
        <v>214</v>
      </c>
    </row>
    <row r="83" spans="16:29" x14ac:dyDescent="0.25">
      <c r="P83" s="5"/>
      <c r="AC83" s="214" t="s">
        <v>292</v>
      </c>
    </row>
    <row r="84" spans="16:29" x14ac:dyDescent="0.25">
      <c r="P84" s="5"/>
      <c r="AC84" s="214" t="s">
        <v>410</v>
      </c>
    </row>
    <row r="85" spans="16:29" x14ac:dyDescent="0.25">
      <c r="P85" s="5"/>
      <c r="AC85" s="214" t="s">
        <v>293</v>
      </c>
    </row>
    <row r="86" spans="16:29" x14ac:dyDescent="0.25">
      <c r="P86" s="5"/>
      <c r="AC86" s="214" t="s">
        <v>294</v>
      </c>
    </row>
    <row r="87" spans="16:29" x14ac:dyDescent="0.25">
      <c r="P87" s="5"/>
      <c r="AC87" s="214" t="s">
        <v>337</v>
      </c>
    </row>
    <row r="88" spans="16:29" x14ac:dyDescent="0.25">
      <c r="P88" s="5"/>
      <c r="AC88" s="214" t="s">
        <v>411</v>
      </c>
    </row>
    <row r="89" spans="16:29" x14ac:dyDescent="0.25">
      <c r="P89" s="5"/>
      <c r="AC89" s="214" t="s">
        <v>131</v>
      </c>
    </row>
    <row r="90" spans="16:29" x14ac:dyDescent="0.25">
      <c r="P90" s="5"/>
      <c r="AC90" s="214" t="s">
        <v>186</v>
      </c>
    </row>
    <row r="91" spans="16:29" x14ac:dyDescent="0.25">
      <c r="P91" s="5"/>
      <c r="AC91" s="214" t="s">
        <v>389</v>
      </c>
    </row>
    <row r="92" spans="16:29" x14ac:dyDescent="0.25">
      <c r="P92" s="5"/>
      <c r="AC92" s="214" t="s">
        <v>412</v>
      </c>
    </row>
    <row r="93" spans="16:29" x14ac:dyDescent="0.25">
      <c r="P93" s="5"/>
      <c r="AC93" s="214" t="s">
        <v>413</v>
      </c>
    </row>
    <row r="94" spans="16:29" x14ac:dyDescent="0.25">
      <c r="P94" s="5"/>
      <c r="AC94" s="214" t="s">
        <v>414</v>
      </c>
    </row>
    <row r="95" spans="16:29" x14ac:dyDescent="0.25">
      <c r="P95" s="5"/>
      <c r="AC95" s="214" t="s">
        <v>338</v>
      </c>
    </row>
    <row r="96" spans="16:29" x14ac:dyDescent="0.25">
      <c r="P96" s="5"/>
      <c r="AC96" s="214" t="s">
        <v>215</v>
      </c>
    </row>
    <row r="97" spans="16:29" x14ac:dyDescent="0.25">
      <c r="P97" s="5"/>
      <c r="AC97" s="214" t="s">
        <v>216</v>
      </c>
    </row>
    <row r="98" spans="16:29" x14ac:dyDescent="0.25">
      <c r="P98" s="5"/>
      <c r="AC98" s="214" t="s">
        <v>464</v>
      </c>
    </row>
    <row r="99" spans="16:29" x14ac:dyDescent="0.25">
      <c r="P99" s="5"/>
      <c r="AC99" s="214" t="s">
        <v>264</v>
      </c>
    </row>
    <row r="100" spans="16:29" x14ac:dyDescent="0.25">
      <c r="P100" s="5"/>
      <c r="AC100" s="214" t="s">
        <v>265</v>
      </c>
    </row>
    <row r="101" spans="16:29" x14ac:dyDescent="0.25">
      <c r="P101" s="5"/>
      <c r="AC101" s="214" t="s">
        <v>217</v>
      </c>
    </row>
    <row r="102" spans="16:29" x14ac:dyDescent="0.25">
      <c r="P102" s="5"/>
      <c r="AC102" s="214" t="s">
        <v>339</v>
      </c>
    </row>
    <row r="103" spans="16:29" x14ac:dyDescent="0.25">
      <c r="P103" s="5"/>
      <c r="AC103" s="214" t="s">
        <v>295</v>
      </c>
    </row>
    <row r="104" spans="16:29" x14ac:dyDescent="0.25">
      <c r="P104" s="5"/>
      <c r="AC104" s="214" t="s">
        <v>132</v>
      </c>
    </row>
    <row r="105" spans="16:29" x14ac:dyDescent="0.25">
      <c r="P105" s="5"/>
      <c r="AC105" s="214" t="s">
        <v>415</v>
      </c>
    </row>
    <row r="106" spans="16:29" x14ac:dyDescent="0.25">
      <c r="P106" s="5"/>
      <c r="AC106" s="214" t="s">
        <v>416</v>
      </c>
    </row>
    <row r="107" spans="16:29" x14ac:dyDescent="0.25">
      <c r="P107" s="5"/>
      <c r="AC107" s="214" t="s">
        <v>218</v>
      </c>
    </row>
    <row r="108" spans="16:29" x14ac:dyDescent="0.25">
      <c r="P108" s="5"/>
      <c r="AC108" s="214" t="s">
        <v>187</v>
      </c>
    </row>
    <row r="109" spans="16:29" x14ac:dyDescent="0.25">
      <c r="P109" s="5"/>
      <c r="AC109" s="214" t="s">
        <v>167</v>
      </c>
    </row>
    <row r="110" spans="16:29" x14ac:dyDescent="0.25">
      <c r="P110" s="5"/>
      <c r="AC110" s="214" t="s">
        <v>266</v>
      </c>
    </row>
    <row r="111" spans="16:29" x14ac:dyDescent="0.25">
      <c r="P111" s="5"/>
      <c r="AC111" s="214" t="s">
        <v>611</v>
      </c>
    </row>
    <row r="112" spans="16:29" x14ac:dyDescent="0.25">
      <c r="P112" s="5"/>
      <c r="AC112" s="214" t="s">
        <v>267</v>
      </c>
    </row>
    <row r="113" spans="16:29" x14ac:dyDescent="0.25">
      <c r="P113" s="5"/>
      <c r="AC113" s="214" t="s">
        <v>140</v>
      </c>
    </row>
    <row r="114" spans="16:29" x14ac:dyDescent="0.25">
      <c r="P114" s="5"/>
      <c r="AC114" s="214" t="s">
        <v>341</v>
      </c>
    </row>
    <row r="115" spans="16:29" x14ac:dyDescent="0.25">
      <c r="P115" s="5"/>
      <c r="AC115" s="214" t="s">
        <v>146</v>
      </c>
    </row>
    <row r="116" spans="16:29" x14ac:dyDescent="0.25">
      <c r="P116" s="5"/>
      <c r="AC116" s="214" t="s">
        <v>296</v>
      </c>
    </row>
    <row r="117" spans="16:29" x14ac:dyDescent="0.25">
      <c r="P117" s="5"/>
      <c r="AC117" s="214" t="s">
        <v>417</v>
      </c>
    </row>
    <row r="118" spans="16:29" x14ac:dyDescent="0.25">
      <c r="P118" s="5"/>
      <c r="AC118" s="214" t="s">
        <v>188</v>
      </c>
    </row>
    <row r="119" spans="16:29" x14ac:dyDescent="0.25">
      <c r="P119" s="5"/>
      <c r="AC119" s="214" t="s">
        <v>297</v>
      </c>
    </row>
    <row r="120" spans="16:29" x14ac:dyDescent="0.25">
      <c r="P120" s="5"/>
      <c r="AC120" s="214" t="s">
        <v>189</v>
      </c>
    </row>
    <row r="121" spans="16:29" x14ac:dyDescent="0.25">
      <c r="P121" s="5"/>
      <c r="AC121" s="214" t="s">
        <v>219</v>
      </c>
    </row>
    <row r="122" spans="16:29" x14ac:dyDescent="0.25">
      <c r="P122" s="5"/>
      <c r="AC122" s="214" t="s">
        <v>220</v>
      </c>
    </row>
    <row r="123" spans="16:29" x14ac:dyDescent="0.25">
      <c r="P123" s="5"/>
      <c r="AC123" s="214" t="s">
        <v>418</v>
      </c>
    </row>
    <row r="124" spans="16:29" x14ac:dyDescent="0.25">
      <c r="P124" s="5"/>
      <c r="AC124" s="214" t="s">
        <v>342</v>
      </c>
    </row>
    <row r="125" spans="16:29" x14ac:dyDescent="0.25">
      <c r="P125" s="5"/>
      <c r="AC125" s="214" t="s">
        <v>298</v>
      </c>
    </row>
    <row r="126" spans="16:29" x14ac:dyDescent="0.25">
      <c r="P126" s="5"/>
      <c r="AC126" s="214" t="s">
        <v>419</v>
      </c>
    </row>
    <row r="127" spans="16:29" x14ac:dyDescent="0.25">
      <c r="P127" s="5"/>
      <c r="AC127" s="214" t="s">
        <v>495</v>
      </c>
    </row>
    <row r="128" spans="16:29" x14ac:dyDescent="0.25">
      <c r="P128" s="5"/>
      <c r="AC128" s="214" t="s">
        <v>221</v>
      </c>
    </row>
    <row r="129" spans="16:29" x14ac:dyDescent="0.25">
      <c r="P129" s="5"/>
      <c r="AC129" s="214" t="s">
        <v>222</v>
      </c>
    </row>
    <row r="130" spans="16:29" x14ac:dyDescent="0.25">
      <c r="P130" s="5"/>
      <c r="AC130" s="214" t="s">
        <v>465</v>
      </c>
    </row>
    <row r="131" spans="16:29" x14ac:dyDescent="0.25">
      <c r="P131" s="5"/>
      <c r="AC131" s="214" t="s">
        <v>299</v>
      </c>
    </row>
    <row r="132" spans="16:29" x14ac:dyDescent="0.25">
      <c r="P132" s="5"/>
      <c r="AC132" s="214" t="s">
        <v>223</v>
      </c>
    </row>
    <row r="133" spans="16:29" x14ac:dyDescent="0.25">
      <c r="P133" s="5"/>
      <c r="AC133" s="214" t="s">
        <v>268</v>
      </c>
    </row>
    <row r="134" spans="16:29" x14ac:dyDescent="0.25">
      <c r="P134" s="5"/>
      <c r="AC134" s="214" t="s">
        <v>420</v>
      </c>
    </row>
    <row r="135" spans="16:29" x14ac:dyDescent="0.25">
      <c r="P135" s="5"/>
      <c r="AC135" s="214" t="s">
        <v>466</v>
      </c>
    </row>
    <row r="136" spans="16:29" x14ac:dyDescent="0.25">
      <c r="P136" s="5"/>
      <c r="AC136" s="214" t="s">
        <v>421</v>
      </c>
    </row>
    <row r="137" spans="16:29" x14ac:dyDescent="0.25">
      <c r="P137" s="5"/>
      <c r="AC137" s="214" t="s">
        <v>224</v>
      </c>
    </row>
    <row r="138" spans="16:29" x14ac:dyDescent="0.25">
      <c r="P138" s="5"/>
      <c r="AC138" s="214" t="s">
        <v>133</v>
      </c>
    </row>
    <row r="139" spans="16:29" x14ac:dyDescent="0.25">
      <c r="P139" s="5"/>
      <c r="AC139" s="214" t="s">
        <v>300</v>
      </c>
    </row>
    <row r="140" spans="16:29" x14ac:dyDescent="0.25">
      <c r="P140" s="5"/>
      <c r="AC140" s="214" t="s">
        <v>190</v>
      </c>
    </row>
    <row r="141" spans="16:29" x14ac:dyDescent="0.25">
      <c r="P141" s="5"/>
      <c r="AC141" s="214" t="s">
        <v>225</v>
      </c>
    </row>
    <row r="142" spans="16:29" x14ac:dyDescent="0.25">
      <c r="P142" s="5"/>
      <c r="AC142" s="214" t="s">
        <v>226</v>
      </c>
    </row>
    <row r="143" spans="16:29" x14ac:dyDescent="0.25">
      <c r="P143" s="5"/>
      <c r="AC143" s="214" t="s">
        <v>422</v>
      </c>
    </row>
    <row r="144" spans="16:29" x14ac:dyDescent="0.25">
      <c r="P144" s="5"/>
      <c r="AC144" s="214" t="s">
        <v>423</v>
      </c>
    </row>
    <row r="145" spans="16:29" x14ac:dyDescent="0.25">
      <c r="P145" s="5"/>
      <c r="AC145" s="214" t="s">
        <v>424</v>
      </c>
    </row>
    <row r="146" spans="16:29" x14ac:dyDescent="0.25">
      <c r="P146" s="5"/>
      <c r="AC146" s="214" t="s">
        <v>425</v>
      </c>
    </row>
    <row r="147" spans="16:29" x14ac:dyDescent="0.25">
      <c r="P147" s="5"/>
      <c r="AC147" s="214" t="s">
        <v>467</v>
      </c>
    </row>
    <row r="148" spans="16:29" x14ac:dyDescent="0.25">
      <c r="P148" s="5"/>
      <c r="AC148" s="214" t="s">
        <v>426</v>
      </c>
    </row>
    <row r="149" spans="16:29" x14ac:dyDescent="0.25">
      <c r="P149" s="5"/>
      <c r="AC149" s="214" t="s">
        <v>344</v>
      </c>
    </row>
    <row r="150" spans="16:29" x14ac:dyDescent="0.25">
      <c r="P150" s="5"/>
      <c r="AC150" s="214" t="s">
        <v>390</v>
      </c>
    </row>
    <row r="151" spans="16:29" x14ac:dyDescent="0.25">
      <c r="P151" s="5"/>
      <c r="AC151" s="214" t="s">
        <v>427</v>
      </c>
    </row>
    <row r="152" spans="16:29" x14ac:dyDescent="0.25">
      <c r="P152" s="5"/>
      <c r="AC152" s="214" t="s">
        <v>563</v>
      </c>
    </row>
    <row r="153" spans="16:29" x14ac:dyDescent="0.25">
      <c r="P153" s="5"/>
      <c r="AC153" s="214" t="s">
        <v>345</v>
      </c>
    </row>
    <row r="154" spans="16:29" x14ac:dyDescent="0.25">
      <c r="P154" s="5"/>
      <c r="AC154" s="214" t="s">
        <v>346</v>
      </c>
    </row>
    <row r="155" spans="16:29" x14ac:dyDescent="0.25">
      <c r="P155" s="5"/>
      <c r="AC155" s="214" t="s">
        <v>428</v>
      </c>
    </row>
    <row r="156" spans="16:29" x14ac:dyDescent="0.25">
      <c r="P156" s="5"/>
      <c r="AC156" s="214" t="s">
        <v>148</v>
      </c>
    </row>
    <row r="157" spans="16:29" x14ac:dyDescent="0.25">
      <c r="P157" s="5"/>
      <c r="AC157" s="214" t="s">
        <v>468</v>
      </c>
    </row>
    <row r="158" spans="16:29" x14ac:dyDescent="0.25">
      <c r="P158" s="5"/>
      <c r="AC158" s="214" t="s">
        <v>191</v>
      </c>
    </row>
    <row r="159" spans="16:29" x14ac:dyDescent="0.25">
      <c r="P159" s="5"/>
      <c r="AC159" s="214" t="s">
        <v>429</v>
      </c>
    </row>
    <row r="160" spans="16:29" x14ac:dyDescent="0.25">
      <c r="P160" s="5"/>
      <c r="AC160" s="214" t="s">
        <v>301</v>
      </c>
    </row>
    <row r="161" spans="16:29" x14ac:dyDescent="0.25">
      <c r="P161" s="5"/>
      <c r="AC161" s="214" t="s">
        <v>302</v>
      </c>
    </row>
    <row r="162" spans="16:29" x14ac:dyDescent="0.25">
      <c r="P162" s="5"/>
      <c r="AC162" s="214" t="s">
        <v>430</v>
      </c>
    </row>
    <row r="163" spans="16:29" x14ac:dyDescent="0.25">
      <c r="P163" s="5"/>
      <c r="AC163" s="214" t="s">
        <v>192</v>
      </c>
    </row>
    <row r="164" spans="16:29" x14ac:dyDescent="0.25">
      <c r="P164" s="5"/>
      <c r="AC164" s="214" t="s">
        <v>228</v>
      </c>
    </row>
    <row r="165" spans="16:29" x14ac:dyDescent="0.25">
      <c r="P165" s="5"/>
      <c r="AC165" s="214" t="s">
        <v>347</v>
      </c>
    </row>
    <row r="166" spans="16:29" x14ac:dyDescent="0.25">
      <c r="P166" s="5"/>
      <c r="AC166" s="214" t="s">
        <v>171</v>
      </c>
    </row>
    <row r="167" spans="16:29" x14ac:dyDescent="0.25">
      <c r="P167" s="5"/>
      <c r="AC167" s="214" t="s">
        <v>229</v>
      </c>
    </row>
    <row r="168" spans="16:29" x14ac:dyDescent="0.25">
      <c r="P168" s="5"/>
      <c r="AC168" s="214" t="s">
        <v>303</v>
      </c>
    </row>
    <row r="169" spans="16:29" x14ac:dyDescent="0.25">
      <c r="P169" s="5"/>
      <c r="AC169" s="214" t="s">
        <v>304</v>
      </c>
    </row>
    <row r="170" spans="16:29" x14ac:dyDescent="0.25">
      <c r="P170" s="5"/>
      <c r="AC170" s="214" t="s">
        <v>230</v>
      </c>
    </row>
    <row r="171" spans="16:29" x14ac:dyDescent="0.25">
      <c r="P171" s="5"/>
      <c r="AC171" s="214" t="s">
        <v>172</v>
      </c>
    </row>
    <row r="172" spans="16:29" x14ac:dyDescent="0.25">
      <c r="P172" s="5"/>
      <c r="AC172" s="214" t="s">
        <v>305</v>
      </c>
    </row>
    <row r="173" spans="16:29" x14ac:dyDescent="0.25">
      <c r="P173" s="5"/>
      <c r="AC173" s="214" t="s">
        <v>469</v>
      </c>
    </row>
    <row r="174" spans="16:29" x14ac:dyDescent="0.25">
      <c r="P174" s="5"/>
      <c r="AC174" s="214" t="s">
        <v>431</v>
      </c>
    </row>
    <row r="175" spans="16:29" x14ac:dyDescent="0.25">
      <c r="P175" s="5"/>
      <c r="AC175" s="214" t="s">
        <v>306</v>
      </c>
    </row>
    <row r="176" spans="16:29" x14ac:dyDescent="0.25">
      <c r="P176" s="5"/>
      <c r="AC176" s="214" t="s">
        <v>193</v>
      </c>
    </row>
    <row r="177" spans="16:29" x14ac:dyDescent="0.25">
      <c r="P177" s="5"/>
      <c r="AC177" s="214" t="s">
        <v>348</v>
      </c>
    </row>
    <row r="178" spans="16:29" x14ac:dyDescent="0.25">
      <c r="P178" s="5"/>
      <c r="AC178" s="214" t="s">
        <v>432</v>
      </c>
    </row>
    <row r="179" spans="16:29" x14ac:dyDescent="0.25">
      <c r="P179" s="5"/>
      <c r="AC179" s="214" t="s">
        <v>349</v>
      </c>
    </row>
    <row r="180" spans="16:29" x14ac:dyDescent="0.25">
      <c r="P180" s="5"/>
      <c r="AC180" s="214" t="s">
        <v>512</v>
      </c>
    </row>
    <row r="181" spans="16:29" x14ac:dyDescent="0.25">
      <c r="P181" s="5"/>
      <c r="AC181" s="214" t="s">
        <v>747</v>
      </c>
    </row>
    <row r="182" spans="16:29" x14ac:dyDescent="0.25">
      <c r="P182" s="5"/>
      <c r="AC182" s="214" t="s">
        <v>231</v>
      </c>
    </row>
    <row r="183" spans="16:29" x14ac:dyDescent="0.25">
      <c r="P183" s="5"/>
      <c r="AC183" s="214" t="s">
        <v>433</v>
      </c>
    </row>
    <row r="184" spans="16:29" x14ac:dyDescent="0.25">
      <c r="P184" s="5"/>
      <c r="AC184" s="214" t="s">
        <v>350</v>
      </c>
    </row>
    <row r="185" spans="16:29" x14ac:dyDescent="0.25">
      <c r="P185" s="5"/>
      <c r="AC185" s="214" t="s">
        <v>434</v>
      </c>
    </row>
    <row r="186" spans="16:29" x14ac:dyDescent="0.25">
      <c r="P186" s="5"/>
      <c r="AC186" s="214" t="s">
        <v>307</v>
      </c>
    </row>
    <row r="187" spans="16:29" x14ac:dyDescent="0.25">
      <c r="P187" s="5"/>
      <c r="AC187" s="214" t="s">
        <v>748</v>
      </c>
    </row>
    <row r="188" spans="16:29" x14ac:dyDescent="0.25">
      <c r="P188" s="5"/>
      <c r="AC188" s="214" t="s">
        <v>194</v>
      </c>
    </row>
    <row r="189" spans="16:29" x14ac:dyDescent="0.25">
      <c r="P189" s="5"/>
      <c r="AC189" s="214" t="s">
        <v>308</v>
      </c>
    </row>
    <row r="190" spans="16:29" x14ac:dyDescent="0.25">
      <c r="P190" s="5"/>
      <c r="AC190" s="214" t="s">
        <v>134</v>
      </c>
    </row>
    <row r="191" spans="16:29" x14ac:dyDescent="0.25">
      <c r="P191" s="5"/>
      <c r="AC191" s="214" t="s">
        <v>309</v>
      </c>
    </row>
    <row r="192" spans="16:29" x14ac:dyDescent="0.25">
      <c r="P192" s="5"/>
      <c r="AC192" s="214" t="s">
        <v>470</v>
      </c>
    </row>
    <row r="193" spans="16:29" x14ac:dyDescent="0.25">
      <c r="P193" s="5"/>
      <c r="AC193" s="214" t="s">
        <v>269</v>
      </c>
    </row>
    <row r="194" spans="16:29" x14ac:dyDescent="0.25">
      <c r="P194" s="5"/>
      <c r="AC194" s="214" t="s">
        <v>310</v>
      </c>
    </row>
    <row r="195" spans="16:29" x14ac:dyDescent="0.25">
      <c r="P195" s="5"/>
      <c r="AC195" s="214" t="s">
        <v>391</v>
      </c>
    </row>
    <row r="196" spans="16:29" x14ac:dyDescent="0.25">
      <c r="P196" s="5"/>
      <c r="AC196" s="214" t="s">
        <v>270</v>
      </c>
    </row>
    <row r="197" spans="16:29" x14ac:dyDescent="0.25">
      <c r="P197" s="5"/>
      <c r="AC197" s="214" t="s">
        <v>351</v>
      </c>
    </row>
    <row r="198" spans="16:29" x14ac:dyDescent="0.25">
      <c r="P198" s="5"/>
      <c r="AC198" s="214" t="s">
        <v>195</v>
      </c>
    </row>
    <row r="199" spans="16:29" x14ac:dyDescent="0.25">
      <c r="P199" s="5"/>
      <c r="AC199" s="214" t="s">
        <v>392</v>
      </c>
    </row>
    <row r="200" spans="16:29" x14ac:dyDescent="0.25">
      <c r="P200" s="5"/>
      <c r="AC200" s="214" t="s">
        <v>352</v>
      </c>
    </row>
    <row r="201" spans="16:29" x14ac:dyDescent="0.25">
      <c r="P201" s="5"/>
      <c r="AC201" s="214" t="s">
        <v>471</v>
      </c>
    </row>
    <row r="202" spans="16:29" x14ac:dyDescent="0.25">
      <c r="P202" s="5"/>
      <c r="AC202" s="214" t="s">
        <v>311</v>
      </c>
    </row>
    <row r="203" spans="16:29" x14ac:dyDescent="0.25">
      <c r="P203" s="5"/>
      <c r="AC203" s="214" t="s">
        <v>354</v>
      </c>
    </row>
    <row r="204" spans="16:29" x14ac:dyDescent="0.25">
      <c r="P204" s="5"/>
      <c r="AC204" s="214" t="s">
        <v>549</v>
      </c>
    </row>
    <row r="205" spans="16:29" x14ac:dyDescent="0.25">
      <c r="P205" s="5"/>
      <c r="AC205" s="214" t="s">
        <v>435</v>
      </c>
    </row>
    <row r="206" spans="16:29" x14ac:dyDescent="0.25">
      <c r="P206" s="5"/>
      <c r="AC206" s="214" t="s">
        <v>436</v>
      </c>
    </row>
    <row r="207" spans="16:29" x14ac:dyDescent="0.25">
      <c r="P207" s="5"/>
      <c r="AC207" s="214" t="s">
        <v>472</v>
      </c>
    </row>
    <row r="208" spans="16:29" x14ac:dyDescent="0.25">
      <c r="P208" s="5"/>
      <c r="AC208" s="214" t="s">
        <v>312</v>
      </c>
    </row>
    <row r="209" spans="16:29" x14ac:dyDescent="0.25">
      <c r="P209" s="5"/>
      <c r="AC209" s="214" t="s">
        <v>313</v>
      </c>
    </row>
    <row r="210" spans="16:29" x14ac:dyDescent="0.25">
      <c r="P210" s="5"/>
      <c r="AC210" s="214" t="s">
        <v>355</v>
      </c>
    </row>
    <row r="211" spans="16:29" x14ac:dyDescent="0.25">
      <c r="P211" s="5"/>
      <c r="AC211" s="214" t="s">
        <v>314</v>
      </c>
    </row>
    <row r="212" spans="16:29" x14ac:dyDescent="0.25">
      <c r="P212" s="5"/>
      <c r="AC212" s="214" t="s">
        <v>173</v>
      </c>
    </row>
    <row r="213" spans="16:29" x14ac:dyDescent="0.25">
      <c r="P213" s="5"/>
      <c r="AC213" s="214" t="s">
        <v>357</v>
      </c>
    </row>
    <row r="214" spans="16:29" x14ac:dyDescent="0.25">
      <c r="P214" s="5"/>
      <c r="AC214" s="214" t="s">
        <v>358</v>
      </c>
    </row>
    <row r="215" spans="16:29" x14ac:dyDescent="0.25">
      <c r="P215" s="5"/>
      <c r="AC215" s="214" t="s">
        <v>359</v>
      </c>
    </row>
    <row r="216" spans="16:29" x14ac:dyDescent="0.25">
      <c r="P216" s="5"/>
      <c r="AC216" s="214" t="s">
        <v>496</v>
      </c>
    </row>
    <row r="217" spans="16:29" x14ac:dyDescent="0.25">
      <c r="P217" s="5"/>
      <c r="AC217" s="214" t="s">
        <v>473</v>
      </c>
    </row>
    <row r="218" spans="16:29" x14ac:dyDescent="0.25">
      <c r="P218" s="5"/>
      <c r="AC218" s="214" t="s">
        <v>271</v>
      </c>
    </row>
    <row r="219" spans="16:29" x14ac:dyDescent="0.25">
      <c r="P219" s="5"/>
      <c r="AC219" s="214" t="s">
        <v>233</v>
      </c>
    </row>
    <row r="220" spans="16:29" x14ac:dyDescent="0.25">
      <c r="P220" s="5"/>
      <c r="AC220" s="214" t="s">
        <v>360</v>
      </c>
    </row>
    <row r="221" spans="16:29" x14ac:dyDescent="0.25">
      <c r="P221" s="5"/>
      <c r="AC221" s="214" t="s">
        <v>234</v>
      </c>
    </row>
    <row r="222" spans="16:29" x14ac:dyDescent="0.25">
      <c r="P222" s="5"/>
      <c r="AC222" s="214" t="s">
        <v>437</v>
      </c>
    </row>
    <row r="223" spans="16:29" x14ac:dyDescent="0.25">
      <c r="P223" s="5"/>
      <c r="AC223" s="214" t="s">
        <v>272</v>
      </c>
    </row>
    <row r="224" spans="16:29" x14ac:dyDescent="0.25">
      <c r="P224" s="5"/>
      <c r="AC224" s="214" t="s">
        <v>153</v>
      </c>
    </row>
    <row r="225" spans="16:29" x14ac:dyDescent="0.25">
      <c r="P225" s="5"/>
      <c r="AC225" s="214" t="s">
        <v>196</v>
      </c>
    </row>
    <row r="226" spans="16:29" x14ac:dyDescent="0.25">
      <c r="P226" s="5"/>
      <c r="AC226" s="214" t="s">
        <v>235</v>
      </c>
    </row>
    <row r="227" spans="16:29" x14ac:dyDescent="0.25">
      <c r="P227" s="5"/>
      <c r="AC227" s="214" t="s">
        <v>474</v>
      </c>
    </row>
    <row r="228" spans="16:29" x14ac:dyDescent="0.25">
      <c r="P228" s="5"/>
      <c r="AC228" s="214" t="s">
        <v>361</v>
      </c>
    </row>
    <row r="229" spans="16:29" x14ac:dyDescent="0.25">
      <c r="P229" s="5"/>
      <c r="AC229" s="214" t="s">
        <v>475</v>
      </c>
    </row>
    <row r="230" spans="16:29" x14ac:dyDescent="0.25">
      <c r="P230" s="5"/>
      <c r="AC230" s="214" t="s">
        <v>315</v>
      </c>
    </row>
    <row r="231" spans="16:29" x14ac:dyDescent="0.25">
      <c r="P231" s="5"/>
      <c r="AC231" s="214" t="s">
        <v>476</v>
      </c>
    </row>
    <row r="232" spans="16:29" x14ac:dyDescent="0.25">
      <c r="P232" s="5"/>
      <c r="AC232" s="214" t="s">
        <v>698</v>
      </c>
    </row>
    <row r="233" spans="16:29" x14ac:dyDescent="0.25">
      <c r="P233" s="5"/>
      <c r="AC233" s="214" t="s">
        <v>135</v>
      </c>
    </row>
    <row r="234" spans="16:29" x14ac:dyDescent="0.25">
      <c r="P234" s="5"/>
      <c r="AC234" s="214" t="s">
        <v>393</v>
      </c>
    </row>
    <row r="235" spans="16:29" x14ac:dyDescent="0.25">
      <c r="P235" s="5"/>
      <c r="AC235" s="214" t="s">
        <v>362</v>
      </c>
    </row>
    <row r="236" spans="16:29" x14ac:dyDescent="0.25">
      <c r="P236" s="5"/>
      <c r="AC236" s="214" t="s">
        <v>136</v>
      </c>
    </row>
    <row r="237" spans="16:29" x14ac:dyDescent="0.25">
      <c r="P237" s="5"/>
      <c r="AC237" s="214" t="s">
        <v>749</v>
      </c>
    </row>
    <row r="238" spans="16:29" x14ac:dyDescent="0.25">
      <c r="P238" s="5"/>
      <c r="AC238" s="214" t="s">
        <v>438</v>
      </c>
    </row>
    <row r="239" spans="16:29" x14ac:dyDescent="0.25">
      <c r="P239" s="5"/>
      <c r="AC239" s="214" t="s">
        <v>439</v>
      </c>
    </row>
    <row r="240" spans="16:29" x14ac:dyDescent="0.25">
      <c r="P240" s="5"/>
      <c r="AC240" s="214" t="s">
        <v>750</v>
      </c>
    </row>
    <row r="241" spans="16:29" x14ac:dyDescent="0.25">
      <c r="P241" s="5"/>
      <c r="AC241" s="214" t="s">
        <v>236</v>
      </c>
    </row>
    <row r="242" spans="16:29" x14ac:dyDescent="0.25">
      <c r="P242" s="5"/>
      <c r="AC242" s="214" t="s">
        <v>506</v>
      </c>
    </row>
    <row r="243" spans="16:29" x14ac:dyDescent="0.25">
      <c r="P243" s="5"/>
      <c r="AC243" s="214" t="s">
        <v>477</v>
      </c>
    </row>
    <row r="244" spans="16:29" x14ac:dyDescent="0.25">
      <c r="P244" s="5"/>
      <c r="AC244" s="214" t="s">
        <v>237</v>
      </c>
    </row>
    <row r="245" spans="16:29" x14ac:dyDescent="0.25">
      <c r="P245" s="5"/>
      <c r="AC245" s="214" t="s">
        <v>478</v>
      </c>
    </row>
    <row r="246" spans="16:29" x14ac:dyDescent="0.25">
      <c r="P246" s="5"/>
      <c r="AC246" s="214" t="s">
        <v>273</v>
      </c>
    </row>
    <row r="247" spans="16:29" x14ac:dyDescent="0.25">
      <c r="P247" s="5"/>
      <c r="AC247" s="214" t="s">
        <v>364</v>
      </c>
    </row>
    <row r="248" spans="16:29" x14ac:dyDescent="0.25">
      <c r="P248" s="5"/>
      <c r="AC248" s="214" t="s">
        <v>239</v>
      </c>
    </row>
    <row r="249" spans="16:29" x14ac:dyDescent="0.25">
      <c r="P249" s="5"/>
      <c r="AC249" s="214" t="s">
        <v>240</v>
      </c>
    </row>
    <row r="250" spans="16:29" x14ac:dyDescent="0.25">
      <c r="P250" s="5"/>
      <c r="AC250" s="214" t="s">
        <v>550</v>
      </c>
    </row>
    <row r="251" spans="16:29" x14ac:dyDescent="0.25">
      <c r="P251" s="5"/>
      <c r="AC251" s="214" t="s">
        <v>751</v>
      </c>
    </row>
    <row r="252" spans="16:29" x14ac:dyDescent="0.25">
      <c r="P252" s="5"/>
      <c r="AC252" s="214" t="s">
        <v>394</v>
      </c>
    </row>
    <row r="253" spans="16:29" x14ac:dyDescent="0.25">
      <c r="P253" s="5"/>
      <c r="AC253" s="214" t="s">
        <v>137</v>
      </c>
    </row>
    <row r="254" spans="16:29" x14ac:dyDescent="0.25">
      <c r="P254" s="5"/>
      <c r="AC254" s="214" t="s">
        <v>497</v>
      </c>
    </row>
    <row r="255" spans="16:29" x14ac:dyDescent="0.25">
      <c r="P255" s="5"/>
      <c r="AC255" s="214" t="s">
        <v>365</v>
      </c>
    </row>
    <row r="256" spans="16:29" x14ac:dyDescent="0.25">
      <c r="P256" s="5"/>
      <c r="AC256" s="214" t="s">
        <v>501</v>
      </c>
    </row>
    <row r="257" spans="16:29" x14ac:dyDescent="0.25">
      <c r="P257" s="5"/>
      <c r="AC257" s="214" t="s">
        <v>241</v>
      </c>
    </row>
    <row r="258" spans="16:29" x14ac:dyDescent="0.25">
      <c r="P258" s="5"/>
      <c r="AC258" s="214" t="s">
        <v>367</v>
      </c>
    </row>
    <row r="259" spans="16:29" x14ac:dyDescent="0.25">
      <c r="P259" s="5"/>
      <c r="AC259" s="214" t="s">
        <v>440</v>
      </c>
    </row>
    <row r="260" spans="16:29" x14ac:dyDescent="0.25">
      <c r="P260" s="5"/>
      <c r="AC260" s="214" t="s">
        <v>441</v>
      </c>
    </row>
    <row r="261" spans="16:29" x14ac:dyDescent="0.25">
      <c r="P261" s="5"/>
      <c r="AC261" s="214" t="s">
        <v>156</v>
      </c>
    </row>
    <row r="262" spans="16:29" x14ac:dyDescent="0.25">
      <c r="P262" s="5"/>
      <c r="AC262" s="214" t="s">
        <v>242</v>
      </c>
    </row>
    <row r="263" spans="16:29" x14ac:dyDescent="0.25">
      <c r="P263" s="5"/>
      <c r="AC263" s="214" t="s">
        <v>197</v>
      </c>
    </row>
    <row r="264" spans="16:29" x14ac:dyDescent="0.25">
      <c r="P264" s="5"/>
      <c r="AC264" s="214" t="s">
        <v>198</v>
      </c>
    </row>
    <row r="265" spans="16:29" x14ac:dyDescent="0.25">
      <c r="P265" s="5"/>
      <c r="AC265" s="214" t="s">
        <v>199</v>
      </c>
    </row>
    <row r="266" spans="16:29" x14ac:dyDescent="0.25">
      <c r="P266" s="5"/>
      <c r="AC266" s="214" t="s">
        <v>243</v>
      </c>
    </row>
    <row r="267" spans="16:29" x14ac:dyDescent="0.25">
      <c r="P267" s="5"/>
      <c r="AC267" s="214" t="s">
        <v>442</v>
      </c>
    </row>
    <row r="268" spans="16:29" x14ac:dyDescent="0.25">
      <c r="P268" s="5"/>
      <c r="AC268" s="214" t="s">
        <v>177</v>
      </c>
    </row>
    <row r="269" spans="16:29" x14ac:dyDescent="0.25">
      <c r="P269" s="5"/>
      <c r="AC269" s="214" t="s">
        <v>316</v>
      </c>
    </row>
    <row r="270" spans="16:29" x14ac:dyDescent="0.25">
      <c r="P270" s="5"/>
      <c r="AC270" s="214" t="s">
        <v>317</v>
      </c>
    </row>
    <row r="271" spans="16:29" x14ac:dyDescent="0.25">
      <c r="P271" s="5"/>
      <c r="AC271" s="214" t="s">
        <v>178</v>
      </c>
    </row>
    <row r="272" spans="16:29" x14ac:dyDescent="0.25">
      <c r="P272" s="5"/>
      <c r="AC272" s="214" t="s">
        <v>443</v>
      </c>
    </row>
    <row r="273" spans="16:29" x14ac:dyDescent="0.25">
      <c r="P273" s="5"/>
      <c r="AC273" s="214" t="s">
        <v>244</v>
      </c>
    </row>
    <row r="274" spans="16:29" x14ac:dyDescent="0.25">
      <c r="P274" s="5"/>
      <c r="AC274" s="214" t="s">
        <v>318</v>
      </c>
    </row>
    <row r="275" spans="16:29" x14ac:dyDescent="0.25">
      <c r="P275" s="5"/>
      <c r="AC275" s="214" t="s">
        <v>274</v>
      </c>
    </row>
    <row r="276" spans="16:29" x14ac:dyDescent="0.25">
      <c r="P276" s="5"/>
      <c r="AC276" s="214" t="s">
        <v>245</v>
      </c>
    </row>
    <row r="277" spans="16:29" x14ac:dyDescent="0.25">
      <c r="P277" s="5"/>
      <c r="AC277" s="214" t="s">
        <v>369</v>
      </c>
    </row>
    <row r="278" spans="16:29" x14ac:dyDescent="0.25">
      <c r="P278" s="5"/>
      <c r="AC278" s="214" t="s">
        <v>481</v>
      </c>
    </row>
    <row r="279" spans="16:29" x14ac:dyDescent="0.25">
      <c r="P279" s="5"/>
      <c r="AC279" s="214" t="s">
        <v>157</v>
      </c>
    </row>
    <row r="280" spans="16:29" x14ac:dyDescent="0.25">
      <c r="P280" s="5"/>
      <c r="AC280" s="214" t="s">
        <v>370</v>
      </c>
    </row>
    <row r="281" spans="16:29" x14ac:dyDescent="0.25">
      <c r="P281" s="5"/>
      <c r="AC281" s="214" t="s">
        <v>319</v>
      </c>
    </row>
    <row r="282" spans="16:29" x14ac:dyDescent="0.25">
      <c r="P282" s="5"/>
      <c r="AC282" s="214" t="s">
        <v>246</v>
      </c>
    </row>
    <row r="283" spans="16:29" x14ac:dyDescent="0.25">
      <c r="P283" s="5"/>
      <c r="AC283" s="214" t="s">
        <v>200</v>
      </c>
    </row>
    <row r="284" spans="16:29" x14ac:dyDescent="0.25">
      <c r="P284" s="5"/>
      <c r="AC284" s="214" t="s">
        <v>395</v>
      </c>
    </row>
    <row r="285" spans="16:29" x14ac:dyDescent="0.25">
      <c r="P285" s="5"/>
      <c r="AC285" s="214" t="s">
        <v>247</v>
      </c>
    </row>
    <row r="286" spans="16:29" x14ac:dyDescent="0.25">
      <c r="P286" s="5"/>
      <c r="AC286" s="214" t="s">
        <v>275</v>
      </c>
    </row>
    <row r="287" spans="16:29" x14ac:dyDescent="0.25">
      <c r="P287" s="5"/>
      <c r="AC287" s="214" t="s">
        <v>444</v>
      </c>
    </row>
    <row r="288" spans="16:29" x14ac:dyDescent="0.25">
      <c r="P288" s="5"/>
      <c r="AC288" s="214" t="s">
        <v>248</v>
      </c>
    </row>
    <row r="289" spans="16:29" x14ac:dyDescent="0.25">
      <c r="P289" s="5"/>
      <c r="AC289" s="214" t="s">
        <v>276</v>
      </c>
    </row>
    <row r="290" spans="16:29" x14ac:dyDescent="0.25">
      <c r="P290" s="5"/>
      <c r="AC290" s="214" t="s">
        <v>371</v>
      </c>
    </row>
    <row r="291" spans="16:29" x14ac:dyDescent="0.25">
      <c r="P291" s="5"/>
      <c r="AC291" s="214" t="s">
        <v>201</v>
      </c>
    </row>
    <row r="292" spans="16:29" x14ac:dyDescent="0.25">
      <c r="P292" s="5"/>
      <c r="AC292" s="214" t="s">
        <v>372</v>
      </c>
    </row>
    <row r="293" spans="16:29" x14ac:dyDescent="0.25">
      <c r="P293" s="5"/>
      <c r="AC293" s="214" t="s">
        <v>482</v>
      </c>
    </row>
    <row r="294" spans="16:29" x14ac:dyDescent="0.25">
      <c r="P294" s="5"/>
      <c r="AC294" s="214" t="s">
        <v>483</v>
      </c>
    </row>
    <row r="295" spans="16:29" x14ac:dyDescent="0.25">
      <c r="P295" s="5"/>
      <c r="AC295" s="214" t="s">
        <v>445</v>
      </c>
    </row>
    <row r="296" spans="16:29" x14ac:dyDescent="0.25">
      <c r="P296" s="5"/>
      <c r="AC296" s="214" t="s">
        <v>373</v>
      </c>
    </row>
    <row r="297" spans="16:29" x14ac:dyDescent="0.25">
      <c r="P297" s="5"/>
      <c r="AC297" s="214" t="s">
        <v>250</v>
      </c>
    </row>
    <row r="298" spans="16:29" x14ac:dyDescent="0.25">
      <c r="P298" s="5"/>
      <c r="AC298" s="214" t="s">
        <v>446</v>
      </c>
    </row>
    <row r="299" spans="16:29" x14ac:dyDescent="0.25">
      <c r="P299" s="5"/>
      <c r="AC299" s="214" t="s">
        <v>320</v>
      </c>
    </row>
    <row r="300" spans="16:29" x14ac:dyDescent="0.25">
      <c r="P300" s="5"/>
      <c r="AC300" s="214" t="s">
        <v>251</v>
      </c>
    </row>
    <row r="301" spans="16:29" x14ac:dyDescent="0.25">
      <c r="P301" s="5"/>
      <c r="AC301" s="214" t="s">
        <v>374</v>
      </c>
    </row>
    <row r="302" spans="16:29" x14ac:dyDescent="0.25">
      <c r="P302" s="5"/>
      <c r="AC302" s="214" t="s">
        <v>179</v>
      </c>
    </row>
    <row r="303" spans="16:29" x14ac:dyDescent="0.25">
      <c r="P303" s="5"/>
      <c r="AC303" s="214" t="s">
        <v>396</v>
      </c>
    </row>
    <row r="304" spans="16:29" x14ac:dyDescent="0.25">
      <c r="P304" s="5"/>
      <c r="AC304" s="214" t="s">
        <v>511</v>
      </c>
    </row>
    <row r="305" spans="16:29" x14ac:dyDescent="0.25">
      <c r="P305" s="5"/>
      <c r="AC305" s="214" t="s">
        <v>551</v>
      </c>
    </row>
    <row r="306" spans="16:29" x14ac:dyDescent="0.25">
      <c r="P306" s="5"/>
      <c r="AC306" s="214" t="s">
        <v>485</v>
      </c>
    </row>
    <row r="307" spans="16:29" x14ac:dyDescent="0.25">
      <c r="P307" s="5"/>
      <c r="AC307" s="214" t="s">
        <v>507</v>
      </c>
    </row>
    <row r="308" spans="16:29" x14ac:dyDescent="0.25">
      <c r="P308" s="5"/>
      <c r="AC308" s="214" t="s">
        <v>447</v>
      </c>
    </row>
    <row r="309" spans="16:29" x14ac:dyDescent="0.25">
      <c r="P309" s="5"/>
      <c r="AC309" s="214" t="s">
        <v>486</v>
      </c>
    </row>
    <row r="310" spans="16:29" x14ac:dyDescent="0.25">
      <c r="P310" s="5"/>
      <c r="AC310" s="214" t="s">
        <v>375</v>
      </c>
    </row>
    <row r="311" spans="16:29" x14ac:dyDescent="0.25">
      <c r="P311" s="5"/>
      <c r="AC311" s="214" t="s">
        <v>397</v>
      </c>
    </row>
    <row r="312" spans="16:29" x14ac:dyDescent="0.25">
      <c r="P312" s="5"/>
      <c r="AC312" s="214" t="s">
        <v>180</v>
      </c>
    </row>
    <row r="313" spans="16:29" x14ac:dyDescent="0.25">
      <c r="P313" s="5"/>
      <c r="AC313" s="214" t="s">
        <v>277</v>
      </c>
    </row>
    <row r="314" spans="16:29" x14ac:dyDescent="0.25">
      <c r="P314" s="5"/>
      <c r="AC314" s="214" t="s">
        <v>448</v>
      </c>
    </row>
    <row r="315" spans="16:29" x14ac:dyDescent="0.25">
      <c r="P315" s="5"/>
      <c r="AC315" s="214" t="s">
        <v>449</v>
      </c>
    </row>
    <row r="316" spans="16:29" x14ac:dyDescent="0.25">
      <c r="P316" s="5"/>
      <c r="AC316" s="214" t="s">
        <v>159</v>
      </c>
    </row>
    <row r="317" spans="16:29" x14ac:dyDescent="0.25">
      <c r="P317" s="5"/>
      <c r="AC317" s="214" t="s">
        <v>202</v>
      </c>
    </row>
    <row r="318" spans="16:29" x14ac:dyDescent="0.25">
      <c r="P318" s="5"/>
      <c r="AC318" s="214" t="s">
        <v>321</v>
      </c>
    </row>
    <row r="319" spans="16:29" x14ac:dyDescent="0.25">
      <c r="P319" s="5"/>
      <c r="AC319" s="214" t="s">
        <v>450</v>
      </c>
    </row>
    <row r="320" spans="16:29" x14ac:dyDescent="0.25">
      <c r="P320" s="5"/>
      <c r="AC320" s="214" t="s">
        <v>203</v>
      </c>
    </row>
    <row r="321" spans="16:29" x14ac:dyDescent="0.25">
      <c r="P321" s="5"/>
      <c r="AC321" s="214" t="s">
        <v>487</v>
      </c>
    </row>
    <row r="322" spans="16:29" x14ac:dyDescent="0.25">
      <c r="P322" s="5"/>
      <c r="AC322" s="214" t="s">
        <v>278</v>
      </c>
    </row>
    <row r="323" spans="16:29" x14ac:dyDescent="0.25">
      <c r="P323" s="5"/>
      <c r="AC323" s="214" t="s">
        <v>508</v>
      </c>
    </row>
    <row r="324" spans="16:29" x14ac:dyDescent="0.25">
      <c r="P324" s="5"/>
      <c r="AC324" s="214" t="s">
        <v>398</v>
      </c>
    </row>
    <row r="325" spans="16:29" x14ac:dyDescent="0.25">
      <c r="P325" s="5"/>
      <c r="AC325" s="214" t="s">
        <v>181</v>
      </c>
    </row>
    <row r="326" spans="16:29" x14ac:dyDescent="0.25">
      <c r="P326" s="5"/>
      <c r="AC326" s="214" t="s">
        <v>322</v>
      </c>
    </row>
    <row r="327" spans="16:29" x14ac:dyDescent="0.25">
      <c r="P327" s="5"/>
      <c r="AC327" s="214" t="s">
        <v>377</v>
      </c>
    </row>
    <row r="328" spans="16:29" x14ac:dyDescent="0.25">
      <c r="P328" s="5"/>
      <c r="AC328" s="214" t="s">
        <v>399</v>
      </c>
    </row>
    <row r="329" spans="16:29" x14ac:dyDescent="0.25">
      <c r="P329" s="5"/>
      <c r="AC329" s="214" t="s">
        <v>252</v>
      </c>
    </row>
    <row r="330" spans="16:29" x14ac:dyDescent="0.25">
      <c r="P330" s="5"/>
      <c r="AC330" s="214" t="s">
        <v>451</v>
      </c>
    </row>
    <row r="331" spans="16:29" x14ac:dyDescent="0.25">
      <c r="P331" s="5"/>
      <c r="AC331" s="247" t="s">
        <v>204</v>
      </c>
    </row>
    <row r="332" spans="16:29" x14ac:dyDescent="0.25">
      <c r="P332" s="5"/>
      <c r="AC332" s="247" t="s">
        <v>205</v>
      </c>
    </row>
    <row r="333" spans="16:29" x14ac:dyDescent="0.25">
      <c r="P333" s="5"/>
      <c r="AC333" s="214" t="s">
        <v>138</v>
      </c>
    </row>
    <row r="334" spans="16:29" x14ac:dyDescent="0.25">
      <c r="P334" s="5"/>
      <c r="AC334" s="214" t="s">
        <v>182</v>
      </c>
    </row>
    <row r="335" spans="16:29" x14ac:dyDescent="0.25">
      <c r="P335" s="5"/>
      <c r="AC335" s="214" t="s">
        <v>452</v>
      </c>
    </row>
    <row r="336" spans="16:29" x14ac:dyDescent="0.25">
      <c r="P336" s="5"/>
      <c r="AC336" s="214" t="s">
        <v>323</v>
      </c>
    </row>
    <row r="337" spans="16:29" x14ac:dyDescent="0.25">
      <c r="P337" s="5"/>
      <c r="AC337" s="214" t="s">
        <v>324</v>
      </c>
    </row>
    <row r="338" spans="16:29" x14ac:dyDescent="0.25">
      <c r="P338" s="5"/>
      <c r="AC338" s="214" t="s">
        <v>498</v>
      </c>
    </row>
    <row r="339" spans="16:29" x14ac:dyDescent="0.25">
      <c r="P339" s="5"/>
      <c r="AC339" s="214" t="s">
        <v>279</v>
      </c>
    </row>
    <row r="340" spans="16:29" x14ac:dyDescent="0.25">
      <c r="P340" s="5"/>
      <c r="AC340" s="214" t="s">
        <v>280</v>
      </c>
    </row>
    <row r="341" spans="16:29" x14ac:dyDescent="0.25">
      <c r="P341" s="5"/>
      <c r="AC341" s="214" t="s">
        <v>488</v>
      </c>
    </row>
    <row r="342" spans="16:29" x14ac:dyDescent="0.25">
      <c r="P342" s="5"/>
      <c r="AC342" s="214" t="s">
        <v>489</v>
      </c>
    </row>
    <row r="343" spans="16:29" x14ac:dyDescent="0.25">
      <c r="P343" s="5"/>
      <c r="AC343" s="214" t="s">
        <v>453</v>
      </c>
    </row>
    <row r="344" spans="16:29" x14ac:dyDescent="0.25">
      <c r="P344" s="5"/>
      <c r="AC344" s="214" t="s">
        <v>161</v>
      </c>
    </row>
    <row r="345" spans="16:29" x14ac:dyDescent="0.25">
      <c r="P345" s="5"/>
      <c r="AC345" s="214" t="s">
        <v>281</v>
      </c>
    </row>
    <row r="346" spans="16:29" x14ac:dyDescent="0.25">
      <c r="P346" s="5"/>
      <c r="AC346" s="214" t="s">
        <v>400</v>
      </c>
    </row>
    <row r="347" spans="16:29" x14ac:dyDescent="0.25">
      <c r="P347" s="5"/>
      <c r="AC347" s="214" t="s">
        <v>454</v>
      </c>
    </row>
    <row r="348" spans="16:29" x14ac:dyDescent="0.25">
      <c r="P348" s="5"/>
      <c r="AC348" s="214" t="s">
        <v>325</v>
      </c>
    </row>
    <row r="349" spans="16:29" x14ac:dyDescent="0.25">
      <c r="P349" s="5"/>
      <c r="AC349" s="214" t="s">
        <v>490</v>
      </c>
    </row>
    <row r="350" spans="16:29" x14ac:dyDescent="0.25">
      <c r="P350" s="5"/>
      <c r="AC350" s="214" t="s">
        <v>491</v>
      </c>
    </row>
    <row r="351" spans="16:29" x14ac:dyDescent="0.25">
      <c r="P351" s="5"/>
      <c r="AC351" s="214" t="s">
        <v>752</v>
      </c>
    </row>
    <row r="352" spans="16:29" x14ac:dyDescent="0.25">
      <c r="P352" s="5"/>
      <c r="AC352" s="214" t="s">
        <v>378</v>
      </c>
    </row>
    <row r="353" spans="16:29" x14ac:dyDescent="0.25">
      <c r="P353" s="5"/>
      <c r="AC353" s="214" t="s">
        <v>183</v>
      </c>
    </row>
    <row r="354" spans="16:29" x14ac:dyDescent="0.25">
      <c r="P354" s="5"/>
      <c r="AC354" s="214" t="s">
        <v>401</v>
      </c>
    </row>
    <row r="355" spans="16:29" x14ac:dyDescent="0.25">
      <c r="P355" s="5"/>
      <c r="AC355" s="214" t="s">
        <v>492</v>
      </c>
    </row>
    <row r="356" spans="16:29" x14ac:dyDescent="0.25">
      <c r="P356" s="5"/>
      <c r="AC356" s="214" t="s">
        <v>379</v>
      </c>
    </row>
    <row r="357" spans="16:29" x14ac:dyDescent="0.25">
      <c r="P357" s="5"/>
      <c r="AC357" s="214" t="s">
        <v>253</v>
      </c>
    </row>
    <row r="358" spans="16:29" x14ac:dyDescent="0.25">
      <c r="P358" s="5"/>
      <c r="AC358" s="214" t="s">
        <v>455</v>
      </c>
    </row>
    <row r="359" spans="16:29" x14ac:dyDescent="0.25">
      <c r="P359" s="5"/>
      <c r="AC359" s="214" t="s">
        <v>753</v>
      </c>
    </row>
    <row r="360" spans="16:29" x14ac:dyDescent="0.25">
      <c r="P360" s="5"/>
      <c r="AC360" s="214" t="s">
        <v>456</v>
      </c>
    </row>
    <row r="361" spans="16:29" x14ac:dyDescent="0.25">
      <c r="P361" s="5"/>
      <c r="AC361" s="214" t="s">
        <v>457</v>
      </c>
    </row>
    <row r="362" spans="16:29" x14ac:dyDescent="0.25">
      <c r="P362" s="5"/>
      <c r="AC362" s="214" t="s">
        <v>380</v>
      </c>
    </row>
    <row r="363" spans="16:29" x14ac:dyDescent="0.25">
      <c r="P363" s="5"/>
      <c r="AC363" s="214" t="s">
        <v>254</v>
      </c>
    </row>
    <row r="364" spans="16:29" x14ac:dyDescent="0.25">
      <c r="P364" s="5"/>
      <c r="AC364" s="214" t="s">
        <v>381</v>
      </c>
    </row>
    <row r="365" spans="16:29" x14ac:dyDescent="0.25">
      <c r="P365" s="5"/>
      <c r="AC365" s="214" t="s">
        <v>326</v>
      </c>
    </row>
    <row r="366" spans="16:29" x14ac:dyDescent="0.25">
      <c r="P366" s="5"/>
      <c r="AC366" s="214" t="s">
        <v>493</v>
      </c>
    </row>
    <row r="367" spans="16:29" x14ac:dyDescent="0.25">
      <c r="P367" s="5"/>
      <c r="AC367" s="214" t="s">
        <v>327</v>
      </c>
    </row>
    <row r="368" spans="16:29" x14ac:dyDescent="0.25">
      <c r="P368" s="5"/>
      <c r="AC368" s="214" t="s">
        <v>255</v>
      </c>
    </row>
    <row r="369" spans="16:29" x14ac:dyDescent="0.25">
      <c r="P369" s="5"/>
      <c r="AC369" s="214" t="s">
        <v>754</v>
      </c>
    </row>
    <row r="370" spans="16:29" x14ac:dyDescent="0.25">
      <c r="P370" s="5"/>
      <c r="AC370" s="214" t="s">
        <v>755</v>
      </c>
    </row>
    <row r="371" spans="16:29" x14ac:dyDescent="0.25">
      <c r="P371" s="5"/>
      <c r="AC371" s="214" t="s">
        <v>139</v>
      </c>
    </row>
    <row r="372" spans="16:29" x14ac:dyDescent="0.25">
      <c r="P372" s="5"/>
      <c r="AC372" s="214" t="s">
        <v>256</v>
      </c>
    </row>
    <row r="373" spans="16:29" x14ac:dyDescent="0.25">
      <c r="P373" s="5"/>
      <c r="AC373" s="214" t="s">
        <v>756</v>
      </c>
    </row>
    <row r="374" spans="16:29" x14ac:dyDescent="0.25">
      <c r="P374" s="5"/>
      <c r="AC374" s="214" t="s">
        <v>382</v>
      </c>
    </row>
    <row r="375" spans="16:29" x14ac:dyDescent="0.25">
      <c r="P375" s="5"/>
      <c r="AC375" s="214" t="s">
        <v>184</v>
      </c>
    </row>
    <row r="376" spans="16:29" x14ac:dyDescent="0.25">
      <c r="P376" s="5"/>
      <c r="AC376" s="214" t="s">
        <v>383</v>
      </c>
    </row>
    <row r="377" spans="16:29" x14ac:dyDescent="0.25">
      <c r="P377" s="5"/>
      <c r="AC377" s="214" t="s">
        <v>206</v>
      </c>
    </row>
    <row r="378" spans="16:29" x14ac:dyDescent="0.25">
      <c r="P378" s="5"/>
      <c r="AC378" s="214" t="s">
        <v>257</v>
      </c>
    </row>
    <row r="379" spans="16:29" x14ac:dyDescent="0.25">
      <c r="P379" s="5"/>
      <c r="AC379" s="214" t="s">
        <v>328</v>
      </c>
    </row>
    <row r="380" spans="16:29" x14ac:dyDescent="0.25">
      <c r="P380" s="5"/>
      <c r="AC380" s="214" t="s">
        <v>283</v>
      </c>
    </row>
    <row r="381" spans="16:29" x14ac:dyDescent="0.25">
      <c r="P381" s="5"/>
      <c r="AC381" s="214" t="s">
        <v>258</v>
      </c>
    </row>
    <row r="382" spans="16:29" x14ac:dyDescent="0.25">
      <c r="P382" s="5"/>
      <c r="AC382" s="214" t="s">
        <v>459</v>
      </c>
    </row>
    <row r="383" spans="16:29" x14ac:dyDescent="0.25">
      <c r="P383" s="5"/>
      <c r="AC383" s="214" t="s">
        <v>284</v>
      </c>
    </row>
    <row r="384" spans="16:29" x14ac:dyDescent="0.25">
      <c r="P384" s="5"/>
      <c r="AC384" s="214" t="s">
        <v>329</v>
      </c>
    </row>
    <row r="385" spans="16:29" x14ac:dyDescent="0.25">
      <c r="P385" s="5"/>
      <c r="AC385" s="214" t="s">
        <v>285</v>
      </c>
    </row>
    <row r="386" spans="16:29" x14ac:dyDescent="0.25">
      <c r="P386" s="5"/>
      <c r="AC386" s="214" t="s">
        <v>330</v>
      </c>
    </row>
    <row r="387" spans="16:29" x14ac:dyDescent="0.25">
      <c r="P387" s="5"/>
      <c r="AC387" s="214" t="s">
        <v>259</v>
      </c>
    </row>
    <row r="388" spans="16:29" x14ac:dyDescent="0.25">
      <c r="P388" s="5"/>
      <c r="AC388" s="214" t="s">
        <v>331</v>
      </c>
    </row>
    <row r="389" spans="16:29" x14ac:dyDescent="0.25">
      <c r="P389" s="5"/>
      <c r="AC389" s="214" t="s">
        <v>499</v>
      </c>
    </row>
    <row r="390" spans="16:29" x14ac:dyDescent="0.25">
      <c r="P390" s="5"/>
      <c r="AC390" s="214" t="s">
        <v>286</v>
      </c>
    </row>
    <row r="391" spans="16:29" x14ac:dyDescent="0.25">
      <c r="P391" s="5"/>
      <c r="AC391" s="214" t="s">
        <v>260</v>
      </c>
    </row>
    <row r="392" spans="16:29" x14ac:dyDescent="0.25">
      <c r="P392" s="5"/>
      <c r="AC392" s="214" t="s">
        <v>385</v>
      </c>
    </row>
    <row r="393" spans="16:29" x14ac:dyDescent="0.25">
      <c r="P393" s="5"/>
      <c r="AC393" s="214" t="s">
        <v>386</v>
      </c>
    </row>
    <row r="394" spans="16:29" x14ac:dyDescent="0.25">
      <c r="P394" s="5"/>
      <c r="AC394" s="214" t="s">
        <v>387</v>
      </c>
    </row>
    <row r="395" spans="16:29" x14ac:dyDescent="0.25">
      <c r="P395" s="5"/>
      <c r="AC395" s="214" t="s">
        <v>461</v>
      </c>
    </row>
    <row r="396" spans="16:29" x14ac:dyDescent="0.25">
      <c r="P396" s="5"/>
      <c r="AC396" s="214" t="s">
        <v>261</v>
      </c>
    </row>
    <row r="397" spans="16:29" x14ac:dyDescent="0.25">
      <c r="P397" s="5"/>
      <c r="AC397" s="214" t="s">
        <v>207</v>
      </c>
    </row>
    <row r="398" spans="16:29" x14ac:dyDescent="0.25">
      <c r="P398" s="5"/>
      <c r="AC398" s="214" t="s">
        <v>388</v>
      </c>
    </row>
    <row r="399" spans="16:29" x14ac:dyDescent="0.25">
      <c r="P399" s="5"/>
      <c r="AC399" s="214" t="s">
        <v>208</v>
      </c>
    </row>
    <row r="400" spans="16:29" x14ac:dyDescent="0.25">
      <c r="P400" s="5"/>
      <c r="AC400" s="214" t="s">
        <v>510</v>
      </c>
    </row>
    <row r="401" spans="16:16" x14ac:dyDescent="0.25">
      <c r="P401" s="5"/>
    </row>
    <row r="402" spans="16:16" x14ac:dyDescent="0.25">
      <c r="P402" s="5"/>
    </row>
    <row r="403" spans="16:16" x14ac:dyDescent="0.25">
      <c r="P403" s="5"/>
    </row>
    <row r="404" spans="16:16" x14ac:dyDescent="0.25">
      <c r="P404" s="5"/>
    </row>
    <row r="405" spans="16:16" x14ac:dyDescent="0.25">
      <c r="P405" s="5"/>
    </row>
    <row r="406" spans="16:16" x14ac:dyDescent="0.25">
      <c r="P406" s="5"/>
    </row>
    <row r="407" spans="16:16" x14ac:dyDescent="0.25">
      <c r="P407" s="5"/>
    </row>
    <row r="408" spans="16:16" x14ac:dyDescent="0.25">
      <c r="P408" s="5"/>
    </row>
    <row r="409" spans="16:16" x14ac:dyDescent="0.25">
      <c r="P409" s="5"/>
    </row>
    <row r="410" spans="16:16" x14ac:dyDescent="0.25">
      <c r="P410" s="5"/>
    </row>
    <row r="411" spans="16:16" x14ac:dyDescent="0.25">
      <c r="P411" s="5"/>
    </row>
    <row r="412" spans="16:16" x14ac:dyDescent="0.25">
      <c r="P412" s="5"/>
    </row>
    <row r="413" spans="16:16" x14ac:dyDescent="0.25">
      <c r="P413" s="5"/>
    </row>
    <row r="414" spans="16:16" x14ac:dyDescent="0.25">
      <c r="P414" s="5"/>
    </row>
    <row r="415" spans="16:16" x14ac:dyDescent="0.25">
      <c r="P415" s="5"/>
    </row>
    <row r="416" spans="16:16" x14ac:dyDescent="0.25">
      <c r="P416" s="5"/>
    </row>
    <row r="417" spans="16:16" x14ac:dyDescent="0.25">
      <c r="P417" s="5"/>
    </row>
    <row r="418" spans="16:16" x14ac:dyDescent="0.25">
      <c r="P418" s="5"/>
    </row>
    <row r="419" spans="16:16" x14ac:dyDescent="0.25">
      <c r="P419" s="5"/>
    </row>
    <row r="420" spans="16:16" x14ac:dyDescent="0.25">
      <c r="P420" s="5"/>
    </row>
    <row r="421" spans="16:16" x14ac:dyDescent="0.25">
      <c r="P421" s="5"/>
    </row>
    <row r="422" spans="16:16" x14ac:dyDescent="0.25">
      <c r="P422" s="5"/>
    </row>
    <row r="423" spans="16:16" x14ac:dyDescent="0.25">
      <c r="P423" s="5"/>
    </row>
    <row r="424" spans="16:16" x14ac:dyDescent="0.25">
      <c r="P424" s="5"/>
    </row>
    <row r="425" spans="16:16" x14ac:dyDescent="0.25">
      <c r="P425" s="5"/>
    </row>
    <row r="426" spans="16:16" x14ac:dyDescent="0.25">
      <c r="P426" s="5"/>
    </row>
    <row r="427" spans="16:16" x14ac:dyDescent="0.25">
      <c r="P427" s="5"/>
    </row>
    <row r="428" spans="16:16" x14ac:dyDescent="0.25">
      <c r="P428" s="5"/>
    </row>
    <row r="429" spans="16:16" x14ac:dyDescent="0.25">
      <c r="P429" s="5"/>
    </row>
    <row r="430" spans="16:16" x14ac:dyDescent="0.25">
      <c r="P430" s="5"/>
    </row>
    <row r="431" spans="16:16" x14ac:dyDescent="0.25">
      <c r="P431" s="5"/>
    </row>
    <row r="432" spans="16:16" x14ac:dyDescent="0.25">
      <c r="P432" s="5"/>
    </row>
    <row r="433" spans="16:16" x14ac:dyDescent="0.25">
      <c r="P433" s="5"/>
    </row>
    <row r="434" spans="16:16" x14ac:dyDescent="0.25">
      <c r="P434" s="5"/>
    </row>
    <row r="435" spans="16:16" x14ac:dyDescent="0.25">
      <c r="P435" s="5"/>
    </row>
    <row r="436" spans="16:16" x14ac:dyDescent="0.25">
      <c r="P436" s="5"/>
    </row>
    <row r="437" spans="16:16" x14ac:dyDescent="0.25">
      <c r="P437" s="5"/>
    </row>
    <row r="438" spans="16:16" x14ac:dyDescent="0.25">
      <c r="P438" s="5"/>
    </row>
    <row r="439" spans="16:16" x14ac:dyDescent="0.25">
      <c r="P439" s="5"/>
    </row>
    <row r="440" spans="16:16" x14ac:dyDescent="0.25">
      <c r="P440" s="5"/>
    </row>
    <row r="441" spans="16:16" x14ac:dyDescent="0.25">
      <c r="P441" s="5"/>
    </row>
    <row r="442" spans="16:16" x14ac:dyDescent="0.25">
      <c r="P442" s="5"/>
    </row>
    <row r="443" spans="16:16" x14ac:dyDescent="0.25">
      <c r="P443" s="5"/>
    </row>
    <row r="444" spans="16:16" x14ac:dyDescent="0.25">
      <c r="P444" s="5"/>
    </row>
    <row r="445" spans="16:16" x14ac:dyDescent="0.25">
      <c r="P445" s="5"/>
    </row>
    <row r="446" spans="16:16" x14ac:dyDescent="0.25">
      <c r="P446" s="5"/>
    </row>
    <row r="447" spans="16:16" x14ac:dyDescent="0.25">
      <c r="P447" s="5"/>
    </row>
  </sheetData>
  <sheetProtection algorithmName="SHA-512" hashValue="9fDaqpdyLziSRER2IXmZmsYJ8QY5uV8BpzdR5pCVbjypxrfTLZXCk9jowYCvBle4J+WYYkQeP0I+r4losecdtw==" saltValue="aPrQgHKZGAz0S7ebiQZ+RA==" spinCount="100000" sheet="1" scenarios="1" selectLockedCells="1"/>
  <sortState ref="AC45:AC399">
    <sortCondition ref="AC45:AC399"/>
  </sortState>
  <dataConsolidate/>
  <mergeCells count="3">
    <mergeCell ref="E2:F2"/>
    <mergeCell ref="A3:B3"/>
    <mergeCell ref="A1:B1"/>
  </mergeCells>
  <dataValidations count="8">
    <dataValidation type="list" allowBlank="1" showInputMessage="1" showErrorMessage="1" promptTitle="Scenario" prompt="Met het scrolmenu kunt u kiezen uit twee scenario's. Slechtweer is het vast ingestelde slechtweer-scenario. Op de stand handmatig kan zelf een scenario onder de kolom handmatig worden gedefinieerd." sqref="G2" xr:uid="{00000000-0002-0000-0000-000000000000}">
      <formula1>"Slechtweer,Handmatig"</formula1>
    </dataValidation>
    <dataValidation allowBlank="1" showInputMessage="1" showErrorMessage="1" promptTitle="Onbenutte belastingcapaciteit" prompt="Schatting op basis van ingevoerde tarieven en woz waarden CBS  " sqref="G15" xr:uid="{00000000-0002-0000-0000-000001000000}"/>
    <dataValidation allowBlank="1" showInputMessage="1" showErrorMessage="1" promptTitle="Bepalen houdbaarheidstekort" prompt="Als de gehele test is ingevuld, bepaal dan hier het houdbaarheidstekort door het percentage van de ombuigingen aan te passen. Pas dit percentage zo aan dat de netto schuldquote vanaf 2025 licht daalt.       " sqref="G17" xr:uid="{00000000-0002-0000-0000-000002000000}"/>
    <dataValidation allowBlank="1" showInputMessage="1" showErrorMessage="1" promptTitle="Investeringsvolume" prompt="Hier kan de gemiddelde investeringsruimte vanaf 2020 voor de scenario's Handmatig en Slechtweer worden aangepast. Bij een positief percentage wordt de investeringsruimte kleiner. Bij een negatief percentage groter. " sqref="I19" xr:uid="{00000000-0002-0000-0000-000003000000}"/>
    <dataValidation allowBlank="1" showErrorMessage="1" sqref="C19:C20" xr:uid="{00000000-0002-0000-0000-000004000000}"/>
    <dataValidation allowBlank="1" showInputMessage="1" showErrorMessage="1" promptTitle="Rente liquide middelen" prompt="Voer hier het actuele percentage in van de rentevergoeding op banktegoeden en kortlopende uitzettingen." sqref="C14" xr:uid="{00000000-0002-0000-0000-000005000000}"/>
    <dataValidation allowBlank="1" showInputMessage="1" showErrorMessage="1" promptTitle="Rente kortlopende schuld" prompt="Vul hier het actuele percentage in van de rente op kortlopende schulden.  " sqref="C15" xr:uid="{00000000-0002-0000-0000-000006000000}"/>
    <dataValidation type="list" allowBlank="1" showInputMessage="1" showErrorMessage="1" promptTitle="Selecteer gemeentenaam" prompt="Selecteer met het scrolmenu de naam van uw gemeente " sqref="C2" xr:uid="{00000000-0002-0000-0000-000007000000}">
      <formula1>$AC$45:$AC$400</formula1>
    </dataValidation>
  </dataValidations>
  <pageMargins left="0.7" right="0.7" top="0.75" bottom="0.75" header="0.3" footer="0.3"/>
  <pageSetup paperSize="9" orientation="portrait" r:id="rId1"/>
  <drawing r:id="rId2"/>
  <legacyDrawing r:id="rId3"/>
  <extLst>
    <ext xmlns:x14="http://schemas.microsoft.com/office/spreadsheetml/2009/9/main" uri="{05C60535-1F16-4fd2-B633-F4F36F0B64E0}">
      <x14:sparklineGroups xmlns:xm="http://schemas.microsoft.com/office/excel/2006/main">
        <x14:sparklineGroup type="stacked" displayEmptyCellsAs="gap" negative="1" xr2:uid="{00000000-0003-0000-0000-000000000000}">
          <x14:colorSeries rgb="FF00B050"/>
          <x14:colorNegative rgb="FFFF0000"/>
          <x14:colorAxis rgb="FF000000"/>
          <x14:colorMarkers rgb="FF0070C0"/>
          <x14:colorFirst rgb="FFFFC000"/>
          <x14:colorLast rgb="FFFFC000"/>
          <x14:colorHigh rgb="FF00B050"/>
          <x14:colorLow rgb="FFFF0000"/>
          <x14:sparklines>
            <x14:sparkline>
              <xm:f>Macrogegevens!M41:M41</xm:f>
              <xm:sqref>F41</xm:sqref>
            </x14:sparkline>
          </x14:sparklines>
        </x14:sparklineGroup>
        <x14:sparklineGroup type="stacked" displayEmptyCellsAs="gap" negative="1" xr2:uid="{00000000-0003-0000-0000-000001000000}">
          <x14:colorSeries rgb="FF00B050"/>
          <x14:colorNegative rgb="FFFF0000"/>
          <x14:colorAxis rgb="FF000000"/>
          <x14:colorMarkers rgb="FF0070C0"/>
          <x14:colorFirst rgb="FFFFC000"/>
          <x14:colorLast rgb="FFFFC000"/>
          <x14:colorHigh rgb="FF00B050"/>
          <x14:colorLow rgb="FFFF0000"/>
          <x14:sparklines>
            <x14:sparkline>
              <xm:f>Macrogegevens!M37:M37</xm:f>
              <xm:sqref>F37</xm:sqref>
            </x14:sparkline>
          </x14:sparklines>
        </x14:sparklineGroup>
        <x14:sparklineGroup type="stacked" displayEmptyCellsAs="gap" negative="1" xr2:uid="{B6BE9450-CA19-4B42-9196-8B032CBE994E}">
          <x14:colorSeries rgb="FF00B050"/>
          <x14:colorNegative rgb="FFFF0000"/>
          <x14:colorAxis rgb="FF000000"/>
          <x14:colorMarkers rgb="FF0070C0"/>
          <x14:colorFirst rgb="FFFFC000"/>
          <x14:colorLast rgb="FFFFC000"/>
          <x14:colorHigh rgb="FF00B050"/>
          <x14:colorLow rgb="FFFF0000"/>
          <x14:sparklines>
            <x14:sparkline>
              <xm:f>Macrogegevens!K35:M35</xm:f>
              <xm:sqref>F35</xm:sqref>
            </x14:sparkline>
          </x14:sparklines>
        </x14:sparklineGroup>
        <x14:sparklineGroup type="stacked" displayEmptyCellsAs="gap" negative="1" xr2:uid="{00000000-0003-0000-0000-000003000000}">
          <x14:colorSeries rgb="FF00B050"/>
          <x14:colorNegative rgb="FFFF0000"/>
          <x14:colorAxis rgb="FF000000"/>
          <x14:colorMarkers rgb="FF0070C0"/>
          <x14:colorFirst rgb="FFFFC000"/>
          <x14:colorLast rgb="FFFFC000"/>
          <x14:colorHigh rgb="FF00B050"/>
          <x14:colorLow rgb="FFFF0000"/>
          <x14:sparklines>
            <x14:sparkline>
              <xm:f>Macrogegevens!M27:M27</xm:f>
              <xm:sqref>F27</xm:sqref>
            </x14:sparkline>
          </x14:sparklines>
        </x14:sparklineGroup>
        <x14:sparklineGroup type="stacked" displayEmptyCellsAs="gap" negative="1" xr2:uid="{00000000-0003-0000-0000-000004000000}">
          <x14:colorSeries rgb="FF00B050"/>
          <x14:colorNegative rgb="FFFF0000"/>
          <x14:colorAxis rgb="FF000000"/>
          <x14:colorMarkers rgb="FF0070C0"/>
          <x14:colorFirst rgb="FFFFC000"/>
          <x14:colorLast rgb="FFFFC000"/>
          <x14:colorHigh rgb="FF00B050"/>
          <x14:colorLow rgb="FFFF0000"/>
          <x14:sparklines>
            <x14:sparkline>
              <xm:f>Macrogegevens!K31:M31</xm:f>
              <xm:sqref>F31</xm:sqref>
            </x14:sparkline>
          </x14:sparklines>
        </x14:sparklineGroup>
        <x14:sparklineGroup type="stacked" displayEmptyCellsAs="gap" negative="1" xr2:uid="{00000000-0003-0000-0000-000005000000}">
          <x14:colorSeries rgb="FF00B050"/>
          <x14:colorNegative rgb="FFFF0000"/>
          <x14:colorAxis rgb="FF000000"/>
          <x14:colorMarkers rgb="FF0070C0"/>
          <x14:colorFirst rgb="FFFFC000"/>
          <x14:colorLast rgb="FFFFC000"/>
          <x14:colorHigh rgb="FF00B050"/>
          <x14:colorLow rgb="FFFF0000"/>
          <x14:sparklines>
            <x14:sparkline>
              <xm:f>Macrogegevens!K25:M25</xm:f>
              <xm:sqref>F25</xm:sqref>
            </x14:sparkline>
          </x14:sparklines>
        </x14:sparklineGroup>
        <x14:sparklineGroup type="stacked" displayEmptyCellsAs="gap" negative="1" xr2:uid="{00000000-0003-0000-0000-000006000000}">
          <x14:colorSeries rgb="FF00B050"/>
          <x14:colorNegative rgb="FFFF0000"/>
          <x14:colorAxis rgb="FF000000"/>
          <x14:colorMarkers rgb="FF0070C0"/>
          <x14:colorFirst rgb="FFFFC000"/>
          <x14:colorLast rgb="FFFFC000"/>
          <x14:colorHigh rgb="FF00B050"/>
          <x14:colorLow rgb="FFFF0000"/>
          <x14:sparklines>
            <x14:sparkline>
              <xm:f>Macrogegevens!K28:M28</xm:f>
              <xm:sqref>F28</xm:sqref>
            </x14:sparkline>
          </x14:sparklines>
        </x14:sparklineGroup>
        <x14:sparklineGroup type="stacked" displayEmptyCellsAs="gap" negative="1" xr2:uid="{00000000-0003-0000-0000-000007000000}">
          <x14:colorSeries rgb="FF00B050"/>
          <x14:colorNegative rgb="FFFF0000"/>
          <x14:colorAxis rgb="FF000000"/>
          <x14:colorMarkers rgb="FF0070C0"/>
          <x14:colorFirst rgb="FFFFC000"/>
          <x14:colorLast rgb="FFFFC000"/>
          <x14:colorHigh rgb="FF00B050"/>
          <x14:colorLow rgb="FFFF0000"/>
          <x14:sparklines>
            <x14:sparkline>
              <xm:f>Macrogegevens!K33:M33</xm:f>
              <xm:sqref>F33</xm:sqref>
            </x14:sparkline>
          </x14:sparklines>
        </x14:sparklineGroup>
        <x14:sparklineGroup type="stacked" displayEmptyCellsAs="gap" negative="1" xr2:uid="{00000000-0003-0000-0000-000008000000}">
          <x14:colorSeries rgb="FF00B050"/>
          <x14:colorNegative rgb="FFFF0000"/>
          <x14:colorAxis rgb="FF000000"/>
          <x14:colorMarkers rgb="FF0070C0"/>
          <x14:colorFirst rgb="FFFFC000"/>
          <x14:colorLast rgb="FFFFC000"/>
          <x14:colorHigh rgb="FF00B050"/>
          <x14:colorLow rgb="FFFF0000"/>
          <x14:sparklines>
            <x14:sparkline>
              <xm:f>Macrogegevens!O40:O40</xm:f>
              <xm:sqref>F39</xm:sqref>
            </x14:sparkline>
          </x14:sparklines>
        </x14:sparklineGroup>
        <x14:sparklineGroup type="stacked" displayEmptyCellsAs="gap" negative="1" xr2:uid="{00000000-0003-0000-0000-000009000000}">
          <x14:colorSeries rgb="FF00B050"/>
          <x14:colorNegative rgb="FFFF0000"/>
          <x14:colorAxis rgb="FF000000"/>
          <x14:colorMarkers rgb="FF0070C0"/>
          <x14:colorFirst rgb="FFFFC000"/>
          <x14:colorLast rgb="FFFFC000"/>
          <x14:colorHigh rgb="FF00B050"/>
          <x14:colorLow rgb="FFFF0000"/>
          <x14:sparklines>
            <x14:sparkline>
              <xm:f>Macrogegevens!K38:M38</xm:f>
              <xm:sqref>F38</xm:sqref>
            </x14:sparkline>
          </x14:sparklines>
        </x14:sparklineGroup>
        <x14:sparklineGroup type="stacked" displayEmptyCellsAs="gap" negative="1" xr2:uid="{00000000-0003-0000-0000-00000A000000}">
          <x14:colorSeries rgb="FF00B050"/>
          <x14:colorNegative rgb="FFFF0000"/>
          <x14:colorAxis rgb="FF000000"/>
          <x14:colorMarkers rgb="FF0070C0"/>
          <x14:colorFirst rgb="FFFFC000"/>
          <x14:colorLast rgb="FFFFC000"/>
          <x14:colorHigh rgb="FF00B050"/>
          <x14:colorLow rgb="FFFF0000"/>
          <x14:sparklines>
            <x14:sparkline>
              <xm:f>Macrogegevens!M34:M34</xm:f>
              <xm:sqref>F34</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426"/>
  <sheetViews>
    <sheetView workbookViewId="0">
      <pane xSplit="2" ySplit="1" topLeftCell="C260" activePane="bottomRight" state="frozen"/>
      <selection pane="topRight" activeCell="C1" sqref="C1"/>
      <selection pane="bottomLeft" activeCell="A2" sqref="A2"/>
      <selection pane="bottomRight" activeCell="B295" sqref="B295"/>
    </sheetView>
  </sheetViews>
  <sheetFormatPr defaultRowHeight="13.2" x14ac:dyDescent="0.25"/>
  <cols>
    <col min="1" max="1" width="10.5546875" style="223" bestFit="1" customWidth="1"/>
    <col min="2" max="2" width="29.88671875" style="223" bestFit="1" customWidth="1"/>
    <col min="3" max="3" width="24.5546875" style="223" bestFit="1" customWidth="1"/>
    <col min="4" max="4" width="33.109375" style="223" bestFit="1" customWidth="1"/>
    <col min="5" max="5" width="36.88671875" style="223" bestFit="1" customWidth="1"/>
    <col min="6" max="6" width="17" style="224" bestFit="1" customWidth="1"/>
    <col min="7" max="7" width="17.6640625" style="225" bestFit="1" customWidth="1"/>
    <col min="8" max="8" width="18.44140625" style="225" bestFit="1" customWidth="1"/>
    <col min="9" max="9" width="19.5546875" style="225" bestFit="1" customWidth="1"/>
    <col min="10" max="10" width="12.5546875" style="225" bestFit="1" customWidth="1"/>
    <col min="11" max="11" width="37.109375" style="225" bestFit="1" customWidth="1"/>
    <col min="12" max="12" width="28.33203125" style="225" bestFit="1" customWidth="1"/>
    <col min="13" max="13" width="22" style="225" bestFit="1" customWidth="1"/>
    <col min="14" max="14" width="24.88671875" style="225" bestFit="1" customWidth="1"/>
    <col min="15" max="15" width="15.44140625" style="225" bestFit="1" customWidth="1"/>
    <col min="16" max="16" width="42.5546875" style="153" bestFit="1" customWidth="1"/>
    <col min="17" max="17" width="30" bestFit="1" customWidth="1"/>
    <col min="18" max="18" width="33.5546875" bestFit="1" customWidth="1"/>
    <col min="19" max="19" width="33" bestFit="1" customWidth="1"/>
    <col min="20" max="20" width="37.44140625" style="154" bestFit="1" customWidth="1"/>
    <col min="21" max="22" width="33.88671875" bestFit="1" customWidth="1"/>
    <col min="23" max="23" width="30.5546875" bestFit="1" customWidth="1"/>
    <col min="24" max="24" width="29.88671875" bestFit="1" customWidth="1"/>
    <col min="25" max="25" width="24.6640625" bestFit="1" customWidth="1"/>
    <col min="26" max="26" width="28.44140625" bestFit="1" customWidth="1"/>
    <col min="27" max="27" width="18.109375" bestFit="1" customWidth="1"/>
    <col min="28" max="28" width="21.88671875" bestFit="1" customWidth="1"/>
    <col min="29" max="29" width="19.109375" bestFit="1" customWidth="1"/>
    <col min="30" max="31" width="28.33203125" bestFit="1" customWidth="1"/>
  </cols>
  <sheetData>
    <row r="1" spans="1:31" x14ac:dyDescent="0.25">
      <c r="A1" t="s">
        <v>651</v>
      </c>
      <c r="B1" t="s">
        <v>612</v>
      </c>
      <c r="C1" t="s">
        <v>856</v>
      </c>
      <c r="D1" t="s">
        <v>857</v>
      </c>
      <c r="E1" t="s">
        <v>858</v>
      </c>
      <c r="F1" t="s">
        <v>859</v>
      </c>
      <c r="G1" t="s">
        <v>860</v>
      </c>
      <c r="H1" t="s">
        <v>861</v>
      </c>
      <c r="I1" t="s">
        <v>862</v>
      </c>
      <c r="J1" t="s">
        <v>863</v>
      </c>
      <c r="K1" t="s">
        <v>864</v>
      </c>
      <c r="L1" t="s">
        <v>865</v>
      </c>
      <c r="M1" t="s">
        <v>866</v>
      </c>
      <c r="N1" t="s">
        <v>867</v>
      </c>
      <c r="O1" t="s">
        <v>868</v>
      </c>
      <c r="P1" t="s">
        <v>869</v>
      </c>
      <c r="Q1" t="s">
        <v>870</v>
      </c>
      <c r="R1" t="s">
        <v>871</v>
      </c>
      <c r="S1" t="s">
        <v>872</v>
      </c>
      <c r="T1" t="s">
        <v>873</v>
      </c>
      <c r="U1" t="s">
        <v>874</v>
      </c>
      <c r="V1" t="s">
        <v>875</v>
      </c>
      <c r="X1" t="s">
        <v>878</v>
      </c>
      <c r="Y1" t="s">
        <v>879</v>
      </c>
      <c r="Z1" t="s">
        <v>880</v>
      </c>
      <c r="AA1" t="s">
        <v>882</v>
      </c>
      <c r="AB1" t="s">
        <v>883</v>
      </c>
      <c r="AC1" t="s">
        <v>884</v>
      </c>
      <c r="AD1" t="s">
        <v>881</v>
      </c>
      <c r="AE1" t="s">
        <v>834</v>
      </c>
    </row>
    <row r="2" spans="1:31" x14ac:dyDescent="0.25">
      <c r="A2" t="s">
        <v>598</v>
      </c>
      <c r="B2" t="s">
        <v>129</v>
      </c>
      <c r="C2">
        <v>4301</v>
      </c>
      <c r="D2">
        <v>3268</v>
      </c>
      <c r="E2">
        <v>1033</v>
      </c>
      <c r="F2">
        <v>0</v>
      </c>
      <c r="G2">
        <v>0</v>
      </c>
      <c r="H2">
        <v>1447</v>
      </c>
      <c r="I2">
        <v>138</v>
      </c>
      <c r="J2">
        <v>2072</v>
      </c>
      <c r="K2">
        <v>2065</v>
      </c>
      <c r="L2">
        <v>310</v>
      </c>
      <c r="M2">
        <v>130</v>
      </c>
      <c r="N2">
        <v>533</v>
      </c>
      <c r="O2">
        <v>23</v>
      </c>
      <c r="P2">
        <v>2926000</v>
      </c>
      <c r="Q2">
        <v>2543000</v>
      </c>
      <c r="R2">
        <v>383000</v>
      </c>
      <c r="S2">
        <v>229000</v>
      </c>
      <c r="T2" s="153">
        <f t="shared" ref="T2:T65" si="0">0.1905*SUM(Q2,R2,R2)*10</f>
        <v>6303645</v>
      </c>
      <c r="U2" s="153">
        <f t="shared" ref="U2:U65" si="1">SUM(T2*140/120,-C2*1000)</f>
        <v>3053252.5</v>
      </c>
      <c r="V2" s="153">
        <f t="shared" ref="V2:V65" si="2">IF(U2&gt;0,U2,0)</f>
        <v>3053252.5</v>
      </c>
      <c r="X2" t="s">
        <v>129</v>
      </c>
      <c r="Y2">
        <v>3134</v>
      </c>
      <c r="Z2">
        <v>1343</v>
      </c>
      <c r="AA2">
        <v>2477470355.731225</v>
      </c>
      <c r="AB2">
        <v>427570837.3129577</v>
      </c>
      <c r="AC2" s="153">
        <f>SUM(0.001952*AA2,2*0.001952*AB2)*140/120</f>
        <v>7589468.4637999954</v>
      </c>
      <c r="AD2" s="153">
        <f>SUM(AC2,-Y2*1000,-Z2*1000)</f>
        <v>3112468.4637999954</v>
      </c>
      <c r="AE2" s="153">
        <f>IF(AD2&gt;0,AD2,0)</f>
        <v>3112468.4637999954</v>
      </c>
    </row>
    <row r="3" spans="1:31" x14ac:dyDescent="0.25">
      <c r="A3" t="s">
        <v>600</v>
      </c>
      <c r="B3" t="s">
        <v>287</v>
      </c>
      <c r="C3">
        <v>8775</v>
      </c>
      <c r="D3">
        <v>4987</v>
      </c>
      <c r="E3">
        <v>3788</v>
      </c>
      <c r="F3">
        <v>18</v>
      </c>
      <c r="G3">
        <v>1516</v>
      </c>
      <c r="H3">
        <v>166</v>
      </c>
      <c r="I3">
        <v>310</v>
      </c>
      <c r="J3">
        <v>2737</v>
      </c>
      <c r="K3">
        <v>3456</v>
      </c>
      <c r="L3">
        <v>529</v>
      </c>
      <c r="M3">
        <v>503</v>
      </c>
      <c r="N3">
        <v>2499</v>
      </c>
      <c r="O3">
        <v>866</v>
      </c>
      <c r="P3">
        <v>4876000</v>
      </c>
      <c r="Q3">
        <v>4019000</v>
      </c>
      <c r="R3">
        <v>857000</v>
      </c>
      <c r="S3">
        <v>304000</v>
      </c>
      <c r="T3" s="153">
        <f t="shared" si="0"/>
        <v>10921365</v>
      </c>
      <c r="U3" s="153">
        <f t="shared" si="1"/>
        <v>3966592.5</v>
      </c>
      <c r="V3" s="153">
        <f t="shared" si="2"/>
        <v>3966592.5</v>
      </c>
      <c r="X3" t="s">
        <v>287</v>
      </c>
      <c r="Y3">
        <v>4752</v>
      </c>
      <c r="Z3">
        <v>3908</v>
      </c>
      <c r="AA3">
        <v>4117850953.2062387</v>
      </c>
      <c r="AB3">
        <v>987866531.85035408</v>
      </c>
      <c r="AC3" s="153">
        <f t="shared" ref="AC3:AC64" si="3">SUM(0.001952*AA3,2*0.001952*AB3)*140/120</f>
        <v>13877122.001169419</v>
      </c>
      <c r="AD3" s="153">
        <f t="shared" ref="AD3:AD64" si="4">SUM(AC3,-Y3*1000,-Z3*1000)</f>
        <v>5217122.0011694189</v>
      </c>
      <c r="AE3" s="153">
        <f t="shared" ref="AE3:AE64" si="5">IF(AD3&gt;0,AD3,0)</f>
        <v>5217122.0011694189</v>
      </c>
    </row>
    <row r="4" spans="1:31" x14ac:dyDescent="0.25">
      <c r="A4" t="s">
        <v>601</v>
      </c>
      <c r="B4" t="s">
        <v>209</v>
      </c>
      <c r="C4">
        <v>4584</v>
      </c>
      <c r="D4">
        <v>3115</v>
      </c>
      <c r="E4">
        <v>1469</v>
      </c>
      <c r="F4">
        <v>0</v>
      </c>
      <c r="G4">
        <v>0</v>
      </c>
      <c r="H4">
        <v>75</v>
      </c>
      <c r="I4">
        <v>315</v>
      </c>
      <c r="J4">
        <v>1855</v>
      </c>
      <c r="K4">
        <v>1142</v>
      </c>
      <c r="L4">
        <v>287</v>
      </c>
      <c r="M4">
        <v>214</v>
      </c>
      <c r="N4">
        <v>233</v>
      </c>
      <c r="O4">
        <v>104</v>
      </c>
      <c r="P4">
        <v>2764000</v>
      </c>
      <c r="Q4">
        <v>2273000</v>
      </c>
      <c r="R4">
        <v>491000</v>
      </c>
      <c r="S4">
        <v>195000</v>
      </c>
      <c r="T4" s="153">
        <f t="shared" si="0"/>
        <v>6200775</v>
      </c>
      <c r="U4" s="153">
        <f t="shared" si="1"/>
        <v>2650237.5</v>
      </c>
      <c r="V4" s="153">
        <f t="shared" si="2"/>
        <v>2650237.5</v>
      </c>
      <c r="X4" t="s">
        <v>209</v>
      </c>
      <c r="Y4">
        <v>3011</v>
      </c>
      <c r="Z4">
        <v>1568</v>
      </c>
      <c r="AA4">
        <v>2267319277.1084337</v>
      </c>
      <c r="AB4">
        <v>494637223.97476339</v>
      </c>
      <c r="AC4" s="153">
        <f t="shared" si="3"/>
        <v>7416349.4431986623</v>
      </c>
      <c r="AD4" s="153">
        <f t="shared" si="4"/>
        <v>2837349.4431986623</v>
      </c>
      <c r="AE4" s="153">
        <f t="shared" si="5"/>
        <v>2837349.4431986623</v>
      </c>
    </row>
    <row r="5" spans="1:31" x14ac:dyDescent="0.25">
      <c r="A5" t="s">
        <v>602</v>
      </c>
      <c r="B5" t="s">
        <v>165</v>
      </c>
      <c r="C5">
        <v>5299</v>
      </c>
      <c r="D5">
        <v>3445</v>
      </c>
      <c r="E5">
        <v>1854</v>
      </c>
      <c r="F5">
        <v>0</v>
      </c>
      <c r="G5">
        <v>466</v>
      </c>
      <c r="H5">
        <v>0</v>
      </c>
      <c r="I5">
        <v>51</v>
      </c>
      <c r="J5">
        <v>1841</v>
      </c>
      <c r="K5">
        <v>3262</v>
      </c>
      <c r="L5">
        <v>334</v>
      </c>
      <c r="M5">
        <v>0</v>
      </c>
      <c r="N5">
        <v>399</v>
      </c>
      <c r="O5">
        <v>86</v>
      </c>
      <c r="P5">
        <v>2395000</v>
      </c>
      <c r="Q5">
        <v>1990000</v>
      </c>
      <c r="R5">
        <v>405000</v>
      </c>
      <c r="S5">
        <v>171000</v>
      </c>
      <c r="T5" s="153">
        <f t="shared" si="0"/>
        <v>5334000</v>
      </c>
      <c r="U5" s="153">
        <f t="shared" si="1"/>
        <v>924000</v>
      </c>
      <c r="V5" s="153">
        <f t="shared" si="2"/>
        <v>924000</v>
      </c>
      <c r="X5" t="s">
        <v>165</v>
      </c>
      <c r="Y5">
        <v>3381</v>
      </c>
      <c r="Z5">
        <v>2039</v>
      </c>
      <c r="AA5">
        <v>1974883177.5700934</v>
      </c>
      <c r="AB5">
        <v>404082441.53785175</v>
      </c>
      <c r="AC5" s="153">
        <f t="shared" si="3"/>
        <v>6337928.1167773614</v>
      </c>
      <c r="AD5" s="153">
        <f t="shared" si="4"/>
        <v>917928.11677736137</v>
      </c>
      <c r="AE5" s="153">
        <f t="shared" si="5"/>
        <v>917928.11677736137</v>
      </c>
    </row>
    <row r="6" spans="1:31" x14ac:dyDescent="0.25">
      <c r="A6" t="s">
        <v>603</v>
      </c>
      <c r="B6" t="s">
        <v>332</v>
      </c>
      <c r="C6">
        <v>4441</v>
      </c>
      <c r="D6">
        <v>2143</v>
      </c>
      <c r="E6">
        <v>2298</v>
      </c>
      <c r="F6">
        <v>0</v>
      </c>
      <c r="G6">
        <v>632</v>
      </c>
      <c r="H6">
        <v>32</v>
      </c>
      <c r="I6">
        <v>91</v>
      </c>
      <c r="J6">
        <v>1656</v>
      </c>
      <c r="K6">
        <v>2580</v>
      </c>
      <c r="L6">
        <v>222</v>
      </c>
      <c r="M6">
        <v>522</v>
      </c>
      <c r="N6">
        <v>317</v>
      </c>
      <c r="O6">
        <v>103</v>
      </c>
      <c r="P6">
        <v>2152000</v>
      </c>
      <c r="Q6">
        <v>1700000</v>
      </c>
      <c r="R6">
        <v>452000</v>
      </c>
      <c r="S6">
        <v>204000</v>
      </c>
      <c r="T6" s="153">
        <f t="shared" si="0"/>
        <v>4960620</v>
      </c>
      <c r="U6" s="153">
        <f t="shared" si="1"/>
        <v>1346390</v>
      </c>
      <c r="V6" s="153">
        <f t="shared" si="2"/>
        <v>1346390</v>
      </c>
      <c r="X6" t="s">
        <v>332</v>
      </c>
      <c r="Y6">
        <v>2129</v>
      </c>
      <c r="Z6">
        <v>2462</v>
      </c>
      <c r="AA6">
        <v>1692368839.4276628</v>
      </c>
      <c r="AB6">
        <v>441455979.91751844</v>
      </c>
      <c r="AC6" s="153">
        <f t="shared" si="3"/>
        <v>5864772.8068542546</v>
      </c>
      <c r="AD6" s="153">
        <f t="shared" si="4"/>
        <v>1273772.8068542546</v>
      </c>
      <c r="AE6" s="153">
        <f t="shared" si="5"/>
        <v>1273772.8068542546</v>
      </c>
    </row>
    <row r="7" spans="1:31" x14ac:dyDescent="0.25">
      <c r="A7" t="s">
        <v>603</v>
      </c>
      <c r="B7" t="s">
        <v>333</v>
      </c>
      <c r="C7">
        <v>6407</v>
      </c>
      <c r="D7">
        <v>3998</v>
      </c>
      <c r="E7">
        <v>2409</v>
      </c>
      <c r="F7">
        <v>0</v>
      </c>
      <c r="G7">
        <v>0</v>
      </c>
      <c r="H7">
        <v>0</v>
      </c>
      <c r="I7">
        <v>0</v>
      </c>
      <c r="J7">
        <v>2902</v>
      </c>
      <c r="K7">
        <v>2301</v>
      </c>
      <c r="L7">
        <v>457</v>
      </c>
      <c r="M7">
        <v>257</v>
      </c>
      <c r="N7">
        <v>459</v>
      </c>
      <c r="O7">
        <v>41</v>
      </c>
      <c r="P7">
        <v>3157000</v>
      </c>
      <c r="Q7">
        <v>2717000</v>
      </c>
      <c r="R7">
        <v>440000</v>
      </c>
      <c r="S7">
        <v>266000</v>
      </c>
      <c r="T7" s="153">
        <f t="shared" si="0"/>
        <v>6852285</v>
      </c>
      <c r="U7" s="153">
        <f t="shared" si="1"/>
        <v>1587332.5</v>
      </c>
      <c r="V7" s="153">
        <f t="shared" si="2"/>
        <v>1587332.5</v>
      </c>
      <c r="X7" t="s">
        <v>333</v>
      </c>
      <c r="Y7">
        <v>3710</v>
      </c>
      <c r="Z7">
        <v>3134</v>
      </c>
      <c r="AA7">
        <v>2649999999.9999995</v>
      </c>
      <c r="AB7">
        <v>425815217.39130431</v>
      </c>
      <c r="AC7" s="153">
        <f t="shared" si="3"/>
        <v>7974379.7101449268</v>
      </c>
      <c r="AD7" s="153">
        <f t="shared" si="4"/>
        <v>1130379.7101449268</v>
      </c>
      <c r="AE7" s="153">
        <f t="shared" si="5"/>
        <v>1130379.7101449268</v>
      </c>
    </row>
    <row r="8" spans="1:31" x14ac:dyDescent="0.25">
      <c r="A8" t="s">
        <v>600</v>
      </c>
      <c r="B8" t="s">
        <v>288</v>
      </c>
      <c r="C8">
        <v>22522</v>
      </c>
      <c r="D8">
        <v>9743</v>
      </c>
      <c r="E8">
        <v>12779</v>
      </c>
      <c r="F8">
        <v>7869</v>
      </c>
      <c r="G8">
        <v>4914</v>
      </c>
      <c r="H8">
        <v>487</v>
      </c>
      <c r="I8">
        <v>437</v>
      </c>
      <c r="J8">
        <v>7747</v>
      </c>
      <c r="K8">
        <v>11462</v>
      </c>
      <c r="L8">
        <v>1273</v>
      </c>
      <c r="M8">
        <v>224</v>
      </c>
      <c r="N8">
        <v>1772</v>
      </c>
      <c r="O8">
        <v>944</v>
      </c>
      <c r="P8">
        <v>13197000</v>
      </c>
      <c r="Q8">
        <v>10261000</v>
      </c>
      <c r="R8">
        <v>2936000</v>
      </c>
      <c r="S8">
        <v>202000</v>
      </c>
      <c r="T8" s="153">
        <f t="shared" si="0"/>
        <v>30733365</v>
      </c>
      <c r="U8" s="153">
        <f t="shared" si="1"/>
        <v>13333592.5</v>
      </c>
      <c r="V8" s="153">
        <f t="shared" si="2"/>
        <v>13333592.5</v>
      </c>
      <c r="X8" t="s">
        <v>288</v>
      </c>
      <c r="Y8">
        <v>9384</v>
      </c>
      <c r="Z8">
        <v>12550</v>
      </c>
      <c r="AA8">
        <v>10312087912.087912</v>
      </c>
      <c r="AB8">
        <v>2653276955.6025372</v>
      </c>
      <c r="AC8" s="153">
        <f t="shared" si="3"/>
        <v>35568853.645579226</v>
      </c>
      <c r="AD8" s="153">
        <f t="shared" si="4"/>
        <v>13634853.645579226</v>
      </c>
      <c r="AE8" s="153">
        <f t="shared" si="5"/>
        <v>13634853.645579226</v>
      </c>
    </row>
    <row r="9" spans="1:31" x14ac:dyDescent="0.25">
      <c r="A9" t="s">
        <v>604</v>
      </c>
      <c r="B9" t="s">
        <v>185</v>
      </c>
      <c r="C9">
        <v>21190</v>
      </c>
      <c r="D9">
        <v>9798</v>
      </c>
      <c r="E9">
        <v>11392</v>
      </c>
      <c r="F9">
        <v>1944</v>
      </c>
      <c r="G9">
        <v>50</v>
      </c>
      <c r="H9">
        <v>349</v>
      </c>
      <c r="I9">
        <v>377</v>
      </c>
      <c r="J9">
        <v>9141</v>
      </c>
      <c r="K9">
        <v>7929</v>
      </c>
      <c r="L9">
        <v>787</v>
      </c>
      <c r="M9">
        <v>353</v>
      </c>
      <c r="N9">
        <v>1966</v>
      </c>
      <c r="O9">
        <v>199</v>
      </c>
      <c r="P9">
        <v>6979000</v>
      </c>
      <c r="Q9">
        <v>5207000</v>
      </c>
      <c r="R9">
        <v>1772000</v>
      </c>
      <c r="S9">
        <v>160000</v>
      </c>
      <c r="T9" s="153">
        <f t="shared" si="0"/>
        <v>16670655</v>
      </c>
      <c r="U9" s="153">
        <f t="shared" si="1"/>
        <v>-1740902.5</v>
      </c>
      <c r="V9" s="153">
        <f t="shared" si="2"/>
        <v>0</v>
      </c>
      <c r="X9" t="s">
        <v>185</v>
      </c>
      <c r="Y9">
        <v>9363</v>
      </c>
      <c r="Z9">
        <v>11796</v>
      </c>
      <c r="AA9">
        <v>5158677685.9504137</v>
      </c>
      <c r="AB9">
        <v>1647946353.730092</v>
      </c>
      <c r="AC9" s="153">
        <f t="shared" si="3"/>
        <v>19253874.975927066</v>
      </c>
      <c r="AD9" s="153">
        <f t="shared" si="4"/>
        <v>-1905125.0240729339</v>
      </c>
      <c r="AE9" s="153">
        <f t="shared" si="5"/>
        <v>0</v>
      </c>
    </row>
    <row r="10" spans="1:31" x14ac:dyDescent="0.25">
      <c r="A10" t="s">
        <v>605</v>
      </c>
      <c r="B10" t="s">
        <v>494</v>
      </c>
      <c r="C10">
        <v>43579</v>
      </c>
      <c r="D10">
        <v>25229</v>
      </c>
      <c r="E10">
        <v>18350</v>
      </c>
      <c r="F10">
        <v>14299</v>
      </c>
      <c r="G10">
        <v>240</v>
      </c>
      <c r="H10">
        <v>0</v>
      </c>
      <c r="I10">
        <v>0</v>
      </c>
      <c r="J10">
        <v>13975</v>
      </c>
      <c r="K10">
        <v>29174</v>
      </c>
      <c r="L10">
        <v>2789</v>
      </c>
      <c r="M10">
        <v>0</v>
      </c>
      <c r="N10">
        <v>9501</v>
      </c>
      <c r="O10">
        <v>803</v>
      </c>
      <c r="P10">
        <v>19434000</v>
      </c>
      <c r="Q10">
        <v>16057000</v>
      </c>
      <c r="R10">
        <v>3377000</v>
      </c>
      <c r="S10">
        <v>198000</v>
      </c>
      <c r="T10" s="153">
        <f t="shared" si="0"/>
        <v>43454955</v>
      </c>
      <c r="U10" s="153">
        <f t="shared" si="1"/>
        <v>7118447.5</v>
      </c>
      <c r="V10" s="153">
        <f t="shared" si="2"/>
        <v>7118447.5</v>
      </c>
      <c r="X10" t="s">
        <v>494</v>
      </c>
      <c r="Y10">
        <v>23810</v>
      </c>
      <c r="Z10">
        <v>19760</v>
      </c>
      <c r="AA10">
        <v>16557719054.242002</v>
      </c>
      <c r="AB10">
        <v>3418685121.1072664</v>
      </c>
      <c r="AC10" s="153">
        <f t="shared" si="3"/>
        <v>53278416.691130348</v>
      </c>
      <c r="AD10" s="153">
        <f t="shared" si="4"/>
        <v>9708416.6911303475</v>
      </c>
      <c r="AE10" s="153">
        <f t="shared" si="5"/>
        <v>9708416.6911303475</v>
      </c>
    </row>
    <row r="11" spans="1:31" x14ac:dyDescent="0.25">
      <c r="A11" t="s">
        <v>603</v>
      </c>
      <c r="B11" t="s">
        <v>334</v>
      </c>
      <c r="C11">
        <v>20404</v>
      </c>
      <c r="D11">
        <v>12712</v>
      </c>
      <c r="E11">
        <v>7692</v>
      </c>
      <c r="F11">
        <v>3341</v>
      </c>
      <c r="G11">
        <v>4064</v>
      </c>
      <c r="H11">
        <v>46</v>
      </c>
      <c r="I11">
        <v>522</v>
      </c>
      <c r="J11">
        <v>11400</v>
      </c>
      <c r="K11">
        <v>10250</v>
      </c>
      <c r="L11">
        <v>1843</v>
      </c>
      <c r="M11">
        <v>1300</v>
      </c>
      <c r="N11">
        <v>1928</v>
      </c>
      <c r="O11">
        <v>265</v>
      </c>
      <c r="P11">
        <v>13179000</v>
      </c>
      <c r="Q11">
        <v>10817000</v>
      </c>
      <c r="R11">
        <v>2362000</v>
      </c>
      <c r="S11">
        <v>231000</v>
      </c>
      <c r="T11" s="153">
        <f t="shared" si="0"/>
        <v>29605605</v>
      </c>
      <c r="U11" s="153">
        <f t="shared" si="1"/>
        <v>14135872.5</v>
      </c>
      <c r="V11" s="153">
        <f t="shared" si="2"/>
        <v>14135872.5</v>
      </c>
      <c r="X11" t="s">
        <v>334</v>
      </c>
      <c r="Y11">
        <v>12559</v>
      </c>
      <c r="Z11">
        <v>7518</v>
      </c>
      <c r="AA11">
        <v>10771012006.861065</v>
      </c>
      <c r="AB11">
        <v>2088333333.3333335</v>
      </c>
      <c r="AC11" s="153">
        <f t="shared" si="3"/>
        <v>34040846.899180487</v>
      </c>
      <c r="AD11" s="153">
        <f t="shared" si="4"/>
        <v>13963846.899180487</v>
      </c>
      <c r="AE11" s="153">
        <f t="shared" si="5"/>
        <v>13963846.899180487</v>
      </c>
    </row>
    <row r="12" spans="1:31" x14ac:dyDescent="0.25">
      <c r="A12" t="s">
        <v>599</v>
      </c>
      <c r="B12" t="s">
        <v>403</v>
      </c>
      <c r="C12">
        <v>2066</v>
      </c>
      <c r="D12">
        <v>1345</v>
      </c>
      <c r="E12">
        <v>721</v>
      </c>
      <c r="F12">
        <v>0</v>
      </c>
      <c r="G12">
        <v>0</v>
      </c>
      <c r="H12">
        <v>200</v>
      </c>
      <c r="I12">
        <v>35</v>
      </c>
      <c r="J12">
        <v>1363</v>
      </c>
      <c r="K12">
        <v>994</v>
      </c>
      <c r="L12">
        <v>206</v>
      </c>
      <c r="M12">
        <v>32</v>
      </c>
      <c r="N12">
        <v>367</v>
      </c>
      <c r="O12">
        <v>36</v>
      </c>
      <c r="P12">
        <v>1512000</v>
      </c>
      <c r="Q12">
        <v>1201000</v>
      </c>
      <c r="R12">
        <v>311000</v>
      </c>
      <c r="S12">
        <v>307000</v>
      </c>
      <c r="T12" s="153">
        <f t="shared" si="0"/>
        <v>3472815</v>
      </c>
      <c r="U12" s="153">
        <f t="shared" si="1"/>
        <v>1985617.5</v>
      </c>
      <c r="V12" s="153">
        <f t="shared" si="2"/>
        <v>1985617.5</v>
      </c>
      <c r="X12" t="s">
        <v>403</v>
      </c>
      <c r="Y12">
        <v>1303</v>
      </c>
      <c r="Z12">
        <v>829</v>
      </c>
      <c r="AA12">
        <v>1188868613.1386862</v>
      </c>
      <c r="AB12">
        <v>305791220.95167834</v>
      </c>
      <c r="AC12" s="153">
        <f t="shared" si="3"/>
        <v>4100227.2026824122</v>
      </c>
      <c r="AD12" s="153">
        <f t="shared" si="4"/>
        <v>1968227.2026824122</v>
      </c>
      <c r="AE12" s="153">
        <f t="shared" si="5"/>
        <v>1968227.2026824122</v>
      </c>
    </row>
    <row r="13" spans="1:31" x14ac:dyDescent="0.25">
      <c r="A13" t="s">
        <v>599</v>
      </c>
      <c r="B13" t="s">
        <v>745</v>
      </c>
      <c r="C13">
        <v>8662</v>
      </c>
      <c r="D13">
        <v>5892</v>
      </c>
      <c r="E13">
        <v>2770</v>
      </c>
      <c r="F13">
        <v>0</v>
      </c>
      <c r="G13">
        <v>16</v>
      </c>
      <c r="H13">
        <v>156</v>
      </c>
      <c r="I13">
        <v>256</v>
      </c>
      <c r="J13">
        <v>5265</v>
      </c>
      <c r="K13">
        <v>4619</v>
      </c>
      <c r="L13">
        <v>885</v>
      </c>
      <c r="M13">
        <v>794</v>
      </c>
      <c r="N13">
        <v>1225</v>
      </c>
      <c r="O13">
        <v>172</v>
      </c>
      <c r="P13">
        <v>6280000</v>
      </c>
      <c r="Q13">
        <v>5274000</v>
      </c>
      <c r="R13">
        <v>1006000</v>
      </c>
      <c r="S13">
        <v>245000</v>
      </c>
      <c r="T13" s="153">
        <f t="shared" si="0"/>
        <v>13879830</v>
      </c>
      <c r="U13" s="153">
        <f t="shared" si="1"/>
        <v>7531135</v>
      </c>
      <c r="V13" s="153">
        <f t="shared" si="2"/>
        <v>7531135</v>
      </c>
      <c r="X13" t="s">
        <v>745</v>
      </c>
      <c r="Y13">
        <v>5849</v>
      </c>
      <c r="Z13">
        <v>3091</v>
      </c>
      <c r="AA13">
        <v>5234805632.5334311</v>
      </c>
      <c r="AB13">
        <v>967716606.6388607</v>
      </c>
      <c r="AC13" s="153">
        <v>16329023.931527264</v>
      </c>
      <c r="AD13" s="153">
        <v>7389023.9315272644</v>
      </c>
      <c r="AE13" s="153">
        <v>7389023.9315272644</v>
      </c>
    </row>
    <row r="14" spans="1:31" x14ac:dyDescent="0.25">
      <c r="A14" t="s">
        <v>602</v>
      </c>
      <c r="B14" t="s">
        <v>166</v>
      </c>
      <c r="C14">
        <v>1288</v>
      </c>
      <c r="D14">
        <v>798</v>
      </c>
      <c r="E14">
        <v>490</v>
      </c>
      <c r="F14">
        <v>0</v>
      </c>
      <c r="G14">
        <v>0</v>
      </c>
      <c r="H14">
        <v>2869</v>
      </c>
      <c r="I14">
        <v>1355</v>
      </c>
      <c r="J14">
        <v>690</v>
      </c>
      <c r="K14">
        <v>1023</v>
      </c>
      <c r="L14">
        <v>88</v>
      </c>
      <c r="M14">
        <v>39</v>
      </c>
      <c r="N14">
        <v>210</v>
      </c>
      <c r="O14">
        <v>75</v>
      </c>
      <c r="P14">
        <v>1060000</v>
      </c>
      <c r="Q14">
        <v>859000</v>
      </c>
      <c r="R14">
        <v>201000</v>
      </c>
      <c r="S14">
        <v>238000</v>
      </c>
      <c r="T14" s="153">
        <f t="shared" si="0"/>
        <v>2402205</v>
      </c>
      <c r="U14" s="153">
        <f t="shared" si="1"/>
        <v>1514572.5</v>
      </c>
      <c r="V14" s="153">
        <f t="shared" si="2"/>
        <v>1514572.5</v>
      </c>
      <c r="X14" t="s">
        <v>166</v>
      </c>
      <c r="Y14">
        <v>860</v>
      </c>
      <c r="Z14">
        <v>537</v>
      </c>
      <c r="AA14">
        <v>826128722.3823247</v>
      </c>
      <c r="AB14">
        <v>202107640.19570944</v>
      </c>
      <c r="AC14" s="153">
        <f t="shared" si="3"/>
        <v>2801903.4089834052</v>
      </c>
      <c r="AD14" s="153">
        <f t="shared" si="4"/>
        <v>1404903.4089834052</v>
      </c>
      <c r="AE14" s="153">
        <f t="shared" si="5"/>
        <v>1404903.4089834052</v>
      </c>
    </row>
    <row r="15" spans="1:31" x14ac:dyDescent="0.25">
      <c r="A15" t="s">
        <v>606</v>
      </c>
      <c r="B15" t="s">
        <v>262</v>
      </c>
      <c r="C15">
        <v>45032</v>
      </c>
      <c r="D15">
        <v>24503</v>
      </c>
      <c r="E15">
        <v>20529</v>
      </c>
      <c r="F15">
        <v>2787</v>
      </c>
      <c r="G15">
        <v>1985</v>
      </c>
      <c r="H15">
        <v>0</v>
      </c>
      <c r="I15">
        <v>1015</v>
      </c>
      <c r="J15">
        <v>13265</v>
      </c>
      <c r="K15">
        <v>16067</v>
      </c>
      <c r="L15">
        <v>2443</v>
      </c>
      <c r="M15">
        <v>4223</v>
      </c>
      <c r="N15">
        <v>3777</v>
      </c>
      <c r="O15">
        <v>1085</v>
      </c>
      <c r="P15">
        <v>20755000</v>
      </c>
      <c r="Q15">
        <v>17101000</v>
      </c>
      <c r="R15">
        <v>3654000</v>
      </c>
      <c r="S15">
        <v>254000</v>
      </c>
      <c r="T15" s="153">
        <f t="shared" si="0"/>
        <v>46499145</v>
      </c>
      <c r="U15" s="153">
        <f t="shared" si="1"/>
        <v>9217002.5</v>
      </c>
      <c r="V15" s="153">
        <f t="shared" si="2"/>
        <v>9217002.5</v>
      </c>
      <c r="X15" t="s">
        <v>262</v>
      </c>
      <c r="Y15">
        <v>22457</v>
      </c>
      <c r="Z15">
        <v>21566</v>
      </c>
      <c r="AA15">
        <v>16834332833.58321</v>
      </c>
      <c r="AB15">
        <v>3665816760.1563826</v>
      </c>
      <c r="AC15" s="153">
        <f t="shared" si="3"/>
        <v>55033960.7099391</v>
      </c>
      <c r="AD15" s="153">
        <f t="shared" si="4"/>
        <v>11010960.7099391</v>
      </c>
      <c r="AE15" s="153">
        <f t="shared" si="5"/>
        <v>11010960.7099391</v>
      </c>
    </row>
    <row r="16" spans="1:31" x14ac:dyDescent="0.25">
      <c r="A16" t="s">
        <v>600</v>
      </c>
      <c r="B16" t="s">
        <v>289</v>
      </c>
      <c r="C16">
        <v>21318</v>
      </c>
      <c r="D16">
        <v>11440</v>
      </c>
      <c r="E16">
        <v>9878</v>
      </c>
      <c r="F16">
        <v>2657</v>
      </c>
      <c r="G16">
        <v>0</v>
      </c>
      <c r="H16">
        <v>132</v>
      </c>
      <c r="I16">
        <v>320</v>
      </c>
      <c r="J16">
        <v>8570</v>
      </c>
      <c r="K16">
        <v>8693</v>
      </c>
      <c r="L16">
        <v>1917</v>
      </c>
      <c r="M16">
        <v>3790</v>
      </c>
      <c r="N16">
        <v>1752</v>
      </c>
      <c r="O16">
        <v>293</v>
      </c>
      <c r="P16">
        <v>16626000</v>
      </c>
      <c r="Q16">
        <v>14294000</v>
      </c>
      <c r="R16">
        <v>2332000</v>
      </c>
      <c r="S16">
        <v>342000</v>
      </c>
      <c r="T16" s="153">
        <f t="shared" si="0"/>
        <v>36114990</v>
      </c>
      <c r="U16" s="153">
        <f t="shared" si="1"/>
        <v>20816155</v>
      </c>
      <c r="V16" s="153">
        <f t="shared" si="2"/>
        <v>20816155</v>
      </c>
      <c r="X16" t="s">
        <v>289</v>
      </c>
      <c r="Y16">
        <v>11119</v>
      </c>
      <c r="Z16">
        <v>10750</v>
      </c>
      <c r="AA16">
        <v>14427144154.664591</v>
      </c>
      <c r="AB16">
        <v>2362741219.3942595</v>
      </c>
      <c r="AC16" s="153">
        <f t="shared" si="3"/>
        <v>43616914.962157212</v>
      </c>
      <c r="AD16" s="153">
        <f t="shared" si="4"/>
        <v>21747914.962157212</v>
      </c>
      <c r="AE16" s="153">
        <f t="shared" si="5"/>
        <v>21747914.962157212</v>
      </c>
    </row>
    <row r="17" spans="1:31" x14ac:dyDescent="0.25">
      <c r="A17" t="s">
        <v>600</v>
      </c>
      <c r="B17" t="s">
        <v>290</v>
      </c>
      <c r="C17">
        <v>174073</v>
      </c>
      <c r="D17">
        <v>64011</v>
      </c>
      <c r="E17">
        <v>110062</v>
      </c>
      <c r="F17">
        <v>281725</v>
      </c>
      <c r="G17">
        <v>4560</v>
      </c>
      <c r="H17">
        <v>111569</v>
      </c>
      <c r="I17">
        <v>403</v>
      </c>
      <c r="J17">
        <v>72051</v>
      </c>
      <c r="K17">
        <v>133456</v>
      </c>
      <c r="L17">
        <v>15832</v>
      </c>
      <c r="M17">
        <v>6438</v>
      </c>
      <c r="N17">
        <v>48419</v>
      </c>
      <c r="O17">
        <v>23991</v>
      </c>
      <c r="P17">
        <v>180096000</v>
      </c>
      <c r="Q17">
        <v>144509000</v>
      </c>
      <c r="R17">
        <v>35587000</v>
      </c>
      <c r="S17">
        <v>340000</v>
      </c>
      <c r="T17" s="153">
        <f t="shared" si="0"/>
        <v>410876115</v>
      </c>
      <c r="U17" s="153">
        <f t="shared" si="1"/>
        <v>305282467.5</v>
      </c>
      <c r="V17" s="153">
        <f t="shared" si="2"/>
        <v>305282467.5</v>
      </c>
      <c r="X17" t="s">
        <v>290</v>
      </c>
      <c r="Y17">
        <v>60046</v>
      </c>
      <c r="Z17">
        <v>104797</v>
      </c>
      <c r="AA17">
        <v>145073689296.93161</v>
      </c>
      <c r="AB17">
        <v>36058562433.33448</v>
      </c>
      <c r="AC17" s="153">
        <f t="shared" si="3"/>
        <v>494615880.78857303</v>
      </c>
      <c r="AD17" s="153">
        <f t="shared" si="4"/>
        <v>329772880.78857303</v>
      </c>
      <c r="AE17" s="153">
        <f t="shared" si="5"/>
        <v>329772880.78857303</v>
      </c>
    </row>
    <row r="18" spans="1:31" x14ac:dyDescent="0.25">
      <c r="A18" t="s">
        <v>601</v>
      </c>
      <c r="B18" t="s">
        <v>210</v>
      </c>
      <c r="C18">
        <v>50382</v>
      </c>
      <c r="D18">
        <v>23227</v>
      </c>
      <c r="E18">
        <v>27155</v>
      </c>
      <c r="F18">
        <v>4140</v>
      </c>
      <c r="G18">
        <v>8278</v>
      </c>
      <c r="H18">
        <v>1959</v>
      </c>
      <c r="I18">
        <v>1155</v>
      </c>
      <c r="J18">
        <v>11865</v>
      </c>
      <c r="K18">
        <v>16842</v>
      </c>
      <c r="L18">
        <v>1858</v>
      </c>
      <c r="M18">
        <v>1604</v>
      </c>
      <c r="N18">
        <v>4709</v>
      </c>
      <c r="O18">
        <v>779</v>
      </c>
      <c r="P18">
        <v>19980000</v>
      </c>
      <c r="Q18">
        <v>16004000</v>
      </c>
      <c r="R18">
        <v>3976000</v>
      </c>
      <c r="S18">
        <v>223000</v>
      </c>
      <c r="T18" s="153">
        <f t="shared" si="0"/>
        <v>45636180</v>
      </c>
      <c r="U18" s="153">
        <f t="shared" si="1"/>
        <v>2860210</v>
      </c>
      <c r="V18" s="153">
        <f t="shared" si="2"/>
        <v>2860210</v>
      </c>
      <c r="X18" t="s">
        <v>210</v>
      </c>
      <c r="Y18">
        <v>22516</v>
      </c>
      <c r="Z18">
        <v>30081</v>
      </c>
      <c r="AA18">
        <v>15934890304.317053</v>
      </c>
      <c r="AB18">
        <v>4124640065.8165359</v>
      </c>
      <c r="AC18" s="153">
        <f t="shared" si="3"/>
        <v>55075417.472803749</v>
      </c>
      <c r="AD18" s="153">
        <f t="shared" si="4"/>
        <v>2478417.4728037491</v>
      </c>
      <c r="AE18" s="153">
        <f t="shared" si="5"/>
        <v>2478417.4728037491</v>
      </c>
    </row>
    <row r="19" spans="1:31" x14ac:dyDescent="0.25">
      <c r="A19" t="s">
        <v>607</v>
      </c>
      <c r="B19" t="s">
        <v>142</v>
      </c>
      <c r="C19">
        <v>3322</v>
      </c>
      <c r="D19">
        <v>2087</v>
      </c>
      <c r="E19">
        <v>1235</v>
      </c>
      <c r="F19">
        <v>6</v>
      </c>
      <c r="G19">
        <v>0</v>
      </c>
      <c r="H19">
        <v>0</v>
      </c>
      <c r="I19">
        <v>81</v>
      </c>
      <c r="J19">
        <v>1400</v>
      </c>
      <c r="K19">
        <v>1459</v>
      </c>
      <c r="L19">
        <v>127</v>
      </c>
      <c r="M19">
        <v>73</v>
      </c>
      <c r="N19">
        <v>372</v>
      </c>
      <c r="O19">
        <v>15</v>
      </c>
      <c r="P19">
        <v>975000</v>
      </c>
      <c r="Q19">
        <v>794000</v>
      </c>
      <c r="R19">
        <v>181000</v>
      </c>
      <c r="S19">
        <v>138000</v>
      </c>
      <c r="T19" s="153">
        <f t="shared" si="0"/>
        <v>2202180</v>
      </c>
      <c r="U19" s="153">
        <f t="shared" si="1"/>
        <v>-752790</v>
      </c>
      <c r="V19" s="153">
        <f t="shared" si="2"/>
        <v>0</v>
      </c>
      <c r="X19" t="s">
        <v>142</v>
      </c>
      <c r="Y19">
        <v>2038</v>
      </c>
      <c r="Z19">
        <v>1365</v>
      </c>
      <c r="AA19">
        <v>797963978.07360995</v>
      </c>
      <c r="AB19">
        <v>182486631.0160428</v>
      </c>
      <c r="AC19" s="153">
        <f t="shared" si="3"/>
        <v>2648395.7414673707</v>
      </c>
      <c r="AD19" s="153">
        <f t="shared" si="4"/>
        <v>-754604.25853262935</v>
      </c>
      <c r="AE19" s="153">
        <f t="shared" si="5"/>
        <v>0</v>
      </c>
    </row>
    <row r="20" spans="1:31" x14ac:dyDescent="0.25">
      <c r="A20" t="s">
        <v>601</v>
      </c>
      <c r="B20" t="s">
        <v>211</v>
      </c>
      <c r="C20">
        <v>53174</v>
      </c>
      <c r="D20">
        <v>24825</v>
      </c>
      <c r="E20">
        <v>28349</v>
      </c>
      <c r="F20">
        <v>14147</v>
      </c>
      <c r="G20">
        <v>0</v>
      </c>
      <c r="H20">
        <v>625</v>
      </c>
      <c r="I20">
        <v>54</v>
      </c>
      <c r="J20">
        <v>16599</v>
      </c>
      <c r="K20">
        <v>15836</v>
      </c>
      <c r="L20">
        <v>2690</v>
      </c>
      <c r="M20">
        <v>0</v>
      </c>
      <c r="N20">
        <v>3376</v>
      </c>
      <c r="O20">
        <v>876</v>
      </c>
      <c r="P20">
        <v>17301000</v>
      </c>
      <c r="Q20">
        <v>13552000</v>
      </c>
      <c r="R20">
        <v>3749000</v>
      </c>
      <c r="S20">
        <v>187000</v>
      </c>
      <c r="T20" s="153">
        <f t="shared" si="0"/>
        <v>40100250</v>
      </c>
      <c r="U20" s="153">
        <f t="shared" si="1"/>
        <v>-6390375</v>
      </c>
      <c r="V20" s="153">
        <f t="shared" si="2"/>
        <v>0</v>
      </c>
      <c r="X20" t="s">
        <v>211</v>
      </c>
      <c r="Y20">
        <v>25207</v>
      </c>
      <c r="Z20">
        <v>28301</v>
      </c>
      <c r="AA20">
        <v>13610691144.708422</v>
      </c>
      <c r="AB20">
        <v>3836903470.7158346</v>
      </c>
      <c r="AC20" s="153">
        <f t="shared" si="3"/>
        <v>48471896.974836364</v>
      </c>
      <c r="AD20" s="153">
        <f t="shared" si="4"/>
        <v>-5036103.0251636356</v>
      </c>
      <c r="AE20" s="153">
        <f t="shared" si="5"/>
        <v>0</v>
      </c>
    </row>
    <row r="21" spans="1:31" x14ac:dyDescent="0.25">
      <c r="A21" t="s">
        <v>598</v>
      </c>
      <c r="B21" t="s">
        <v>130</v>
      </c>
      <c r="C21">
        <v>17482</v>
      </c>
      <c r="D21">
        <v>9584</v>
      </c>
      <c r="E21">
        <v>7898</v>
      </c>
      <c r="F21">
        <v>4789</v>
      </c>
      <c r="G21">
        <v>76</v>
      </c>
      <c r="H21">
        <v>440</v>
      </c>
      <c r="I21">
        <v>0</v>
      </c>
      <c r="J21">
        <v>5996</v>
      </c>
      <c r="K21">
        <v>5390</v>
      </c>
      <c r="L21">
        <v>834</v>
      </c>
      <c r="M21">
        <v>561</v>
      </c>
      <c r="N21">
        <v>1371</v>
      </c>
      <c r="O21">
        <v>312</v>
      </c>
      <c r="P21">
        <v>6552000</v>
      </c>
      <c r="Q21">
        <v>5324000</v>
      </c>
      <c r="R21">
        <v>1228000</v>
      </c>
      <c r="S21">
        <v>172000</v>
      </c>
      <c r="T21" s="153">
        <f t="shared" si="0"/>
        <v>14820900</v>
      </c>
      <c r="U21" s="153">
        <f t="shared" si="1"/>
        <v>-190950</v>
      </c>
      <c r="V21" s="153">
        <f t="shared" si="2"/>
        <v>0</v>
      </c>
      <c r="X21" t="s">
        <v>130</v>
      </c>
      <c r="Y21">
        <v>8888</v>
      </c>
      <c r="Z21">
        <v>8519</v>
      </c>
      <c r="AA21">
        <v>5113924050.6329107</v>
      </c>
      <c r="AB21">
        <v>1244921817.9161186</v>
      </c>
      <c r="AC21" s="153">
        <f t="shared" si="3"/>
        <v>17316313.611309964</v>
      </c>
      <c r="AD21" s="153">
        <f t="shared" si="4"/>
        <v>-90686.38869003579</v>
      </c>
      <c r="AE21" s="153">
        <f t="shared" si="5"/>
        <v>0</v>
      </c>
    </row>
    <row r="22" spans="1:31" x14ac:dyDescent="0.25">
      <c r="A22" t="s">
        <v>599</v>
      </c>
      <c r="B22" t="s">
        <v>404</v>
      </c>
      <c r="C22">
        <v>3655</v>
      </c>
      <c r="D22">
        <v>2191</v>
      </c>
      <c r="E22">
        <v>1464</v>
      </c>
      <c r="F22">
        <v>0</v>
      </c>
      <c r="G22">
        <v>0</v>
      </c>
      <c r="H22">
        <v>547</v>
      </c>
      <c r="I22">
        <v>113</v>
      </c>
      <c r="J22">
        <v>1705</v>
      </c>
      <c r="K22">
        <v>789</v>
      </c>
      <c r="L22">
        <v>280</v>
      </c>
      <c r="M22">
        <v>0</v>
      </c>
      <c r="N22">
        <v>681</v>
      </c>
      <c r="O22">
        <v>33</v>
      </c>
      <c r="P22">
        <v>2236000</v>
      </c>
      <c r="Q22">
        <v>1744000</v>
      </c>
      <c r="R22">
        <v>492000</v>
      </c>
      <c r="T22" s="153">
        <f t="shared" si="0"/>
        <v>5196840</v>
      </c>
      <c r="U22" s="153">
        <f t="shared" si="1"/>
        <v>2407980</v>
      </c>
      <c r="V22" s="153">
        <f t="shared" si="2"/>
        <v>2407980</v>
      </c>
      <c r="X22" t="s">
        <v>404</v>
      </c>
      <c r="Y22">
        <v>2122</v>
      </c>
      <c r="Z22">
        <v>1790</v>
      </c>
      <c r="AA22">
        <v>1819897084.0480275</v>
      </c>
      <c r="AB22">
        <v>474046610.16949153</v>
      </c>
      <c r="AC22" s="153">
        <f t="shared" si="3"/>
        <v>6303636.586524019</v>
      </c>
      <c r="AD22" s="153">
        <f t="shared" si="4"/>
        <v>2391636.586524019</v>
      </c>
      <c r="AE22" s="153">
        <f t="shared" si="5"/>
        <v>2391636.586524019</v>
      </c>
    </row>
    <row r="23" spans="1:31" x14ac:dyDescent="0.25">
      <c r="A23" t="s">
        <v>599</v>
      </c>
      <c r="B23" t="s">
        <v>405</v>
      </c>
      <c r="C23">
        <v>1469</v>
      </c>
      <c r="D23">
        <v>853</v>
      </c>
      <c r="E23">
        <v>616</v>
      </c>
      <c r="F23">
        <v>1</v>
      </c>
      <c r="G23">
        <v>9</v>
      </c>
      <c r="H23">
        <v>59</v>
      </c>
      <c r="I23">
        <v>298</v>
      </c>
      <c r="J23">
        <v>544</v>
      </c>
      <c r="K23">
        <v>611</v>
      </c>
      <c r="L23">
        <v>85</v>
      </c>
      <c r="M23">
        <v>0</v>
      </c>
      <c r="N23">
        <v>275</v>
      </c>
      <c r="O23">
        <v>39</v>
      </c>
      <c r="P23">
        <v>1055000</v>
      </c>
      <c r="Q23">
        <v>779000</v>
      </c>
      <c r="R23">
        <v>276000</v>
      </c>
      <c r="S23">
        <v>265000</v>
      </c>
      <c r="T23" s="153">
        <f t="shared" si="0"/>
        <v>2535555</v>
      </c>
      <c r="U23" s="153">
        <f t="shared" si="1"/>
        <v>1489147.5</v>
      </c>
      <c r="V23" s="153">
        <f t="shared" si="2"/>
        <v>1489147.5</v>
      </c>
      <c r="X23" t="s">
        <v>405</v>
      </c>
      <c r="Y23">
        <v>810</v>
      </c>
      <c r="Z23">
        <v>710</v>
      </c>
      <c r="AA23">
        <v>750000000</v>
      </c>
      <c r="AB23">
        <v>277343750</v>
      </c>
      <c r="AC23" s="153">
        <f t="shared" si="3"/>
        <v>2971208.3333333335</v>
      </c>
      <c r="AD23" s="153">
        <f t="shared" si="4"/>
        <v>1451208.3333333335</v>
      </c>
      <c r="AE23" s="153">
        <f t="shared" si="5"/>
        <v>1451208.3333333335</v>
      </c>
    </row>
    <row r="24" spans="1:31" x14ac:dyDescent="0.25">
      <c r="A24" t="s">
        <v>606</v>
      </c>
      <c r="B24" t="s">
        <v>263</v>
      </c>
      <c r="C24">
        <v>5786</v>
      </c>
      <c r="D24">
        <v>4085</v>
      </c>
      <c r="E24">
        <v>1701</v>
      </c>
      <c r="F24">
        <v>20</v>
      </c>
      <c r="G24">
        <v>39</v>
      </c>
      <c r="H24">
        <v>102</v>
      </c>
      <c r="I24">
        <v>152</v>
      </c>
      <c r="J24">
        <v>2664</v>
      </c>
      <c r="K24">
        <v>2945</v>
      </c>
      <c r="L24">
        <v>488</v>
      </c>
      <c r="M24">
        <v>458</v>
      </c>
      <c r="N24">
        <v>423</v>
      </c>
      <c r="O24">
        <v>65</v>
      </c>
      <c r="P24">
        <v>3885000</v>
      </c>
      <c r="Q24">
        <v>3420000</v>
      </c>
      <c r="R24">
        <v>465000</v>
      </c>
      <c r="S24">
        <v>306000</v>
      </c>
      <c r="T24" s="153">
        <f t="shared" si="0"/>
        <v>8286750</v>
      </c>
      <c r="U24" s="153">
        <f t="shared" si="1"/>
        <v>3881875</v>
      </c>
      <c r="V24" s="153">
        <f t="shared" si="2"/>
        <v>3881875</v>
      </c>
      <c r="X24" t="s">
        <v>263</v>
      </c>
      <c r="Y24">
        <v>4008</v>
      </c>
      <c r="Z24">
        <v>1961</v>
      </c>
      <c r="AA24">
        <v>3365239294.7103276</v>
      </c>
      <c r="AB24">
        <v>481108930.32384694</v>
      </c>
      <c r="AC24" s="153">
        <f t="shared" si="3"/>
        <v>9855062.4284686688</v>
      </c>
      <c r="AD24" s="153">
        <f t="shared" si="4"/>
        <v>3886062.4284686688</v>
      </c>
      <c r="AE24" s="153">
        <f t="shared" si="5"/>
        <v>3886062.4284686688</v>
      </c>
    </row>
    <row r="25" spans="1:31" x14ac:dyDescent="0.25">
      <c r="A25" t="s">
        <v>603</v>
      </c>
      <c r="B25" t="s">
        <v>335</v>
      </c>
      <c r="C25">
        <v>8798</v>
      </c>
      <c r="D25">
        <v>5973</v>
      </c>
      <c r="E25">
        <v>2825</v>
      </c>
      <c r="F25">
        <v>0</v>
      </c>
      <c r="G25">
        <v>0</v>
      </c>
      <c r="H25">
        <v>25</v>
      </c>
      <c r="I25">
        <v>300</v>
      </c>
      <c r="J25">
        <v>3053</v>
      </c>
      <c r="K25">
        <v>5028</v>
      </c>
      <c r="L25">
        <v>610</v>
      </c>
      <c r="M25">
        <v>435</v>
      </c>
      <c r="N25">
        <v>610</v>
      </c>
      <c r="O25">
        <v>127</v>
      </c>
      <c r="P25">
        <v>6093000</v>
      </c>
      <c r="Q25">
        <v>5009000</v>
      </c>
      <c r="R25">
        <v>1084000</v>
      </c>
      <c r="S25">
        <v>263000</v>
      </c>
      <c r="T25" s="153">
        <f t="shared" si="0"/>
        <v>13672185</v>
      </c>
      <c r="U25" s="153">
        <f t="shared" si="1"/>
        <v>7152882.5</v>
      </c>
      <c r="V25" s="153">
        <f t="shared" si="2"/>
        <v>7152882.5</v>
      </c>
      <c r="X25" t="s">
        <v>335</v>
      </c>
      <c r="Y25">
        <v>5691</v>
      </c>
      <c r="Z25">
        <v>3085</v>
      </c>
      <c r="AA25">
        <v>4818797629.1278582</v>
      </c>
      <c r="AB25">
        <v>1090491339.6960056</v>
      </c>
      <c r="AC25" s="153">
        <f t="shared" si="3"/>
        <v>15940833.022602584</v>
      </c>
      <c r="AD25" s="153">
        <f t="shared" si="4"/>
        <v>7164833.0226025842</v>
      </c>
      <c r="AE25" s="153">
        <f t="shared" si="5"/>
        <v>7164833.0226025842</v>
      </c>
    </row>
    <row r="26" spans="1:31" x14ac:dyDescent="0.25">
      <c r="A26" t="s">
        <v>601</v>
      </c>
      <c r="B26" t="s">
        <v>212</v>
      </c>
      <c r="C26">
        <v>11719</v>
      </c>
      <c r="D26">
        <v>6785</v>
      </c>
      <c r="E26">
        <v>4934</v>
      </c>
      <c r="F26">
        <v>1051</v>
      </c>
      <c r="G26">
        <v>2955</v>
      </c>
      <c r="H26">
        <v>458</v>
      </c>
      <c r="I26">
        <v>1221</v>
      </c>
      <c r="J26">
        <v>4496</v>
      </c>
      <c r="K26">
        <v>5702</v>
      </c>
      <c r="L26">
        <v>1078</v>
      </c>
      <c r="M26">
        <v>794</v>
      </c>
      <c r="N26">
        <v>2861</v>
      </c>
      <c r="O26">
        <v>152</v>
      </c>
      <c r="P26">
        <v>7936000</v>
      </c>
      <c r="Q26">
        <v>5906000</v>
      </c>
      <c r="R26">
        <v>2030000</v>
      </c>
      <c r="S26">
        <v>277000</v>
      </c>
      <c r="T26" s="153">
        <f t="shared" si="0"/>
        <v>18985230</v>
      </c>
      <c r="U26" s="153">
        <f t="shared" si="1"/>
        <v>10430435</v>
      </c>
      <c r="V26" s="153">
        <f t="shared" si="2"/>
        <v>10430435</v>
      </c>
      <c r="X26" t="s">
        <v>212</v>
      </c>
      <c r="Y26">
        <v>6535</v>
      </c>
      <c r="Z26">
        <v>4557</v>
      </c>
      <c r="AA26">
        <v>6073420074.3494425</v>
      </c>
      <c r="AB26">
        <v>1599508599.5085993</v>
      </c>
      <c r="AC26" s="153">
        <f t="shared" si="3"/>
        <v>21116430.483880293</v>
      </c>
      <c r="AD26" s="153">
        <f t="shared" si="4"/>
        <v>10024430.483880293</v>
      </c>
      <c r="AE26" s="153">
        <f t="shared" si="5"/>
        <v>10024430.483880293</v>
      </c>
    </row>
    <row r="27" spans="1:31" x14ac:dyDescent="0.25">
      <c r="A27" t="s">
        <v>608</v>
      </c>
      <c r="B27" t="s">
        <v>462</v>
      </c>
      <c r="C27">
        <v>4509</v>
      </c>
      <c r="D27">
        <v>2339</v>
      </c>
      <c r="E27">
        <v>2170</v>
      </c>
      <c r="F27">
        <v>3</v>
      </c>
      <c r="G27">
        <v>0</v>
      </c>
      <c r="H27">
        <v>2</v>
      </c>
      <c r="I27">
        <v>131</v>
      </c>
      <c r="J27">
        <v>1894</v>
      </c>
      <c r="K27">
        <v>1569</v>
      </c>
      <c r="L27">
        <v>209</v>
      </c>
      <c r="M27">
        <v>50</v>
      </c>
      <c r="N27">
        <v>478</v>
      </c>
      <c r="O27">
        <v>23</v>
      </c>
      <c r="P27">
        <v>1861000</v>
      </c>
      <c r="Q27">
        <v>1419000</v>
      </c>
      <c r="R27">
        <v>442000</v>
      </c>
      <c r="S27">
        <v>192000</v>
      </c>
      <c r="T27" s="153">
        <f t="shared" si="0"/>
        <v>4387215</v>
      </c>
      <c r="U27" s="153">
        <f t="shared" si="1"/>
        <v>609417.5</v>
      </c>
      <c r="V27" s="153">
        <f t="shared" si="2"/>
        <v>609417.5</v>
      </c>
      <c r="X27" t="s">
        <v>462</v>
      </c>
      <c r="Y27">
        <v>2178</v>
      </c>
      <c r="Z27">
        <v>2446</v>
      </c>
      <c r="AA27">
        <v>1408796895.2134542</v>
      </c>
      <c r="AB27">
        <v>427547631.53294873</v>
      </c>
      <c r="AC27" s="153">
        <f t="shared" si="3"/>
        <v>5155637.0751215108</v>
      </c>
      <c r="AD27" s="153">
        <f t="shared" si="4"/>
        <v>531637.07512151077</v>
      </c>
      <c r="AE27" s="153">
        <f t="shared" si="5"/>
        <v>531637.07512151077</v>
      </c>
    </row>
    <row r="28" spans="1:31" x14ac:dyDescent="0.25">
      <c r="A28" t="s">
        <v>608</v>
      </c>
      <c r="B28" t="s">
        <v>746</v>
      </c>
      <c r="C28">
        <v>6781</v>
      </c>
      <c r="D28">
        <v>5119</v>
      </c>
      <c r="E28">
        <v>1662</v>
      </c>
      <c r="F28">
        <v>0</v>
      </c>
      <c r="G28">
        <v>0</v>
      </c>
      <c r="H28">
        <v>99</v>
      </c>
      <c r="I28">
        <v>127</v>
      </c>
      <c r="J28">
        <v>4665</v>
      </c>
      <c r="K28">
        <v>3127</v>
      </c>
      <c r="L28">
        <v>773</v>
      </c>
      <c r="M28">
        <v>110</v>
      </c>
      <c r="N28">
        <v>575</v>
      </c>
      <c r="O28">
        <v>105</v>
      </c>
      <c r="P28">
        <v>3643000</v>
      </c>
      <c r="Q28">
        <v>3219000</v>
      </c>
      <c r="R28">
        <v>124000</v>
      </c>
      <c r="S28" s="154">
        <v>195333.33333333334</v>
      </c>
      <c r="T28" s="153">
        <f t="shared" si="0"/>
        <v>6604635</v>
      </c>
      <c r="U28" s="153">
        <f t="shared" si="1"/>
        <v>924407.5</v>
      </c>
      <c r="V28" s="153">
        <f t="shared" si="2"/>
        <v>924407.5</v>
      </c>
      <c r="X28" t="s">
        <v>746</v>
      </c>
      <c r="Y28">
        <v>5101</v>
      </c>
      <c r="Z28">
        <v>2077</v>
      </c>
      <c r="AA28">
        <v>3191269633.9438057</v>
      </c>
      <c r="AB28">
        <v>409765758.46068203</v>
      </c>
      <c r="AC28" s="153">
        <v>9133931.1542369463</v>
      </c>
      <c r="AD28" s="153">
        <v>1955931.1542369463</v>
      </c>
      <c r="AE28" s="153">
        <v>1955931.1542369463</v>
      </c>
    </row>
    <row r="29" spans="1:31" x14ac:dyDescent="0.25">
      <c r="A29" t="s">
        <v>600</v>
      </c>
      <c r="B29" t="s">
        <v>291</v>
      </c>
      <c r="C29">
        <v>2168</v>
      </c>
      <c r="D29">
        <v>1634</v>
      </c>
      <c r="E29">
        <v>534</v>
      </c>
      <c r="F29">
        <v>0</v>
      </c>
      <c r="G29">
        <v>0</v>
      </c>
      <c r="H29">
        <v>70</v>
      </c>
      <c r="I29">
        <v>8</v>
      </c>
      <c r="J29">
        <v>724</v>
      </c>
      <c r="K29">
        <v>1198</v>
      </c>
      <c r="L29">
        <v>139</v>
      </c>
      <c r="M29">
        <v>55</v>
      </c>
      <c r="N29">
        <v>421</v>
      </c>
      <c r="O29">
        <v>16</v>
      </c>
      <c r="P29">
        <v>1484000</v>
      </c>
      <c r="Q29">
        <v>1212000</v>
      </c>
      <c r="R29">
        <v>272000</v>
      </c>
      <c r="S29">
        <v>323000</v>
      </c>
      <c r="T29" s="153">
        <f t="shared" si="0"/>
        <v>3345180</v>
      </c>
      <c r="U29" s="153">
        <f t="shared" si="1"/>
        <v>1734710</v>
      </c>
      <c r="V29" s="153">
        <f t="shared" si="2"/>
        <v>1734710</v>
      </c>
      <c r="X29" t="s">
        <v>291</v>
      </c>
      <c r="Y29">
        <v>1580</v>
      </c>
      <c r="Z29">
        <v>522</v>
      </c>
      <c r="AA29">
        <v>1186186186.1861861</v>
      </c>
      <c r="AB29">
        <v>195945945.94594595</v>
      </c>
      <c r="AC29" s="153">
        <f t="shared" si="3"/>
        <v>3593809.8098098096</v>
      </c>
      <c r="AD29" s="153">
        <f t="shared" si="4"/>
        <v>1491809.8098098096</v>
      </c>
      <c r="AE29" s="153">
        <f t="shared" si="5"/>
        <v>1491809.8098098096</v>
      </c>
    </row>
    <row r="30" spans="1:31" x14ac:dyDescent="0.25">
      <c r="A30" t="s">
        <v>608</v>
      </c>
      <c r="B30" t="s">
        <v>463</v>
      </c>
      <c r="C30">
        <v>2224</v>
      </c>
      <c r="D30">
        <v>1576</v>
      </c>
      <c r="E30">
        <v>648</v>
      </c>
      <c r="F30">
        <v>0</v>
      </c>
      <c r="G30">
        <v>0</v>
      </c>
      <c r="H30">
        <v>660</v>
      </c>
      <c r="I30">
        <v>67</v>
      </c>
      <c r="J30">
        <v>1095</v>
      </c>
      <c r="K30">
        <v>846</v>
      </c>
      <c r="L30">
        <v>207</v>
      </c>
      <c r="M30">
        <v>49</v>
      </c>
      <c r="N30">
        <v>239</v>
      </c>
      <c r="O30">
        <v>63</v>
      </c>
      <c r="P30">
        <v>1356000</v>
      </c>
      <c r="Q30">
        <v>1162000</v>
      </c>
      <c r="R30">
        <v>194000</v>
      </c>
      <c r="S30">
        <v>194000</v>
      </c>
      <c r="T30" s="153">
        <f t="shared" si="0"/>
        <v>2952750</v>
      </c>
      <c r="U30" s="153">
        <f t="shared" si="1"/>
        <v>1220875</v>
      </c>
      <c r="V30" s="153">
        <f t="shared" si="2"/>
        <v>1220875</v>
      </c>
      <c r="X30" t="s">
        <v>463</v>
      </c>
      <c r="Y30">
        <v>1531</v>
      </c>
      <c r="Z30">
        <v>776</v>
      </c>
      <c r="AA30">
        <v>1156344410.876133</v>
      </c>
      <c r="AB30">
        <v>194730238.39397743</v>
      </c>
      <c r="AC30" s="153">
        <f t="shared" si="3"/>
        <v>3520312.9975070157</v>
      </c>
      <c r="AD30" s="153">
        <f t="shared" si="4"/>
        <v>1213312.9975070157</v>
      </c>
      <c r="AE30" s="153">
        <f t="shared" si="5"/>
        <v>1213312.9975070157</v>
      </c>
    </row>
    <row r="31" spans="1:31" x14ac:dyDescent="0.25">
      <c r="A31" t="s">
        <v>601</v>
      </c>
      <c r="B31" t="s">
        <v>609</v>
      </c>
      <c r="C31">
        <v>5260</v>
      </c>
      <c r="D31">
        <v>3528</v>
      </c>
      <c r="E31">
        <v>1732</v>
      </c>
      <c r="F31">
        <v>70</v>
      </c>
      <c r="G31">
        <v>0</v>
      </c>
      <c r="H31">
        <v>275</v>
      </c>
      <c r="I31">
        <v>47</v>
      </c>
      <c r="J31">
        <v>3549</v>
      </c>
      <c r="K31">
        <v>3390</v>
      </c>
      <c r="L31">
        <v>385</v>
      </c>
      <c r="M31">
        <v>50</v>
      </c>
      <c r="N31">
        <v>578</v>
      </c>
      <c r="O31">
        <v>134</v>
      </c>
      <c r="P31">
        <v>4031000</v>
      </c>
      <c r="Q31">
        <v>3518000</v>
      </c>
      <c r="R31">
        <v>513000</v>
      </c>
      <c r="S31">
        <v>227000</v>
      </c>
      <c r="T31" s="153">
        <f t="shared" si="0"/>
        <v>8656320</v>
      </c>
      <c r="U31" s="153">
        <f t="shared" si="1"/>
        <v>4839040</v>
      </c>
      <c r="V31" s="153">
        <f t="shared" si="2"/>
        <v>4839040</v>
      </c>
      <c r="X31" t="s">
        <v>609</v>
      </c>
      <c r="Y31">
        <v>3428</v>
      </c>
      <c r="Z31">
        <v>1883</v>
      </c>
      <c r="AA31">
        <v>3526748971.1934156</v>
      </c>
      <c r="AB31">
        <v>518447136.56387669</v>
      </c>
      <c r="AC31" s="153">
        <f t="shared" si="3"/>
        <v>10392936.881734075</v>
      </c>
      <c r="AD31" s="153">
        <f t="shared" si="4"/>
        <v>5081936.881734075</v>
      </c>
      <c r="AE31" s="153">
        <f t="shared" si="5"/>
        <v>5081936.881734075</v>
      </c>
    </row>
    <row r="32" spans="1:31" x14ac:dyDescent="0.25">
      <c r="A32" t="s">
        <v>599</v>
      </c>
      <c r="B32" t="s">
        <v>406</v>
      </c>
      <c r="C32">
        <v>3601</v>
      </c>
      <c r="D32">
        <v>2324</v>
      </c>
      <c r="E32">
        <v>1277</v>
      </c>
      <c r="F32">
        <v>0</v>
      </c>
      <c r="G32">
        <v>0</v>
      </c>
      <c r="H32">
        <v>926</v>
      </c>
      <c r="I32">
        <v>37</v>
      </c>
      <c r="J32">
        <v>1759</v>
      </c>
      <c r="K32">
        <v>1377</v>
      </c>
      <c r="L32">
        <v>402</v>
      </c>
      <c r="M32">
        <v>14</v>
      </c>
      <c r="N32">
        <v>444</v>
      </c>
      <c r="O32">
        <v>51</v>
      </c>
      <c r="P32">
        <v>2894000</v>
      </c>
      <c r="Q32">
        <v>2225000</v>
      </c>
      <c r="R32">
        <v>669000</v>
      </c>
      <c r="S32">
        <v>288000</v>
      </c>
      <c r="T32" s="153">
        <f t="shared" si="0"/>
        <v>6787515</v>
      </c>
      <c r="U32" s="153">
        <f t="shared" si="1"/>
        <v>4317767.5</v>
      </c>
      <c r="V32" s="153">
        <f t="shared" si="2"/>
        <v>4317767.5</v>
      </c>
      <c r="X32" t="s">
        <v>406</v>
      </c>
      <c r="Y32">
        <v>2183</v>
      </c>
      <c r="Z32">
        <v>1585</v>
      </c>
      <c r="AA32">
        <v>2152859960.552268</v>
      </c>
      <c r="AB32">
        <v>520183787.33180183</v>
      </c>
      <c r="AC32" s="153">
        <f t="shared" si="3"/>
        <v>7272043.5068649454</v>
      </c>
      <c r="AD32" s="153">
        <f t="shared" si="4"/>
        <v>3504043.5068649454</v>
      </c>
      <c r="AE32" s="153">
        <f t="shared" si="5"/>
        <v>3504043.5068649454</v>
      </c>
    </row>
    <row r="33" spans="1:31" x14ac:dyDescent="0.25">
      <c r="A33" t="s">
        <v>608</v>
      </c>
      <c r="B33" t="s">
        <v>502</v>
      </c>
      <c r="C33">
        <v>2257</v>
      </c>
      <c r="D33">
        <v>1480</v>
      </c>
      <c r="E33">
        <v>777</v>
      </c>
      <c r="F33">
        <v>0</v>
      </c>
      <c r="G33">
        <v>0</v>
      </c>
      <c r="H33">
        <v>433</v>
      </c>
      <c r="I33">
        <v>41</v>
      </c>
      <c r="J33">
        <v>1373</v>
      </c>
      <c r="K33">
        <v>840</v>
      </c>
      <c r="L33">
        <v>241</v>
      </c>
      <c r="M33">
        <v>15</v>
      </c>
      <c r="N33">
        <v>199</v>
      </c>
      <c r="O33">
        <v>34</v>
      </c>
      <c r="P33">
        <v>1390000</v>
      </c>
      <c r="Q33">
        <v>1153000</v>
      </c>
      <c r="R33">
        <v>237000</v>
      </c>
      <c r="S33">
        <v>208000</v>
      </c>
      <c r="T33" s="153">
        <f t="shared" si="0"/>
        <v>3099435</v>
      </c>
      <c r="U33" s="153">
        <f t="shared" si="1"/>
        <v>1359007.5</v>
      </c>
      <c r="V33" s="153">
        <f t="shared" si="2"/>
        <v>1359007.5</v>
      </c>
      <c r="X33" t="s">
        <v>502</v>
      </c>
      <c r="Y33">
        <v>1471</v>
      </c>
      <c r="Z33">
        <v>947</v>
      </c>
      <c r="AA33">
        <v>1150387111.9105341</v>
      </c>
      <c r="AB33">
        <v>233044591.00305149</v>
      </c>
      <c r="AC33" s="153">
        <f t="shared" si="3"/>
        <v>3681255.3466794877</v>
      </c>
      <c r="AD33" s="153">
        <f t="shared" si="4"/>
        <v>1263255.3466794877</v>
      </c>
      <c r="AE33" s="153">
        <f t="shared" si="5"/>
        <v>1263255.3466794877</v>
      </c>
    </row>
    <row r="34" spans="1:31" x14ac:dyDescent="0.25">
      <c r="A34" t="s">
        <v>600</v>
      </c>
      <c r="B34" t="s">
        <v>503</v>
      </c>
      <c r="C34">
        <v>8196</v>
      </c>
      <c r="D34">
        <v>5921</v>
      </c>
      <c r="E34">
        <v>2275</v>
      </c>
      <c r="F34">
        <v>4295</v>
      </c>
      <c r="G34">
        <v>2185</v>
      </c>
      <c r="H34">
        <v>2712</v>
      </c>
      <c r="I34">
        <v>1040</v>
      </c>
      <c r="J34">
        <v>5392</v>
      </c>
      <c r="K34">
        <v>4500</v>
      </c>
      <c r="L34">
        <v>464</v>
      </c>
      <c r="M34">
        <v>464</v>
      </c>
      <c r="N34">
        <v>652</v>
      </c>
      <c r="O34">
        <v>37</v>
      </c>
      <c r="P34">
        <v>6479000</v>
      </c>
      <c r="Q34">
        <v>5719000</v>
      </c>
      <c r="R34">
        <v>760000</v>
      </c>
      <c r="S34">
        <v>374000</v>
      </c>
      <c r="T34" s="153">
        <f t="shared" si="0"/>
        <v>13790295</v>
      </c>
      <c r="U34" s="153">
        <f t="shared" si="1"/>
        <v>7892677.5</v>
      </c>
      <c r="V34" s="153">
        <f t="shared" si="2"/>
        <v>7892677.5</v>
      </c>
      <c r="X34" t="s">
        <v>503</v>
      </c>
      <c r="Y34">
        <v>5715</v>
      </c>
      <c r="Z34">
        <v>2492</v>
      </c>
      <c r="AA34">
        <v>5521739130.434783</v>
      </c>
      <c r="AB34">
        <v>786864540.57467639</v>
      </c>
      <c r="AC34" s="153">
        <f t="shared" si="3"/>
        <v>16158746.273847604</v>
      </c>
      <c r="AD34" s="153">
        <f t="shared" si="4"/>
        <v>7951746.2738476042</v>
      </c>
      <c r="AE34" s="153">
        <f t="shared" si="5"/>
        <v>7951746.2738476042</v>
      </c>
    </row>
    <row r="35" spans="1:31" x14ac:dyDescent="0.25">
      <c r="A35" t="s">
        <v>599</v>
      </c>
      <c r="B35" t="s">
        <v>407</v>
      </c>
      <c r="C35">
        <v>14713</v>
      </c>
      <c r="D35">
        <v>6802</v>
      </c>
      <c r="E35">
        <v>7911</v>
      </c>
      <c r="F35">
        <v>4260</v>
      </c>
      <c r="G35">
        <v>177</v>
      </c>
      <c r="H35">
        <v>431</v>
      </c>
      <c r="I35">
        <v>489</v>
      </c>
      <c r="J35">
        <v>10629</v>
      </c>
      <c r="K35">
        <v>7869</v>
      </c>
      <c r="L35">
        <v>1591</v>
      </c>
      <c r="M35">
        <v>31</v>
      </c>
      <c r="N35">
        <v>1400</v>
      </c>
      <c r="O35">
        <v>27</v>
      </c>
      <c r="P35">
        <v>7906000</v>
      </c>
      <c r="Q35">
        <v>6171000</v>
      </c>
      <c r="R35">
        <v>1735000</v>
      </c>
      <c r="S35">
        <v>206000</v>
      </c>
      <c r="T35" s="153">
        <f t="shared" si="0"/>
        <v>18366105</v>
      </c>
      <c r="U35" s="153">
        <f t="shared" si="1"/>
        <v>6714122.5</v>
      </c>
      <c r="V35" s="153">
        <f t="shared" si="2"/>
        <v>6714122.5</v>
      </c>
      <c r="X35" t="s">
        <v>407</v>
      </c>
      <c r="Y35">
        <v>6628</v>
      </c>
      <c r="Z35">
        <v>8537</v>
      </c>
      <c r="AA35">
        <v>6177073625.3494864</v>
      </c>
      <c r="AB35">
        <v>1759843331.2719028</v>
      </c>
      <c r="AC35" s="153">
        <f t="shared" si="3"/>
        <v>22082755.428962324</v>
      </c>
      <c r="AD35" s="153">
        <f t="shared" si="4"/>
        <v>6917755.4289623238</v>
      </c>
      <c r="AE35" s="153">
        <f t="shared" si="5"/>
        <v>6917755.4289623238</v>
      </c>
    </row>
    <row r="36" spans="1:31" x14ac:dyDescent="0.25">
      <c r="A36" t="s">
        <v>601</v>
      </c>
      <c r="B36" t="s">
        <v>213</v>
      </c>
      <c r="C36">
        <v>7487</v>
      </c>
      <c r="D36">
        <v>4312</v>
      </c>
      <c r="E36">
        <v>3175</v>
      </c>
      <c r="F36">
        <v>3</v>
      </c>
      <c r="G36">
        <v>0</v>
      </c>
      <c r="H36">
        <v>355</v>
      </c>
      <c r="I36">
        <v>174</v>
      </c>
      <c r="J36">
        <v>6160</v>
      </c>
      <c r="K36">
        <v>3476</v>
      </c>
      <c r="L36">
        <v>648</v>
      </c>
      <c r="M36">
        <v>266</v>
      </c>
      <c r="N36">
        <v>852</v>
      </c>
      <c r="O36">
        <v>84</v>
      </c>
      <c r="P36">
        <v>5144000</v>
      </c>
      <c r="Q36">
        <v>4051000</v>
      </c>
      <c r="R36">
        <v>1093000</v>
      </c>
      <c r="S36">
        <v>215000</v>
      </c>
      <c r="T36" s="153">
        <f t="shared" si="0"/>
        <v>11881485</v>
      </c>
      <c r="U36" s="153">
        <f t="shared" si="1"/>
        <v>6374732.5</v>
      </c>
      <c r="V36" s="153">
        <f t="shared" si="2"/>
        <v>6374732.5</v>
      </c>
      <c r="X36" t="s">
        <v>213</v>
      </c>
      <c r="Y36">
        <v>4969</v>
      </c>
      <c r="Z36">
        <v>3430</v>
      </c>
      <c r="AA36">
        <v>3962519936.2041464</v>
      </c>
      <c r="AB36">
        <v>1067870485.6787049</v>
      </c>
      <c r="AC36" s="153">
        <f t="shared" si="3"/>
        <v>13887772.840153517</v>
      </c>
      <c r="AD36" s="153">
        <f t="shared" si="4"/>
        <v>5488772.8401535172</v>
      </c>
      <c r="AE36" s="153">
        <f t="shared" si="5"/>
        <v>5488772.8401535172</v>
      </c>
    </row>
    <row r="37" spans="1:31" x14ac:dyDescent="0.25">
      <c r="A37" t="s">
        <v>599</v>
      </c>
      <c r="B37" t="s">
        <v>408</v>
      </c>
      <c r="C37">
        <v>6907</v>
      </c>
      <c r="D37">
        <v>4388</v>
      </c>
      <c r="E37">
        <v>2519</v>
      </c>
      <c r="F37">
        <v>0</v>
      </c>
      <c r="G37">
        <v>0</v>
      </c>
      <c r="H37">
        <v>94</v>
      </c>
      <c r="I37">
        <v>26</v>
      </c>
      <c r="J37">
        <v>2345</v>
      </c>
      <c r="K37">
        <v>2241</v>
      </c>
      <c r="L37">
        <v>641</v>
      </c>
      <c r="M37">
        <v>68</v>
      </c>
      <c r="N37">
        <v>1247</v>
      </c>
      <c r="O37">
        <v>154</v>
      </c>
      <c r="P37">
        <v>3771000</v>
      </c>
      <c r="Q37">
        <v>3205000</v>
      </c>
      <c r="R37">
        <v>566000</v>
      </c>
      <c r="T37" s="153">
        <f t="shared" si="0"/>
        <v>8261985</v>
      </c>
      <c r="U37" s="153">
        <f t="shared" si="1"/>
        <v>2731982.5</v>
      </c>
      <c r="V37" s="153">
        <f t="shared" si="2"/>
        <v>2731982.5</v>
      </c>
      <c r="X37" t="s">
        <v>408</v>
      </c>
      <c r="Y37">
        <v>4274</v>
      </c>
      <c r="Z37">
        <v>2342</v>
      </c>
      <c r="AA37">
        <v>3285165257.4942355</v>
      </c>
      <c r="AB37">
        <v>472749293.50020194</v>
      </c>
      <c r="AC37" s="153">
        <f t="shared" si="3"/>
        <v>9634631.7951957919</v>
      </c>
      <c r="AD37" s="153">
        <f t="shared" si="4"/>
        <v>3018631.7951957919</v>
      </c>
      <c r="AE37" s="153">
        <f t="shared" si="5"/>
        <v>3018631.7951957919</v>
      </c>
    </row>
    <row r="38" spans="1:31" x14ac:dyDescent="0.25">
      <c r="A38" t="s">
        <v>599</v>
      </c>
      <c r="B38" t="s">
        <v>409</v>
      </c>
      <c r="C38">
        <v>5632</v>
      </c>
      <c r="D38">
        <v>3380</v>
      </c>
      <c r="E38">
        <v>2252</v>
      </c>
      <c r="F38">
        <v>0</v>
      </c>
      <c r="G38">
        <v>95</v>
      </c>
      <c r="H38">
        <v>15</v>
      </c>
      <c r="I38">
        <v>66</v>
      </c>
      <c r="J38">
        <v>2316</v>
      </c>
      <c r="K38">
        <v>2998</v>
      </c>
      <c r="L38">
        <v>417</v>
      </c>
      <c r="M38">
        <v>4</v>
      </c>
      <c r="N38">
        <v>875</v>
      </c>
      <c r="O38">
        <v>419</v>
      </c>
      <c r="P38">
        <v>4096000</v>
      </c>
      <c r="Q38">
        <v>3376000</v>
      </c>
      <c r="R38">
        <v>720000</v>
      </c>
      <c r="S38">
        <v>272000</v>
      </c>
      <c r="T38" s="153">
        <f t="shared" si="0"/>
        <v>9174480</v>
      </c>
      <c r="U38" s="153">
        <f t="shared" si="1"/>
        <v>5071560</v>
      </c>
      <c r="V38" s="153">
        <f t="shared" si="2"/>
        <v>5071560</v>
      </c>
      <c r="X38" t="s">
        <v>409</v>
      </c>
      <c r="Y38">
        <v>3218</v>
      </c>
      <c r="Z38">
        <v>2292</v>
      </c>
      <c r="AA38">
        <v>3366108786.6108785</v>
      </c>
      <c r="AB38">
        <v>729936305.7324841</v>
      </c>
      <c r="AC38" s="153">
        <f t="shared" si="3"/>
        <v>10990368.303884728</v>
      </c>
      <c r="AD38" s="153">
        <f t="shared" si="4"/>
        <v>5480368.3038847279</v>
      </c>
      <c r="AE38" s="153">
        <f t="shared" si="5"/>
        <v>5480368.3038847279</v>
      </c>
    </row>
    <row r="39" spans="1:31" x14ac:dyDescent="0.25">
      <c r="A39" t="s">
        <v>601</v>
      </c>
      <c r="B39" t="s">
        <v>214</v>
      </c>
      <c r="C39">
        <v>7516</v>
      </c>
      <c r="D39">
        <v>4524</v>
      </c>
      <c r="E39">
        <v>2992</v>
      </c>
      <c r="F39">
        <v>0</v>
      </c>
      <c r="G39">
        <v>432</v>
      </c>
      <c r="H39">
        <v>96</v>
      </c>
      <c r="I39">
        <v>305</v>
      </c>
      <c r="J39">
        <v>2475</v>
      </c>
      <c r="K39">
        <v>2084</v>
      </c>
      <c r="L39">
        <v>517</v>
      </c>
      <c r="M39">
        <v>38</v>
      </c>
      <c r="N39">
        <v>457</v>
      </c>
      <c r="O39">
        <v>42</v>
      </c>
      <c r="P39">
        <v>2917000</v>
      </c>
      <c r="Q39">
        <v>2573000</v>
      </c>
      <c r="R39">
        <v>344000</v>
      </c>
      <c r="S39">
        <v>235000</v>
      </c>
      <c r="T39" s="153">
        <f t="shared" si="0"/>
        <v>6212205</v>
      </c>
      <c r="U39" s="153">
        <f t="shared" si="1"/>
        <v>-268427.5</v>
      </c>
      <c r="V39" s="153">
        <f t="shared" si="2"/>
        <v>0</v>
      </c>
      <c r="X39" t="s">
        <v>214</v>
      </c>
      <c r="Y39">
        <v>4445</v>
      </c>
      <c r="Z39">
        <v>3002</v>
      </c>
      <c r="AA39">
        <v>2572337962.9629626</v>
      </c>
      <c r="AB39">
        <v>347695158.67500579</v>
      </c>
      <c r="AC39" s="153">
        <f t="shared" si="3"/>
        <v>7441706.5370327467</v>
      </c>
      <c r="AD39" s="153">
        <f t="shared" si="4"/>
        <v>-5293.4629672532901</v>
      </c>
      <c r="AE39" s="153">
        <f t="shared" si="5"/>
        <v>0</v>
      </c>
    </row>
    <row r="40" spans="1:31" x14ac:dyDescent="0.25">
      <c r="A40" t="s">
        <v>600</v>
      </c>
      <c r="B40" t="s">
        <v>292</v>
      </c>
      <c r="C40">
        <v>8808</v>
      </c>
      <c r="D40">
        <v>4461</v>
      </c>
      <c r="E40">
        <v>4347</v>
      </c>
      <c r="F40">
        <v>1243</v>
      </c>
      <c r="G40">
        <v>1449</v>
      </c>
      <c r="H40">
        <v>157</v>
      </c>
      <c r="I40">
        <v>186</v>
      </c>
      <c r="J40">
        <v>4142</v>
      </c>
      <c r="K40">
        <v>4709</v>
      </c>
      <c r="L40">
        <v>570</v>
      </c>
      <c r="M40">
        <v>529</v>
      </c>
      <c r="N40">
        <v>504</v>
      </c>
      <c r="O40">
        <v>801</v>
      </c>
      <c r="P40">
        <v>4695000</v>
      </c>
      <c r="Q40">
        <v>3696000</v>
      </c>
      <c r="R40">
        <v>999000</v>
      </c>
      <c r="S40">
        <v>194000</v>
      </c>
      <c r="T40" s="153">
        <f t="shared" si="0"/>
        <v>10847070</v>
      </c>
      <c r="U40" s="153">
        <f t="shared" si="1"/>
        <v>3846915</v>
      </c>
      <c r="V40" s="153">
        <f t="shared" si="2"/>
        <v>3846915</v>
      </c>
      <c r="X40" t="s">
        <v>292</v>
      </c>
      <c r="Y40">
        <v>4108</v>
      </c>
      <c r="Z40">
        <v>4689</v>
      </c>
      <c r="AA40">
        <v>3508112724.1673784</v>
      </c>
      <c r="AB40">
        <v>1004929275.6108016</v>
      </c>
      <c r="AC40" s="153">
        <f t="shared" si="3"/>
        <v>12566259.917819174</v>
      </c>
      <c r="AD40" s="153">
        <f t="shared" si="4"/>
        <v>3769259.917819174</v>
      </c>
      <c r="AE40" s="153">
        <f t="shared" si="5"/>
        <v>3769259.917819174</v>
      </c>
    </row>
    <row r="41" spans="1:31" x14ac:dyDescent="0.25">
      <c r="A41" t="s">
        <v>599</v>
      </c>
      <c r="B41" t="s">
        <v>410</v>
      </c>
      <c r="C41">
        <v>4122</v>
      </c>
      <c r="D41">
        <v>2340</v>
      </c>
      <c r="E41">
        <v>1782</v>
      </c>
      <c r="F41">
        <v>4</v>
      </c>
      <c r="G41">
        <v>0</v>
      </c>
      <c r="H41">
        <v>1103</v>
      </c>
      <c r="I41">
        <v>75</v>
      </c>
      <c r="J41">
        <v>2075</v>
      </c>
      <c r="K41">
        <v>1293</v>
      </c>
      <c r="L41">
        <v>351</v>
      </c>
      <c r="M41">
        <v>0</v>
      </c>
      <c r="N41">
        <v>659</v>
      </c>
      <c r="O41">
        <v>61</v>
      </c>
      <c r="P41">
        <v>2963000</v>
      </c>
      <c r="Q41">
        <v>2359000</v>
      </c>
      <c r="R41">
        <v>604000</v>
      </c>
      <c r="S41">
        <v>278000</v>
      </c>
      <c r="T41" s="153">
        <f t="shared" si="0"/>
        <v>6795135</v>
      </c>
      <c r="U41" s="153">
        <f t="shared" si="1"/>
        <v>3805657.5</v>
      </c>
      <c r="V41" s="153">
        <f t="shared" si="2"/>
        <v>3805657.5</v>
      </c>
      <c r="X41" t="s">
        <v>410</v>
      </c>
      <c r="Y41">
        <v>2221</v>
      </c>
      <c r="Z41">
        <v>1802</v>
      </c>
      <c r="AA41">
        <v>2332983193.2773108</v>
      </c>
      <c r="AB41">
        <v>598273572.37715793</v>
      </c>
      <c r="AC41" s="153">
        <f t="shared" si="3"/>
        <v>8037917.0898106899</v>
      </c>
      <c r="AD41" s="153">
        <f t="shared" si="4"/>
        <v>4014917.0898106899</v>
      </c>
      <c r="AE41" s="153">
        <f t="shared" si="5"/>
        <v>4014917.0898106899</v>
      </c>
    </row>
    <row r="42" spans="1:31" x14ac:dyDescent="0.25">
      <c r="A42" t="s">
        <v>600</v>
      </c>
      <c r="B42" t="s">
        <v>293</v>
      </c>
      <c r="C42">
        <v>4313</v>
      </c>
      <c r="D42">
        <v>3469</v>
      </c>
      <c r="E42">
        <v>844</v>
      </c>
      <c r="F42">
        <v>0</v>
      </c>
      <c r="G42">
        <v>766</v>
      </c>
      <c r="H42">
        <v>22</v>
      </c>
      <c r="I42">
        <v>0</v>
      </c>
      <c r="J42">
        <v>1106</v>
      </c>
      <c r="K42">
        <v>1152</v>
      </c>
      <c r="L42">
        <v>181</v>
      </c>
      <c r="M42">
        <v>199</v>
      </c>
      <c r="N42">
        <v>1007</v>
      </c>
      <c r="O42">
        <v>47</v>
      </c>
      <c r="P42">
        <v>2903000</v>
      </c>
      <c r="Q42">
        <v>2775000</v>
      </c>
      <c r="R42">
        <v>128000</v>
      </c>
      <c r="S42">
        <v>575000</v>
      </c>
      <c r="T42" s="153">
        <f t="shared" si="0"/>
        <v>5774055</v>
      </c>
      <c r="U42" s="153">
        <f t="shared" si="1"/>
        <v>2423397.5</v>
      </c>
      <c r="V42" s="153">
        <f t="shared" si="2"/>
        <v>2423397.5</v>
      </c>
      <c r="X42" t="s">
        <v>293</v>
      </c>
      <c r="Y42">
        <v>3317</v>
      </c>
      <c r="Z42">
        <v>852</v>
      </c>
      <c r="AA42">
        <v>2803272315.4674373</v>
      </c>
      <c r="AB42">
        <v>135678944.12479913</v>
      </c>
      <c r="AC42" s="153">
        <f t="shared" si="3"/>
        <v>7001957.8505982626</v>
      </c>
      <c r="AD42" s="153">
        <f t="shared" si="4"/>
        <v>2832957.8505982626</v>
      </c>
      <c r="AE42" s="153">
        <f t="shared" si="5"/>
        <v>2832957.8505982626</v>
      </c>
    </row>
    <row r="43" spans="1:31" x14ac:dyDescent="0.25">
      <c r="A43" t="s">
        <v>600</v>
      </c>
      <c r="B43" t="s">
        <v>294</v>
      </c>
      <c r="C43">
        <v>8088</v>
      </c>
      <c r="D43">
        <v>6693</v>
      </c>
      <c r="E43">
        <v>1395</v>
      </c>
      <c r="F43">
        <v>1325</v>
      </c>
      <c r="G43">
        <v>816</v>
      </c>
      <c r="H43">
        <v>912</v>
      </c>
      <c r="I43">
        <v>1</v>
      </c>
      <c r="J43">
        <v>2814</v>
      </c>
      <c r="K43">
        <v>3078</v>
      </c>
      <c r="L43">
        <v>558</v>
      </c>
      <c r="M43">
        <v>292</v>
      </c>
      <c r="N43">
        <v>806</v>
      </c>
      <c r="O43">
        <v>48</v>
      </c>
      <c r="P43">
        <v>6500000</v>
      </c>
      <c r="Q43">
        <v>6186000</v>
      </c>
      <c r="R43">
        <v>314000</v>
      </c>
      <c r="S43">
        <v>637000</v>
      </c>
      <c r="T43" s="153">
        <f t="shared" si="0"/>
        <v>12980670</v>
      </c>
      <c r="U43" s="153">
        <f t="shared" si="1"/>
        <v>7056115</v>
      </c>
      <c r="V43" s="153">
        <f t="shared" si="2"/>
        <v>7056115</v>
      </c>
      <c r="X43" t="s">
        <v>294</v>
      </c>
      <c r="Y43">
        <v>6501</v>
      </c>
      <c r="Z43">
        <v>1262</v>
      </c>
      <c r="AA43">
        <v>6167931688.804554</v>
      </c>
      <c r="AB43">
        <v>259137577.00205338</v>
      </c>
      <c r="AC43" s="153">
        <f t="shared" si="3"/>
        <v>15226721.716689589</v>
      </c>
      <c r="AD43" s="153">
        <f t="shared" si="4"/>
        <v>7463721.7166895885</v>
      </c>
      <c r="AE43" s="153">
        <f t="shared" si="5"/>
        <v>7463721.7166895885</v>
      </c>
    </row>
    <row r="44" spans="1:31" x14ac:dyDescent="0.25">
      <c r="A44" t="s">
        <v>603</v>
      </c>
      <c r="B44" t="s">
        <v>337</v>
      </c>
      <c r="C44">
        <v>8816</v>
      </c>
      <c r="D44">
        <v>6108</v>
      </c>
      <c r="E44">
        <v>2708</v>
      </c>
      <c r="F44">
        <v>9</v>
      </c>
      <c r="G44">
        <v>904</v>
      </c>
      <c r="H44">
        <v>524</v>
      </c>
      <c r="I44">
        <v>294</v>
      </c>
      <c r="J44">
        <v>4591</v>
      </c>
      <c r="K44">
        <v>3989</v>
      </c>
      <c r="L44">
        <v>460</v>
      </c>
      <c r="M44">
        <v>394</v>
      </c>
      <c r="N44">
        <v>1537</v>
      </c>
      <c r="O44">
        <v>133</v>
      </c>
      <c r="P44">
        <v>4752000</v>
      </c>
      <c r="Q44">
        <v>4032000</v>
      </c>
      <c r="R44">
        <v>720000</v>
      </c>
      <c r="S44">
        <v>278000</v>
      </c>
      <c r="T44" s="153">
        <f t="shared" si="0"/>
        <v>10424160</v>
      </c>
      <c r="U44" s="153">
        <f t="shared" si="1"/>
        <v>3345520</v>
      </c>
      <c r="V44" s="153">
        <f t="shared" si="2"/>
        <v>3345520</v>
      </c>
      <c r="X44" t="s">
        <v>337</v>
      </c>
      <c r="Y44">
        <v>5854</v>
      </c>
      <c r="Z44">
        <v>3239</v>
      </c>
      <c r="AA44">
        <v>3942087542.0875421</v>
      </c>
      <c r="AB44">
        <v>689295594.80740583</v>
      </c>
      <c r="AC44" s="153">
        <f t="shared" si="3"/>
        <v>12116959.031663494</v>
      </c>
      <c r="AD44" s="153">
        <f t="shared" si="4"/>
        <v>3023959.0316634942</v>
      </c>
      <c r="AE44" s="153">
        <f t="shared" si="5"/>
        <v>3023959.0316634942</v>
      </c>
    </row>
    <row r="45" spans="1:31" x14ac:dyDescent="0.25">
      <c r="A45" t="s">
        <v>599</v>
      </c>
      <c r="B45" t="s">
        <v>411</v>
      </c>
      <c r="C45">
        <v>2587</v>
      </c>
      <c r="D45">
        <v>1621</v>
      </c>
      <c r="E45">
        <v>966</v>
      </c>
      <c r="F45">
        <v>0</v>
      </c>
      <c r="G45">
        <v>0</v>
      </c>
      <c r="H45">
        <v>30</v>
      </c>
      <c r="I45">
        <v>0</v>
      </c>
      <c r="J45">
        <v>776</v>
      </c>
      <c r="K45">
        <v>636</v>
      </c>
      <c r="L45">
        <v>121</v>
      </c>
      <c r="M45">
        <v>102</v>
      </c>
      <c r="N45">
        <v>390</v>
      </c>
      <c r="O45">
        <v>22</v>
      </c>
      <c r="P45">
        <v>1248000</v>
      </c>
      <c r="Q45">
        <v>1010000</v>
      </c>
      <c r="R45">
        <v>238000</v>
      </c>
      <c r="S45">
        <v>261000</v>
      </c>
      <c r="T45" s="153">
        <f t="shared" si="0"/>
        <v>2830830</v>
      </c>
      <c r="U45" s="153">
        <f t="shared" si="1"/>
        <v>715635</v>
      </c>
      <c r="V45" s="153">
        <f t="shared" si="2"/>
        <v>715635</v>
      </c>
      <c r="X45" t="s">
        <v>411</v>
      </c>
      <c r="Y45">
        <v>1478</v>
      </c>
      <c r="Z45">
        <v>1164</v>
      </c>
      <c r="AA45">
        <v>1009976766.4343311</v>
      </c>
      <c r="AB45">
        <v>253252687.00230625</v>
      </c>
      <c r="AC45" s="153">
        <f t="shared" si="3"/>
        <v>3453535.3278262871</v>
      </c>
      <c r="AD45" s="153">
        <f t="shared" si="4"/>
        <v>811535.32782628713</v>
      </c>
      <c r="AE45" s="153">
        <f t="shared" si="5"/>
        <v>811535.32782628713</v>
      </c>
    </row>
    <row r="46" spans="1:31" x14ac:dyDescent="0.25">
      <c r="A46" t="s">
        <v>598</v>
      </c>
      <c r="B46" t="s">
        <v>131</v>
      </c>
      <c r="C46">
        <v>5834</v>
      </c>
      <c r="D46">
        <v>4444</v>
      </c>
      <c r="E46">
        <v>1390</v>
      </c>
      <c r="F46">
        <v>0</v>
      </c>
      <c r="G46">
        <v>0</v>
      </c>
      <c r="H46">
        <v>1300</v>
      </c>
      <c r="I46">
        <v>120</v>
      </c>
      <c r="J46">
        <v>3057</v>
      </c>
      <c r="K46">
        <v>2086</v>
      </c>
      <c r="L46">
        <v>422</v>
      </c>
      <c r="M46">
        <v>153</v>
      </c>
      <c r="N46">
        <v>416</v>
      </c>
      <c r="O46">
        <v>25</v>
      </c>
      <c r="P46">
        <v>2446000</v>
      </c>
      <c r="Q46">
        <v>2033000</v>
      </c>
      <c r="R46">
        <v>413000</v>
      </c>
      <c r="S46">
        <v>183000</v>
      </c>
      <c r="T46" s="153">
        <f t="shared" si="0"/>
        <v>5446395</v>
      </c>
      <c r="U46" s="153">
        <f t="shared" si="1"/>
        <v>520127.5</v>
      </c>
      <c r="V46" s="153">
        <f t="shared" si="2"/>
        <v>520127.5</v>
      </c>
      <c r="X46" t="s">
        <v>131</v>
      </c>
      <c r="Y46">
        <v>4305</v>
      </c>
      <c r="Z46">
        <v>1683</v>
      </c>
      <c r="AA46">
        <v>1972056802.5652771</v>
      </c>
      <c r="AB46">
        <v>453883495.14563102</v>
      </c>
      <c r="AC46" s="153">
        <f t="shared" si="3"/>
        <v>6558318.7175986236</v>
      </c>
      <c r="AD46" s="153">
        <f t="shared" si="4"/>
        <v>570318.7175986236</v>
      </c>
      <c r="AE46" s="153">
        <f t="shared" si="5"/>
        <v>570318.7175986236</v>
      </c>
    </row>
    <row r="47" spans="1:31" x14ac:dyDescent="0.25">
      <c r="A47" t="s">
        <v>604</v>
      </c>
      <c r="B47" t="s">
        <v>186</v>
      </c>
      <c r="C47">
        <v>5434</v>
      </c>
      <c r="D47">
        <v>3621</v>
      </c>
      <c r="E47">
        <v>1813</v>
      </c>
      <c r="F47">
        <v>10</v>
      </c>
      <c r="G47">
        <v>0</v>
      </c>
      <c r="H47">
        <v>0</v>
      </c>
      <c r="I47">
        <v>269</v>
      </c>
      <c r="J47">
        <v>1685</v>
      </c>
      <c r="K47">
        <v>1982</v>
      </c>
      <c r="L47">
        <v>193</v>
      </c>
      <c r="M47">
        <v>146</v>
      </c>
      <c r="N47">
        <v>439</v>
      </c>
      <c r="O47">
        <v>68</v>
      </c>
      <c r="P47">
        <v>2508000</v>
      </c>
      <c r="Q47">
        <v>2169000</v>
      </c>
      <c r="R47">
        <v>339000</v>
      </c>
      <c r="S47">
        <v>225000</v>
      </c>
      <c r="T47" s="153">
        <f t="shared" si="0"/>
        <v>5423535</v>
      </c>
      <c r="U47" s="153">
        <f t="shared" si="1"/>
        <v>893457.5</v>
      </c>
      <c r="V47" s="153">
        <f t="shared" si="2"/>
        <v>893457.5</v>
      </c>
      <c r="X47" t="s">
        <v>186</v>
      </c>
      <c r="Y47">
        <v>3438</v>
      </c>
      <c r="Z47">
        <v>1865</v>
      </c>
      <c r="AA47">
        <v>2130111524.1635687</v>
      </c>
      <c r="AB47">
        <v>320501804.43375146</v>
      </c>
      <c r="AC47" s="153">
        <f t="shared" si="3"/>
        <v>6310752.8629560936</v>
      </c>
      <c r="AD47" s="153">
        <f t="shared" si="4"/>
        <v>1007752.8629560936</v>
      </c>
      <c r="AE47" s="153">
        <f t="shared" si="5"/>
        <v>1007752.8629560936</v>
      </c>
    </row>
    <row r="48" spans="1:31" x14ac:dyDescent="0.25">
      <c r="A48" t="s">
        <v>610</v>
      </c>
      <c r="B48" t="s">
        <v>389</v>
      </c>
      <c r="C48">
        <v>7750</v>
      </c>
      <c r="D48">
        <v>2675</v>
      </c>
      <c r="E48">
        <v>5075</v>
      </c>
      <c r="F48">
        <v>0</v>
      </c>
      <c r="G48">
        <v>522</v>
      </c>
      <c r="H48">
        <v>0</v>
      </c>
      <c r="I48">
        <v>159</v>
      </c>
      <c r="J48">
        <v>1489</v>
      </c>
      <c r="K48">
        <v>2741</v>
      </c>
      <c r="L48">
        <v>364</v>
      </c>
      <c r="M48">
        <v>274</v>
      </c>
      <c r="N48">
        <v>510</v>
      </c>
      <c r="O48">
        <v>19</v>
      </c>
      <c r="P48">
        <v>3242000</v>
      </c>
      <c r="Q48">
        <v>2043000</v>
      </c>
      <c r="R48">
        <v>1199000</v>
      </c>
      <c r="S48">
        <v>211000</v>
      </c>
      <c r="T48" s="153">
        <f t="shared" si="0"/>
        <v>8460105</v>
      </c>
      <c r="U48" s="153">
        <f t="shared" si="1"/>
        <v>2120122.5</v>
      </c>
      <c r="V48" s="153">
        <f t="shared" si="2"/>
        <v>2120122.5</v>
      </c>
      <c r="X48" t="s">
        <v>389</v>
      </c>
      <c r="Y48">
        <v>2573</v>
      </c>
      <c r="Z48">
        <v>5586</v>
      </c>
      <c r="AA48">
        <v>2037212984.9564528</v>
      </c>
      <c r="AB48">
        <v>1248547161.3768439</v>
      </c>
      <c r="AC48" s="153">
        <f t="shared" si="3"/>
        <v>10326129.175425228</v>
      </c>
      <c r="AD48" s="153">
        <f t="shared" si="4"/>
        <v>2167129.1754252277</v>
      </c>
      <c r="AE48" s="153">
        <f t="shared" si="5"/>
        <v>2167129.1754252277</v>
      </c>
    </row>
    <row r="49" spans="1:31" x14ac:dyDescent="0.25">
      <c r="A49" t="s">
        <v>599</v>
      </c>
      <c r="B49" t="s">
        <v>412</v>
      </c>
      <c r="C49">
        <v>6196</v>
      </c>
      <c r="D49">
        <v>3521</v>
      </c>
      <c r="E49">
        <v>2675</v>
      </c>
      <c r="F49">
        <v>8</v>
      </c>
      <c r="G49">
        <v>0</v>
      </c>
      <c r="H49">
        <v>265</v>
      </c>
      <c r="I49">
        <v>132</v>
      </c>
      <c r="J49">
        <v>2877</v>
      </c>
      <c r="K49">
        <v>2025</v>
      </c>
      <c r="L49">
        <v>404</v>
      </c>
      <c r="M49">
        <v>75</v>
      </c>
      <c r="N49">
        <v>862</v>
      </c>
      <c r="O49">
        <v>57</v>
      </c>
      <c r="P49">
        <v>3673000</v>
      </c>
      <c r="Q49">
        <v>2920000</v>
      </c>
      <c r="R49">
        <v>753000</v>
      </c>
      <c r="S49">
        <v>239000</v>
      </c>
      <c r="T49" s="153">
        <f t="shared" si="0"/>
        <v>8431530</v>
      </c>
      <c r="U49" s="153">
        <f t="shared" si="1"/>
        <v>3640785</v>
      </c>
      <c r="V49" s="153">
        <f t="shared" si="2"/>
        <v>3640785</v>
      </c>
      <c r="X49" t="s">
        <v>412</v>
      </c>
      <c r="Y49">
        <v>3379</v>
      </c>
      <c r="Z49">
        <v>3058</v>
      </c>
      <c r="AA49">
        <v>2907917383.8209982</v>
      </c>
      <c r="AB49">
        <v>755434782.60869575</v>
      </c>
      <c r="AC49" s="153">
        <f t="shared" si="3"/>
        <v>10063050.811943425</v>
      </c>
      <c r="AD49" s="153">
        <f t="shared" si="4"/>
        <v>3626050.8119434249</v>
      </c>
      <c r="AE49" s="153">
        <f t="shared" si="5"/>
        <v>3626050.8119434249</v>
      </c>
    </row>
    <row r="50" spans="1:31" x14ac:dyDescent="0.25">
      <c r="A50" t="s">
        <v>599</v>
      </c>
      <c r="B50" t="s">
        <v>413</v>
      </c>
      <c r="C50">
        <v>7139</v>
      </c>
      <c r="D50">
        <v>4239</v>
      </c>
      <c r="E50">
        <v>2900</v>
      </c>
      <c r="F50">
        <v>343</v>
      </c>
      <c r="G50">
        <v>15</v>
      </c>
      <c r="H50">
        <v>27</v>
      </c>
      <c r="I50">
        <v>47</v>
      </c>
      <c r="J50">
        <v>3024</v>
      </c>
      <c r="K50">
        <v>2270</v>
      </c>
      <c r="L50">
        <v>526</v>
      </c>
      <c r="M50">
        <v>183</v>
      </c>
      <c r="N50">
        <v>947</v>
      </c>
      <c r="O50">
        <v>131</v>
      </c>
      <c r="P50">
        <v>3845000</v>
      </c>
      <c r="Q50">
        <v>3196000</v>
      </c>
      <c r="R50">
        <v>649000</v>
      </c>
      <c r="S50">
        <v>244000</v>
      </c>
      <c r="T50" s="153">
        <f t="shared" si="0"/>
        <v>8561070</v>
      </c>
      <c r="U50" s="153">
        <f t="shared" si="1"/>
        <v>2848915</v>
      </c>
      <c r="V50" s="153">
        <f t="shared" si="2"/>
        <v>2848915</v>
      </c>
      <c r="X50" t="s">
        <v>413</v>
      </c>
      <c r="Y50">
        <v>4109</v>
      </c>
      <c r="Z50">
        <v>3355</v>
      </c>
      <c r="AA50">
        <v>3170524691.3580251</v>
      </c>
      <c r="AB50">
        <v>677367252.17040181</v>
      </c>
      <c r="AC50" s="153">
        <f t="shared" si="3"/>
        <v>10305523.608338134</v>
      </c>
      <c r="AD50" s="153">
        <f t="shared" si="4"/>
        <v>2841523.6083381344</v>
      </c>
      <c r="AE50" s="153">
        <f t="shared" si="5"/>
        <v>2841523.6083381344</v>
      </c>
    </row>
    <row r="51" spans="1:31" x14ac:dyDescent="0.25">
      <c r="A51" t="s">
        <v>599</v>
      </c>
      <c r="B51" t="s">
        <v>414</v>
      </c>
      <c r="C51">
        <v>35425</v>
      </c>
      <c r="D51">
        <v>19068</v>
      </c>
      <c r="E51">
        <v>16357</v>
      </c>
      <c r="F51">
        <v>14033</v>
      </c>
      <c r="G51">
        <v>1064</v>
      </c>
      <c r="H51">
        <v>625</v>
      </c>
      <c r="I51">
        <v>1793</v>
      </c>
      <c r="J51">
        <v>17398</v>
      </c>
      <c r="K51">
        <v>21918</v>
      </c>
      <c r="L51">
        <v>2283</v>
      </c>
      <c r="M51">
        <v>0</v>
      </c>
      <c r="N51">
        <v>4701</v>
      </c>
      <c r="O51">
        <v>722</v>
      </c>
      <c r="P51">
        <v>25208000</v>
      </c>
      <c r="Q51">
        <v>20863000</v>
      </c>
      <c r="R51">
        <v>4345000</v>
      </c>
      <c r="S51">
        <v>250000</v>
      </c>
      <c r="T51" s="153">
        <f t="shared" si="0"/>
        <v>56298465</v>
      </c>
      <c r="U51" s="153">
        <f t="shared" si="1"/>
        <v>30256542.5</v>
      </c>
      <c r="V51" s="153">
        <f t="shared" si="2"/>
        <v>30256542.5</v>
      </c>
      <c r="X51" t="s">
        <v>414</v>
      </c>
      <c r="Y51">
        <v>19065</v>
      </c>
      <c r="Z51">
        <v>15781</v>
      </c>
      <c r="AA51">
        <v>20813318777.292576</v>
      </c>
      <c r="AB51">
        <v>3914909451.7489457</v>
      </c>
      <c r="AC51" s="153">
        <f t="shared" si="3"/>
        <v>65229972.211720146</v>
      </c>
      <c r="AD51" s="153">
        <f t="shared" si="4"/>
        <v>30383972.211720146</v>
      </c>
      <c r="AE51" s="153">
        <f t="shared" si="5"/>
        <v>30383972.211720146</v>
      </c>
    </row>
    <row r="52" spans="1:31" x14ac:dyDescent="0.25">
      <c r="A52" t="s">
        <v>603</v>
      </c>
      <c r="B52" t="s">
        <v>338</v>
      </c>
      <c r="C52">
        <v>2504</v>
      </c>
      <c r="D52">
        <v>1839</v>
      </c>
      <c r="E52">
        <v>665</v>
      </c>
      <c r="F52">
        <v>11</v>
      </c>
      <c r="G52">
        <v>28</v>
      </c>
      <c r="H52">
        <v>295</v>
      </c>
      <c r="I52">
        <v>206</v>
      </c>
      <c r="J52">
        <v>1916</v>
      </c>
      <c r="K52">
        <v>1237</v>
      </c>
      <c r="L52">
        <v>360</v>
      </c>
      <c r="M52">
        <v>79</v>
      </c>
      <c r="N52">
        <v>161</v>
      </c>
      <c r="O52">
        <v>46</v>
      </c>
      <c r="P52">
        <v>2123000</v>
      </c>
      <c r="Q52">
        <v>1760000</v>
      </c>
      <c r="R52">
        <v>363000</v>
      </c>
      <c r="S52">
        <v>222000</v>
      </c>
      <c r="T52" s="153">
        <f t="shared" si="0"/>
        <v>4735830</v>
      </c>
      <c r="U52" s="153">
        <f t="shared" si="1"/>
        <v>3021135</v>
      </c>
      <c r="V52" s="153">
        <f t="shared" si="2"/>
        <v>3021135</v>
      </c>
      <c r="X52" t="s">
        <v>338</v>
      </c>
      <c r="Y52">
        <v>1804</v>
      </c>
      <c r="Z52">
        <v>787</v>
      </c>
      <c r="AA52">
        <v>1753158406.2196307</v>
      </c>
      <c r="AB52">
        <v>345175438.59649122</v>
      </c>
      <c r="AC52" s="153">
        <f t="shared" si="3"/>
        <v>5564685.1414249921</v>
      </c>
      <c r="AD52" s="153">
        <f t="shared" si="4"/>
        <v>2973685.1414249921</v>
      </c>
      <c r="AE52" s="153">
        <f t="shared" si="5"/>
        <v>2973685.1414249921</v>
      </c>
    </row>
    <row r="53" spans="1:31" x14ac:dyDescent="0.25">
      <c r="A53" s="105" t="s">
        <v>601</v>
      </c>
      <c r="B53" t="s">
        <v>215</v>
      </c>
      <c r="C53">
        <v>7429</v>
      </c>
      <c r="D53">
        <v>4946</v>
      </c>
      <c r="E53">
        <v>2483</v>
      </c>
      <c r="F53">
        <v>0</v>
      </c>
      <c r="G53">
        <v>0</v>
      </c>
      <c r="H53">
        <v>260</v>
      </c>
      <c r="I53">
        <v>94</v>
      </c>
      <c r="J53">
        <v>4450</v>
      </c>
      <c r="K53">
        <v>2619</v>
      </c>
      <c r="L53">
        <v>627</v>
      </c>
      <c r="M53">
        <v>144</v>
      </c>
      <c r="N53">
        <v>723</v>
      </c>
      <c r="O53">
        <v>12</v>
      </c>
      <c r="P53">
        <v>4637000</v>
      </c>
      <c r="Q53">
        <v>3875000</v>
      </c>
      <c r="R53">
        <v>762000</v>
      </c>
      <c r="S53">
        <v>254000</v>
      </c>
      <c r="T53" s="153">
        <f t="shared" si="0"/>
        <v>10285095</v>
      </c>
      <c r="U53" s="153">
        <f t="shared" si="1"/>
        <v>4570277.5</v>
      </c>
      <c r="V53" s="153">
        <f t="shared" si="2"/>
        <v>4570277.5</v>
      </c>
      <c r="X53" t="s">
        <v>215</v>
      </c>
      <c r="Y53">
        <v>4842</v>
      </c>
      <c r="Z53">
        <v>2792</v>
      </c>
      <c r="AA53">
        <v>3870503597.1223025</v>
      </c>
      <c r="AB53">
        <v>770844837.10657096</v>
      </c>
      <c r="AC53" s="153">
        <f t="shared" si="3"/>
        <v>12325368.143254586</v>
      </c>
      <c r="AD53" s="153">
        <f t="shared" si="4"/>
        <v>4691368.1432545856</v>
      </c>
      <c r="AE53" s="153">
        <f t="shared" si="5"/>
        <v>4691368.1432545856</v>
      </c>
    </row>
    <row r="54" spans="1:31" x14ac:dyDescent="0.25">
      <c r="A54" t="s">
        <v>601</v>
      </c>
      <c r="B54" t="s">
        <v>216</v>
      </c>
      <c r="C54">
        <v>3707</v>
      </c>
      <c r="D54">
        <v>2410</v>
      </c>
      <c r="E54">
        <v>1297</v>
      </c>
      <c r="F54">
        <v>2</v>
      </c>
      <c r="G54">
        <v>0</v>
      </c>
      <c r="H54">
        <v>739</v>
      </c>
      <c r="I54">
        <v>44</v>
      </c>
      <c r="J54">
        <v>2450</v>
      </c>
      <c r="K54">
        <v>1369</v>
      </c>
      <c r="L54">
        <v>268</v>
      </c>
      <c r="M54">
        <v>93</v>
      </c>
      <c r="N54">
        <v>546</v>
      </c>
      <c r="O54">
        <v>64</v>
      </c>
      <c r="P54">
        <v>2580000</v>
      </c>
      <c r="Q54">
        <v>2218000</v>
      </c>
      <c r="R54">
        <v>362000</v>
      </c>
      <c r="S54">
        <v>243000</v>
      </c>
      <c r="T54" s="153">
        <f t="shared" si="0"/>
        <v>5604510</v>
      </c>
      <c r="U54" s="153">
        <f t="shared" si="1"/>
        <v>2831595</v>
      </c>
      <c r="V54" s="153">
        <f t="shared" si="2"/>
        <v>2831595</v>
      </c>
      <c r="X54" t="s">
        <v>216</v>
      </c>
      <c r="Y54">
        <v>2317</v>
      </c>
      <c r="Z54">
        <v>1442</v>
      </c>
      <c r="AA54">
        <v>2206666666.666667</v>
      </c>
      <c r="AB54">
        <v>365989847.71573603</v>
      </c>
      <c r="AC54" s="153">
        <f t="shared" si="3"/>
        <v>6692277.3152848287</v>
      </c>
      <c r="AD54" s="153">
        <f t="shared" si="4"/>
        <v>2933277.3152848287</v>
      </c>
      <c r="AE54" s="153">
        <f t="shared" si="5"/>
        <v>2933277.3152848287</v>
      </c>
    </row>
    <row r="55" spans="1:31" x14ac:dyDescent="0.25">
      <c r="A55" t="s">
        <v>608</v>
      </c>
      <c r="B55" t="s">
        <v>464</v>
      </c>
      <c r="C55">
        <v>5693</v>
      </c>
      <c r="D55">
        <v>4131</v>
      </c>
      <c r="E55">
        <v>1562</v>
      </c>
      <c r="F55">
        <v>0</v>
      </c>
      <c r="G55">
        <v>22</v>
      </c>
      <c r="H55">
        <v>51</v>
      </c>
      <c r="I55">
        <v>348</v>
      </c>
      <c r="J55">
        <v>3487</v>
      </c>
      <c r="K55">
        <v>2893</v>
      </c>
      <c r="L55">
        <v>490</v>
      </c>
      <c r="M55">
        <v>96</v>
      </c>
      <c r="N55">
        <v>448</v>
      </c>
      <c r="O55">
        <v>92</v>
      </c>
      <c r="P55">
        <v>2412000</v>
      </c>
      <c r="Q55">
        <v>2019000</v>
      </c>
      <c r="R55">
        <v>393000</v>
      </c>
      <c r="S55">
        <v>140000</v>
      </c>
      <c r="T55" s="153">
        <f t="shared" si="0"/>
        <v>5343525</v>
      </c>
      <c r="U55" s="153">
        <f t="shared" si="1"/>
        <v>541112.5</v>
      </c>
      <c r="V55" s="153">
        <f t="shared" si="2"/>
        <v>541112.5</v>
      </c>
      <c r="X55" t="s">
        <v>464</v>
      </c>
      <c r="Y55">
        <v>3362</v>
      </c>
      <c r="Z55">
        <v>1453</v>
      </c>
      <c r="AA55">
        <v>2042527339.0036454</v>
      </c>
      <c r="AB55">
        <v>294726166.32860041</v>
      </c>
      <c r="AC55" s="153">
        <f t="shared" si="3"/>
        <v>5993895.038928967</v>
      </c>
      <c r="AD55" s="153">
        <f t="shared" si="4"/>
        <v>1178895.038928967</v>
      </c>
      <c r="AE55" s="153">
        <f t="shared" si="5"/>
        <v>1178895.038928967</v>
      </c>
    </row>
    <row r="56" spans="1:31" x14ac:dyDescent="0.25">
      <c r="A56" t="s">
        <v>606</v>
      </c>
      <c r="B56" t="s">
        <v>264</v>
      </c>
      <c r="C56">
        <v>5015</v>
      </c>
      <c r="D56">
        <v>3303</v>
      </c>
      <c r="E56">
        <v>1712</v>
      </c>
      <c r="F56">
        <v>5</v>
      </c>
      <c r="G56">
        <v>0</v>
      </c>
      <c r="H56">
        <v>144</v>
      </c>
      <c r="I56">
        <v>76</v>
      </c>
      <c r="J56">
        <v>1310</v>
      </c>
      <c r="K56">
        <v>1377</v>
      </c>
      <c r="L56">
        <v>216</v>
      </c>
      <c r="M56">
        <v>0</v>
      </c>
      <c r="N56">
        <v>1227</v>
      </c>
      <c r="O56">
        <v>101</v>
      </c>
      <c r="P56">
        <v>2312000</v>
      </c>
      <c r="Q56">
        <v>1999000</v>
      </c>
      <c r="R56">
        <v>313000</v>
      </c>
      <c r="S56">
        <v>319000</v>
      </c>
      <c r="T56" s="153">
        <f t="shared" si="0"/>
        <v>5000625</v>
      </c>
      <c r="U56" s="153">
        <f t="shared" si="1"/>
        <v>819062.5</v>
      </c>
      <c r="V56" s="153">
        <f t="shared" si="2"/>
        <v>819062.5</v>
      </c>
      <c r="X56" t="s">
        <v>264</v>
      </c>
      <c r="Y56">
        <v>3176</v>
      </c>
      <c r="Z56">
        <v>1664</v>
      </c>
      <c r="AA56">
        <v>1959284392.3504009</v>
      </c>
      <c r="AB56">
        <v>302545454.5454545</v>
      </c>
      <c r="AC56" s="153">
        <f t="shared" si="3"/>
        <v>5839937.3531490099</v>
      </c>
      <c r="AD56" s="153">
        <f t="shared" si="4"/>
        <v>999937.35314900987</v>
      </c>
      <c r="AE56" s="153">
        <f t="shared" si="5"/>
        <v>999937.35314900987</v>
      </c>
    </row>
    <row r="57" spans="1:31" x14ac:dyDescent="0.25">
      <c r="A57" t="s">
        <v>606</v>
      </c>
      <c r="B57" t="s">
        <v>265</v>
      </c>
      <c r="C57">
        <v>3903</v>
      </c>
      <c r="D57">
        <v>2319</v>
      </c>
      <c r="E57">
        <v>1584</v>
      </c>
      <c r="F57">
        <v>10</v>
      </c>
      <c r="G57">
        <v>863</v>
      </c>
      <c r="H57">
        <v>0</v>
      </c>
      <c r="I57">
        <v>135</v>
      </c>
      <c r="J57">
        <v>1471</v>
      </c>
      <c r="K57">
        <v>1115</v>
      </c>
      <c r="L57">
        <v>361</v>
      </c>
      <c r="M57">
        <v>368</v>
      </c>
      <c r="N57">
        <v>570</v>
      </c>
      <c r="O57">
        <v>193</v>
      </c>
      <c r="P57">
        <v>2725000</v>
      </c>
      <c r="Q57">
        <v>2204000</v>
      </c>
      <c r="R57">
        <v>521000</v>
      </c>
      <c r="S57">
        <v>276000</v>
      </c>
      <c r="T57" s="153">
        <f t="shared" si="0"/>
        <v>6183630</v>
      </c>
      <c r="U57" s="153">
        <f t="shared" si="1"/>
        <v>3311235</v>
      </c>
      <c r="V57" s="153">
        <f t="shared" si="2"/>
        <v>3311235</v>
      </c>
      <c r="X57" t="s">
        <v>265</v>
      </c>
      <c r="Y57">
        <v>2209</v>
      </c>
      <c r="Z57">
        <v>1645</v>
      </c>
      <c r="AA57">
        <v>2184965380.8110781</v>
      </c>
      <c r="AB57">
        <v>513100436.68122268</v>
      </c>
      <c r="AC57" s="153">
        <f t="shared" si="3"/>
        <v>7312895.949504504</v>
      </c>
      <c r="AD57" s="153">
        <f t="shared" si="4"/>
        <v>3458895.949504504</v>
      </c>
      <c r="AE57" s="153">
        <f t="shared" si="5"/>
        <v>3458895.949504504</v>
      </c>
    </row>
    <row r="58" spans="1:31" x14ac:dyDescent="0.25">
      <c r="A58" t="s">
        <v>601</v>
      </c>
      <c r="B58" t="s">
        <v>217</v>
      </c>
      <c r="C58">
        <v>5694</v>
      </c>
      <c r="D58">
        <v>3940</v>
      </c>
      <c r="E58">
        <v>1754</v>
      </c>
      <c r="F58">
        <v>0</v>
      </c>
      <c r="G58">
        <v>1198</v>
      </c>
      <c r="H58">
        <v>188</v>
      </c>
      <c r="I58">
        <v>202</v>
      </c>
      <c r="J58">
        <v>2678</v>
      </c>
      <c r="K58">
        <v>0</v>
      </c>
      <c r="L58">
        <v>464</v>
      </c>
      <c r="M58">
        <v>187</v>
      </c>
      <c r="N58">
        <v>957</v>
      </c>
      <c r="O58">
        <v>45</v>
      </c>
      <c r="P58">
        <v>3400000</v>
      </c>
      <c r="Q58">
        <v>2939000</v>
      </c>
      <c r="R58">
        <v>461000</v>
      </c>
      <c r="S58">
        <v>284000</v>
      </c>
      <c r="T58" s="153">
        <f t="shared" si="0"/>
        <v>7355205</v>
      </c>
      <c r="U58" s="153">
        <f t="shared" si="1"/>
        <v>2887072.5</v>
      </c>
      <c r="V58" s="153">
        <f t="shared" si="2"/>
        <v>2887072.5</v>
      </c>
      <c r="X58" t="s">
        <v>217</v>
      </c>
      <c r="Y58">
        <v>3798</v>
      </c>
      <c r="Z58">
        <v>1713</v>
      </c>
      <c r="AA58">
        <v>2892612338.1568928</v>
      </c>
      <c r="AB58">
        <v>406212947.59307569</v>
      </c>
      <c r="AC58" s="153">
        <f t="shared" si="3"/>
        <v>8437607.0700665601</v>
      </c>
      <c r="AD58" s="153">
        <f t="shared" si="4"/>
        <v>2926607.0700665601</v>
      </c>
      <c r="AE58" s="153">
        <f t="shared" si="5"/>
        <v>2926607.0700665601</v>
      </c>
    </row>
    <row r="59" spans="1:31" x14ac:dyDescent="0.25">
      <c r="A59" t="s">
        <v>603</v>
      </c>
      <c r="B59" t="s">
        <v>339</v>
      </c>
      <c r="C59">
        <v>11622</v>
      </c>
      <c r="D59">
        <v>6895</v>
      </c>
      <c r="E59">
        <v>4727</v>
      </c>
      <c r="F59">
        <v>0</v>
      </c>
      <c r="G59">
        <v>0</v>
      </c>
      <c r="H59">
        <v>60</v>
      </c>
      <c r="I59">
        <v>617</v>
      </c>
      <c r="J59">
        <v>3932</v>
      </c>
      <c r="K59">
        <v>7275</v>
      </c>
      <c r="L59">
        <v>801</v>
      </c>
      <c r="M59">
        <v>0</v>
      </c>
      <c r="N59">
        <v>366</v>
      </c>
      <c r="O59">
        <v>127</v>
      </c>
      <c r="P59">
        <v>6868000</v>
      </c>
      <c r="Q59">
        <v>5817000</v>
      </c>
      <c r="R59">
        <v>1051000</v>
      </c>
      <c r="S59">
        <v>189000</v>
      </c>
      <c r="T59" s="153">
        <f t="shared" si="0"/>
        <v>15085695</v>
      </c>
      <c r="U59" s="153">
        <f t="shared" si="1"/>
        <v>5977977.5</v>
      </c>
      <c r="V59" s="153">
        <f t="shared" si="2"/>
        <v>5977977.5</v>
      </c>
      <c r="X59" t="s">
        <v>339</v>
      </c>
      <c r="Y59">
        <v>6690</v>
      </c>
      <c r="Z59">
        <v>5516</v>
      </c>
      <c r="AA59">
        <v>5782195332.7571306</v>
      </c>
      <c r="AB59">
        <v>1108743718.5929646</v>
      </c>
      <c r="AC59" s="153">
        <f t="shared" si="3"/>
        <v>18217944.228083659</v>
      </c>
      <c r="AD59" s="153">
        <f t="shared" si="4"/>
        <v>6011944.228083659</v>
      </c>
      <c r="AE59" s="153">
        <f t="shared" si="5"/>
        <v>6011944.228083659</v>
      </c>
    </row>
    <row r="60" spans="1:31" x14ac:dyDescent="0.25">
      <c r="A60" t="s">
        <v>600</v>
      </c>
      <c r="B60" t="s">
        <v>295</v>
      </c>
      <c r="C60">
        <v>6458</v>
      </c>
      <c r="D60">
        <v>4637</v>
      </c>
      <c r="E60">
        <v>1821</v>
      </c>
      <c r="F60">
        <v>0</v>
      </c>
      <c r="G60">
        <v>1104</v>
      </c>
      <c r="H60">
        <v>867</v>
      </c>
      <c r="I60">
        <v>207</v>
      </c>
      <c r="J60">
        <v>3302</v>
      </c>
      <c r="K60">
        <v>3800</v>
      </c>
      <c r="L60">
        <v>512</v>
      </c>
      <c r="M60">
        <v>160</v>
      </c>
      <c r="N60">
        <v>1170</v>
      </c>
      <c r="O60">
        <v>33</v>
      </c>
      <c r="P60">
        <v>4861000</v>
      </c>
      <c r="Q60">
        <v>4423000</v>
      </c>
      <c r="R60">
        <v>438000</v>
      </c>
      <c r="S60">
        <v>279000</v>
      </c>
      <c r="T60" s="153">
        <f t="shared" si="0"/>
        <v>10094595</v>
      </c>
      <c r="U60" s="153">
        <f t="shared" si="1"/>
        <v>5319027.5</v>
      </c>
      <c r="V60" s="153">
        <f t="shared" si="2"/>
        <v>5319027.5</v>
      </c>
      <c r="X60" t="s">
        <v>295</v>
      </c>
      <c r="Y60">
        <v>4523</v>
      </c>
      <c r="Z60">
        <v>1776</v>
      </c>
      <c r="AA60">
        <v>4408382066.276803</v>
      </c>
      <c r="AB60">
        <v>398832247.92274868</v>
      </c>
      <c r="AC60" s="153">
        <f t="shared" si="3"/>
        <v>11855903.370806519</v>
      </c>
      <c r="AD60" s="153">
        <f t="shared" si="4"/>
        <v>5556903.3708065189</v>
      </c>
      <c r="AE60" s="153">
        <f t="shared" si="5"/>
        <v>5556903.3708065189</v>
      </c>
    </row>
    <row r="61" spans="1:31" x14ac:dyDescent="0.25">
      <c r="A61" t="s">
        <v>598</v>
      </c>
      <c r="B61" t="s">
        <v>132</v>
      </c>
      <c r="C61">
        <v>8513</v>
      </c>
      <c r="D61">
        <v>5510</v>
      </c>
      <c r="E61">
        <v>3003</v>
      </c>
      <c r="F61">
        <v>0</v>
      </c>
      <c r="G61">
        <v>0</v>
      </c>
      <c r="H61">
        <v>1750</v>
      </c>
      <c r="I61">
        <v>307</v>
      </c>
      <c r="J61">
        <v>3631</v>
      </c>
      <c r="K61">
        <v>4168</v>
      </c>
      <c r="L61">
        <v>508</v>
      </c>
      <c r="M61">
        <v>374</v>
      </c>
      <c r="N61">
        <v>916</v>
      </c>
      <c r="O61">
        <v>64</v>
      </c>
      <c r="P61">
        <v>3741000</v>
      </c>
      <c r="Q61">
        <v>2871000</v>
      </c>
      <c r="R61">
        <v>870000</v>
      </c>
      <c r="S61">
        <v>192000</v>
      </c>
      <c r="T61" s="153">
        <f t="shared" si="0"/>
        <v>8783955</v>
      </c>
      <c r="U61" s="153">
        <f t="shared" si="1"/>
        <v>1734947.5</v>
      </c>
      <c r="V61" s="153">
        <f t="shared" si="2"/>
        <v>1734947.5</v>
      </c>
      <c r="X61" t="s">
        <v>132</v>
      </c>
      <c r="Y61">
        <v>5447</v>
      </c>
      <c r="Z61">
        <v>3125</v>
      </c>
      <c r="AA61">
        <v>2880486515.0713911</v>
      </c>
      <c r="AB61">
        <v>901355638.88087678</v>
      </c>
      <c r="AC61" s="153">
        <f t="shared" si="3"/>
        <v>10665202.440212013</v>
      </c>
      <c r="AD61" s="153">
        <f t="shared" si="4"/>
        <v>2093202.4402120132</v>
      </c>
      <c r="AE61" s="153">
        <f t="shared" si="5"/>
        <v>2093202.4402120132</v>
      </c>
    </row>
    <row r="62" spans="1:31" x14ac:dyDescent="0.25">
      <c r="A62" t="s">
        <v>599</v>
      </c>
      <c r="B62" t="s">
        <v>415</v>
      </c>
      <c r="C62">
        <v>4942</v>
      </c>
      <c r="D62">
        <v>2864</v>
      </c>
      <c r="E62">
        <v>2078</v>
      </c>
      <c r="F62">
        <v>0</v>
      </c>
      <c r="G62">
        <v>11</v>
      </c>
      <c r="H62">
        <v>109</v>
      </c>
      <c r="I62">
        <v>32</v>
      </c>
      <c r="J62">
        <v>2010</v>
      </c>
      <c r="K62">
        <v>1846</v>
      </c>
      <c r="L62">
        <v>260</v>
      </c>
      <c r="M62">
        <v>82</v>
      </c>
      <c r="N62">
        <v>749</v>
      </c>
      <c r="O62">
        <v>331</v>
      </c>
      <c r="P62">
        <v>2643000</v>
      </c>
      <c r="Q62">
        <v>2130000</v>
      </c>
      <c r="R62">
        <v>513000</v>
      </c>
      <c r="S62">
        <v>244000</v>
      </c>
      <c r="T62" s="153">
        <f t="shared" si="0"/>
        <v>6012180</v>
      </c>
      <c r="U62" s="153">
        <f t="shared" si="1"/>
        <v>2072210</v>
      </c>
      <c r="V62" s="153">
        <f t="shared" si="2"/>
        <v>2072210</v>
      </c>
      <c r="X62" t="s">
        <v>415</v>
      </c>
      <c r="Y62">
        <v>2750</v>
      </c>
      <c r="Z62">
        <v>2333</v>
      </c>
      <c r="AA62">
        <v>2118644067.7966104</v>
      </c>
      <c r="AB62">
        <v>520062416.40659827</v>
      </c>
      <c r="AC62" s="153">
        <f t="shared" si="3"/>
        <v>7193569.7096554013</v>
      </c>
      <c r="AD62" s="153">
        <f t="shared" si="4"/>
        <v>2110569.7096554013</v>
      </c>
      <c r="AE62" s="153">
        <f t="shared" si="5"/>
        <v>2110569.7096554013</v>
      </c>
    </row>
    <row r="63" spans="1:31" x14ac:dyDescent="0.25">
      <c r="A63" t="s">
        <v>599</v>
      </c>
      <c r="B63" t="s">
        <v>416</v>
      </c>
      <c r="C63">
        <v>5191</v>
      </c>
      <c r="D63">
        <v>2940</v>
      </c>
      <c r="E63">
        <v>2251</v>
      </c>
      <c r="F63">
        <v>50</v>
      </c>
      <c r="G63">
        <v>0</v>
      </c>
      <c r="H63">
        <v>123</v>
      </c>
      <c r="I63">
        <v>98</v>
      </c>
      <c r="J63">
        <v>2098</v>
      </c>
      <c r="K63">
        <v>1580</v>
      </c>
      <c r="L63">
        <v>264</v>
      </c>
      <c r="M63">
        <v>99</v>
      </c>
      <c r="N63">
        <v>900</v>
      </c>
      <c r="O63">
        <v>98</v>
      </c>
      <c r="P63">
        <v>2831000</v>
      </c>
      <c r="Q63">
        <v>2281000</v>
      </c>
      <c r="R63">
        <v>550000</v>
      </c>
      <c r="S63">
        <v>211000</v>
      </c>
      <c r="T63" s="153">
        <f t="shared" si="0"/>
        <v>6440805</v>
      </c>
      <c r="U63" s="153">
        <f t="shared" si="1"/>
        <v>2323272.5</v>
      </c>
      <c r="V63" s="153">
        <f t="shared" si="2"/>
        <v>2323272.5</v>
      </c>
      <c r="X63" t="s">
        <v>416</v>
      </c>
      <c r="Y63">
        <v>2769</v>
      </c>
      <c r="Z63">
        <v>2473</v>
      </c>
      <c r="AA63">
        <v>2275267050.1232538</v>
      </c>
      <c r="AB63">
        <v>542324561.40350878</v>
      </c>
      <c r="AC63" s="153">
        <f t="shared" si="3"/>
        <v>7651649.0978198713</v>
      </c>
      <c r="AD63" s="153">
        <f t="shared" si="4"/>
        <v>2409649.0978198713</v>
      </c>
      <c r="AE63" s="153">
        <f t="shared" si="5"/>
        <v>2409649.0978198713</v>
      </c>
    </row>
    <row r="64" spans="1:31" x14ac:dyDescent="0.25">
      <c r="A64" t="s">
        <v>601</v>
      </c>
      <c r="B64" t="s">
        <v>218</v>
      </c>
      <c r="C64">
        <v>6314</v>
      </c>
      <c r="D64">
        <v>3548</v>
      </c>
      <c r="E64">
        <v>2766</v>
      </c>
      <c r="F64">
        <v>518</v>
      </c>
      <c r="G64">
        <v>780</v>
      </c>
      <c r="H64">
        <v>26</v>
      </c>
      <c r="I64">
        <v>95</v>
      </c>
      <c r="J64">
        <v>3160</v>
      </c>
      <c r="K64">
        <v>0</v>
      </c>
      <c r="L64">
        <v>261</v>
      </c>
      <c r="M64">
        <v>0</v>
      </c>
      <c r="N64">
        <v>842</v>
      </c>
      <c r="O64">
        <v>137</v>
      </c>
      <c r="P64">
        <v>3185000</v>
      </c>
      <c r="Q64">
        <v>2663000</v>
      </c>
      <c r="R64">
        <v>522000</v>
      </c>
      <c r="S64">
        <v>223000</v>
      </c>
      <c r="T64" s="153">
        <f t="shared" si="0"/>
        <v>7061835</v>
      </c>
      <c r="U64" s="153">
        <f t="shared" si="1"/>
        <v>1924807.5</v>
      </c>
      <c r="V64" s="153">
        <f t="shared" si="2"/>
        <v>1924807.5</v>
      </c>
      <c r="X64" t="s">
        <v>218</v>
      </c>
      <c r="Y64">
        <v>3395</v>
      </c>
      <c r="Z64">
        <v>2677</v>
      </c>
      <c r="AA64">
        <v>2664835164.8351645</v>
      </c>
      <c r="AB64">
        <v>461870255.34851623</v>
      </c>
      <c r="AC64" s="153">
        <f t="shared" si="3"/>
        <v>8172383.0050786566</v>
      </c>
      <c r="AD64" s="153">
        <f t="shared" si="4"/>
        <v>2100383.0050786566</v>
      </c>
      <c r="AE64" s="153">
        <f t="shared" si="5"/>
        <v>2100383.0050786566</v>
      </c>
    </row>
    <row r="65" spans="1:31" x14ac:dyDescent="0.25">
      <c r="A65" t="s">
        <v>604</v>
      </c>
      <c r="B65" t="s">
        <v>187</v>
      </c>
      <c r="C65">
        <v>5576</v>
      </c>
      <c r="D65">
        <v>3560</v>
      </c>
      <c r="E65">
        <v>2016</v>
      </c>
      <c r="F65">
        <v>0</v>
      </c>
      <c r="G65">
        <v>28</v>
      </c>
      <c r="H65">
        <v>163</v>
      </c>
      <c r="I65">
        <v>131</v>
      </c>
      <c r="J65">
        <v>1465</v>
      </c>
      <c r="K65">
        <v>1943</v>
      </c>
      <c r="L65">
        <v>319</v>
      </c>
      <c r="M65">
        <v>234</v>
      </c>
      <c r="N65">
        <v>1068</v>
      </c>
      <c r="O65">
        <v>52</v>
      </c>
      <c r="P65">
        <v>3665000</v>
      </c>
      <c r="Q65">
        <v>3027000</v>
      </c>
      <c r="R65">
        <v>638000</v>
      </c>
      <c r="S65">
        <v>272000</v>
      </c>
      <c r="T65" s="153">
        <f t="shared" si="0"/>
        <v>8197215</v>
      </c>
      <c r="U65" s="153">
        <f t="shared" si="1"/>
        <v>3987417.5</v>
      </c>
      <c r="V65" s="153">
        <f t="shared" si="2"/>
        <v>3987417.5</v>
      </c>
      <c r="X65" t="s">
        <v>187</v>
      </c>
      <c r="Y65">
        <v>3350</v>
      </c>
      <c r="Z65">
        <v>2238</v>
      </c>
      <c r="AA65">
        <v>3026196928.6359525</v>
      </c>
      <c r="AB65">
        <v>672475961.53846157</v>
      </c>
      <c r="AC65" s="153">
        <f t="shared" ref="AC65:AC120" si="6">SUM(0.001952*AA65,2*0.001952*AB65)*140/120</f>
        <v>9954562.9849674534</v>
      </c>
      <c r="AD65" s="153">
        <f t="shared" ref="AD65:AD120" si="7">SUM(AC65,-Y65*1000,-Z65*1000)</f>
        <v>4366562.9849674534</v>
      </c>
      <c r="AE65" s="153">
        <f t="shared" ref="AE65:AE120" si="8">IF(AD65&gt;0,AD65,0)</f>
        <v>4366562.9849674534</v>
      </c>
    </row>
    <row r="66" spans="1:31" x14ac:dyDescent="0.25">
      <c r="A66" t="s">
        <v>602</v>
      </c>
      <c r="B66" t="s">
        <v>167</v>
      </c>
      <c r="C66">
        <v>2718</v>
      </c>
      <c r="D66">
        <v>1991</v>
      </c>
      <c r="E66">
        <v>727</v>
      </c>
      <c r="F66">
        <v>2</v>
      </c>
      <c r="G66">
        <v>0</v>
      </c>
      <c r="H66">
        <v>0</v>
      </c>
      <c r="I66">
        <v>0</v>
      </c>
      <c r="J66">
        <v>1741</v>
      </c>
      <c r="K66">
        <v>1837</v>
      </c>
      <c r="L66">
        <v>269</v>
      </c>
      <c r="M66">
        <v>0</v>
      </c>
      <c r="N66">
        <v>342</v>
      </c>
      <c r="O66">
        <v>15</v>
      </c>
      <c r="P66">
        <v>1579000</v>
      </c>
      <c r="Q66">
        <v>1333000</v>
      </c>
      <c r="R66">
        <v>246000</v>
      </c>
      <c r="S66">
        <v>174000</v>
      </c>
      <c r="T66" s="153">
        <f t="shared" ref="T66:T129" si="9">0.1905*SUM(Q66,R66,R66)*10</f>
        <v>3476625</v>
      </c>
      <c r="U66" s="153">
        <f t="shared" ref="U66:U129" si="10">SUM(T66*140/120,-C66*1000)</f>
        <v>1338062.5</v>
      </c>
      <c r="V66" s="153">
        <f t="shared" ref="V66:V129" si="11">IF(U66&gt;0,U66,0)</f>
        <v>1338062.5</v>
      </c>
      <c r="X66" t="s">
        <v>167</v>
      </c>
      <c r="Y66">
        <v>1915</v>
      </c>
      <c r="Z66">
        <v>906</v>
      </c>
      <c r="AA66">
        <v>1320689655.1724138</v>
      </c>
      <c r="AB66">
        <v>240957446.80851063</v>
      </c>
      <c r="AC66" s="153">
        <f t="shared" si="6"/>
        <v>4105131.4257764737</v>
      </c>
      <c r="AD66" s="153">
        <f t="shared" si="7"/>
        <v>1284131.4257764737</v>
      </c>
      <c r="AE66" s="153">
        <f t="shared" si="8"/>
        <v>1284131.4257764737</v>
      </c>
    </row>
    <row r="67" spans="1:31" x14ac:dyDescent="0.25">
      <c r="A67" t="s">
        <v>606</v>
      </c>
      <c r="B67" t="s">
        <v>266</v>
      </c>
      <c r="C67">
        <v>11279</v>
      </c>
      <c r="D67">
        <v>7834</v>
      </c>
      <c r="E67">
        <v>3445</v>
      </c>
      <c r="F67">
        <v>0</v>
      </c>
      <c r="G67">
        <v>63</v>
      </c>
      <c r="H67">
        <v>175</v>
      </c>
      <c r="I67">
        <v>336</v>
      </c>
      <c r="J67">
        <v>5107</v>
      </c>
      <c r="K67">
        <v>3997</v>
      </c>
      <c r="L67">
        <v>493</v>
      </c>
      <c r="M67">
        <v>481</v>
      </c>
      <c r="N67">
        <v>1338</v>
      </c>
      <c r="O67">
        <v>137</v>
      </c>
      <c r="P67">
        <v>7557000</v>
      </c>
      <c r="Q67">
        <v>6787000</v>
      </c>
      <c r="R67">
        <v>770000</v>
      </c>
      <c r="S67">
        <v>359000</v>
      </c>
      <c r="T67" s="153">
        <f t="shared" si="9"/>
        <v>15862935</v>
      </c>
      <c r="U67" s="153">
        <f t="shared" si="10"/>
        <v>7227757.5</v>
      </c>
      <c r="V67" s="153">
        <f t="shared" si="11"/>
        <v>7227757.5</v>
      </c>
      <c r="X67" t="s">
        <v>266</v>
      </c>
      <c r="Y67">
        <v>7651</v>
      </c>
      <c r="Z67">
        <v>3364</v>
      </c>
      <c r="AA67">
        <v>6764809902.7409372</v>
      </c>
      <c r="AB67">
        <v>706277556.16208279</v>
      </c>
      <c r="AC67" s="153">
        <f t="shared" si="6"/>
        <v>18622585.927641593</v>
      </c>
      <c r="AD67" s="153">
        <f t="shared" si="7"/>
        <v>7607585.9276415929</v>
      </c>
      <c r="AE67" s="153">
        <f t="shared" si="8"/>
        <v>7607585.9276415929</v>
      </c>
    </row>
    <row r="68" spans="1:31" x14ac:dyDescent="0.25">
      <c r="A68" t="s">
        <v>602</v>
      </c>
      <c r="B68" t="s">
        <v>611</v>
      </c>
      <c r="C68">
        <v>10728</v>
      </c>
      <c r="D68">
        <v>6596</v>
      </c>
      <c r="E68">
        <v>4132</v>
      </c>
      <c r="F68">
        <v>0</v>
      </c>
      <c r="G68">
        <v>76</v>
      </c>
      <c r="H68">
        <v>706</v>
      </c>
      <c r="I68">
        <v>1435</v>
      </c>
      <c r="J68">
        <v>4782</v>
      </c>
      <c r="K68">
        <v>4947</v>
      </c>
      <c r="L68">
        <v>813</v>
      </c>
      <c r="M68">
        <v>373</v>
      </c>
      <c r="N68">
        <v>904</v>
      </c>
      <c r="O68">
        <v>141</v>
      </c>
      <c r="P68">
        <v>5978000</v>
      </c>
      <c r="Q68">
        <v>4931000</v>
      </c>
      <c r="R68">
        <v>1047000</v>
      </c>
      <c r="S68">
        <v>205000</v>
      </c>
      <c r="T68" s="153">
        <f t="shared" si="9"/>
        <v>13382625</v>
      </c>
      <c r="U68" s="153">
        <f t="shared" si="10"/>
        <v>4885062.5</v>
      </c>
      <c r="V68" s="153">
        <f t="shared" si="11"/>
        <v>4885062.5</v>
      </c>
      <c r="X68" t="s">
        <v>611</v>
      </c>
      <c r="Y68">
        <v>6280</v>
      </c>
      <c r="Z68">
        <v>4444</v>
      </c>
      <c r="AA68">
        <v>4902419984.3871975</v>
      </c>
      <c r="AB68">
        <v>1050342708.5795319</v>
      </c>
      <c r="AC68" s="153">
        <f t="shared" si="6"/>
        <v>15948405.367788019</v>
      </c>
      <c r="AD68" s="153">
        <f t="shared" si="7"/>
        <v>5224405.3677880187</v>
      </c>
      <c r="AE68" s="153">
        <f t="shared" si="8"/>
        <v>5224405.3677880187</v>
      </c>
    </row>
    <row r="69" spans="1:31" x14ac:dyDescent="0.25">
      <c r="A69" t="s">
        <v>606</v>
      </c>
      <c r="B69" t="s">
        <v>267</v>
      </c>
      <c r="C69">
        <v>7734</v>
      </c>
      <c r="D69">
        <v>5643</v>
      </c>
      <c r="E69">
        <v>2091</v>
      </c>
      <c r="F69">
        <v>6</v>
      </c>
      <c r="G69">
        <v>2253</v>
      </c>
      <c r="H69">
        <v>202</v>
      </c>
      <c r="I69">
        <v>529</v>
      </c>
      <c r="J69">
        <v>4799</v>
      </c>
      <c r="K69">
        <v>3786</v>
      </c>
      <c r="L69">
        <v>557</v>
      </c>
      <c r="M69">
        <v>367</v>
      </c>
      <c r="N69">
        <v>1877</v>
      </c>
      <c r="O69">
        <v>169</v>
      </c>
      <c r="P69">
        <v>6832000</v>
      </c>
      <c r="Q69">
        <v>5900000</v>
      </c>
      <c r="R69">
        <v>932000</v>
      </c>
      <c r="S69">
        <v>322000</v>
      </c>
      <c r="T69" s="153">
        <f t="shared" si="9"/>
        <v>14790420</v>
      </c>
      <c r="U69" s="153">
        <f t="shared" si="10"/>
        <v>9521490</v>
      </c>
      <c r="V69" s="153">
        <f t="shared" si="11"/>
        <v>9521490</v>
      </c>
      <c r="X69" t="s">
        <v>267</v>
      </c>
      <c r="Y69">
        <v>5469</v>
      </c>
      <c r="Z69">
        <v>2300</v>
      </c>
      <c r="AA69">
        <v>5977049180.3278685</v>
      </c>
      <c r="AB69">
        <v>889748549.32301736</v>
      </c>
      <c r="AC69" s="153">
        <f t="shared" si="6"/>
        <v>17664241.3926499</v>
      </c>
      <c r="AD69" s="153">
        <f t="shared" si="7"/>
        <v>9895241.3926499002</v>
      </c>
      <c r="AE69" s="153">
        <f t="shared" si="8"/>
        <v>9895241.3926499002</v>
      </c>
    </row>
    <row r="70" spans="1:31" x14ac:dyDescent="0.25">
      <c r="A70" t="s">
        <v>598</v>
      </c>
      <c r="B70" t="s">
        <v>140</v>
      </c>
      <c r="C70">
        <v>4212</v>
      </c>
      <c r="D70">
        <v>2921</v>
      </c>
      <c r="E70">
        <v>1291</v>
      </c>
      <c r="F70">
        <v>0</v>
      </c>
      <c r="G70">
        <v>0</v>
      </c>
      <c r="H70">
        <v>316</v>
      </c>
      <c r="I70">
        <v>120</v>
      </c>
      <c r="J70">
        <v>2461</v>
      </c>
      <c r="K70">
        <v>1853</v>
      </c>
      <c r="L70">
        <v>297</v>
      </c>
      <c r="M70">
        <v>278</v>
      </c>
      <c r="N70">
        <v>777</v>
      </c>
      <c r="O70">
        <v>26</v>
      </c>
      <c r="P70">
        <v>2927000</v>
      </c>
      <c r="Q70">
        <v>2462000</v>
      </c>
      <c r="R70">
        <v>465000</v>
      </c>
      <c r="S70">
        <v>256000</v>
      </c>
      <c r="T70" s="153">
        <f t="shared" si="9"/>
        <v>6461760</v>
      </c>
      <c r="U70" s="153">
        <f t="shared" si="10"/>
        <v>3326720</v>
      </c>
      <c r="V70" s="153">
        <f t="shared" si="11"/>
        <v>3326720</v>
      </c>
      <c r="X70" t="s">
        <v>140</v>
      </c>
      <c r="Y70">
        <v>2896</v>
      </c>
      <c r="Z70">
        <v>1266</v>
      </c>
      <c r="AA70">
        <v>2505190311.4186854</v>
      </c>
      <c r="AB70">
        <v>394638403.99002492</v>
      </c>
      <c r="AC70" s="153">
        <f t="shared" si="6"/>
        <v>7502599.7865773868</v>
      </c>
      <c r="AD70" s="153">
        <f t="shared" si="7"/>
        <v>3340599.7865773868</v>
      </c>
      <c r="AE70" s="153">
        <f t="shared" si="8"/>
        <v>3340599.7865773868</v>
      </c>
    </row>
    <row r="71" spans="1:31" x14ac:dyDescent="0.25">
      <c r="A71" t="s">
        <v>603</v>
      </c>
      <c r="B71" t="s">
        <v>341</v>
      </c>
      <c r="C71">
        <v>26639</v>
      </c>
      <c r="D71">
        <v>13750</v>
      </c>
      <c r="E71">
        <v>12889</v>
      </c>
      <c r="F71">
        <v>5411</v>
      </c>
      <c r="G71">
        <v>2707</v>
      </c>
      <c r="H71">
        <v>669</v>
      </c>
      <c r="I71">
        <v>221</v>
      </c>
      <c r="J71">
        <v>11349</v>
      </c>
      <c r="K71">
        <v>14446</v>
      </c>
      <c r="L71">
        <v>1207</v>
      </c>
      <c r="M71">
        <v>0</v>
      </c>
      <c r="N71">
        <v>2585</v>
      </c>
      <c r="O71">
        <v>314</v>
      </c>
      <c r="P71">
        <v>12111000</v>
      </c>
      <c r="Q71">
        <v>9471000</v>
      </c>
      <c r="R71">
        <v>2640000</v>
      </c>
      <c r="S71">
        <v>191000</v>
      </c>
      <c r="T71" s="153">
        <f t="shared" si="9"/>
        <v>28100655</v>
      </c>
      <c r="U71" s="153">
        <f t="shared" si="10"/>
        <v>6145097.5</v>
      </c>
      <c r="V71" s="153">
        <f t="shared" si="11"/>
        <v>6145097.5</v>
      </c>
      <c r="X71" t="s">
        <v>341</v>
      </c>
      <c r="Y71">
        <v>13323</v>
      </c>
      <c r="Z71">
        <v>13366</v>
      </c>
      <c r="AA71">
        <v>9321998320.7388763</v>
      </c>
      <c r="AB71">
        <v>2618986969.7266583</v>
      </c>
      <c r="AC71" s="153">
        <f t="shared" si="6"/>
        <v>33157910.160544354</v>
      </c>
      <c r="AD71" s="153">
        <f t="shared" si="7"/>
        <v>6468910.1605443545</v>
      </c>
      <c r="AE71" s="153">
        <f t="shared" si="8"/>
        <v>6468910.1605443545</v>
      </c>
    </row>
    <row r="72" spans="1:31" x14ac:dyDescent="0.25">
      <c r="A72" t="s">
        <v>607</v>
      </c>
      <c r="B72" t="s">
        <v>146</v>
      </c>
      <c r="C72">
        <v>10635</v>
      </c>
      <c r="D72">
        <v>3172</v>
      </c>
      <c r="E72">
        <v>7463</v>
      </c>
      <c r="F72">
        <v>0</v>
      </c>
      <c r="G72">
        <v>468</v>
      </c>
      <c r="H72">
        <v>115</v>
      </c>
      <c r="I72">
        <v>216</v>
      </c>
      <c r="J72">
        <v>3081</v>
      </c>
      <c r="K72">
        <v>2834</v>
      </c>
      <c r="L72">
        <v>328</v>
      </c>
      <c r="M72">
        <v>150</v>
      </c>
      <c r="N72">
        <v>360</v>
      </c>
      <c r="O72">
        <v>35</v>
      </c>
      <c r="P72">
        <v>2320000</v>
      </c>
      <c r="Q72">
        <v>1438000</v>
      </c>
      <c r="R72">
        <v>882000</v>
      </c>
      <c r="S72">
        <v>126000</v>
      </c>
      <c r="T72" s="153">
        <f t="shared" si="9"/>
        <v>6099810</v>
      </c>
      <c r="U72" s="153">
        <f t="shared" si="10"/>
        <v>-3518555</v>
      </c>
      <c r="V72" s="153">
        <f t="shared" si="11"/>
        <v>0</v>
      </c>
      <c r="X72" t="s">
        <v>146</v>
      </c>
      <c r="Y72">
        <v>3046</v>
      </c>
      <c r="Z72">
        <v>7909</v>
      </c>
      <c r="AA72">
        <v>1447030878.8598573</v>
      </c>
      <c r="AB72">
        <v>916135758.13737977</v>
      </c>
      <c r="AC72" s="153">
        <f t="shared" si="6"/>
        <v>7468064.6545198997</v>
      </c>
      <c r="AD72" s="153">
        <f t="shared" si="7"/>
        <v>-3486935.3454801003</v>
      </c>
      <c r="AE72" s="153">
        <f t="shared" si="8"/>
        <v>0</v>
      </c>
    </row>
    <row r="73" spans="1:31" x14ac:dyDescent="0.25">
      <c r="A73" t="s">
        <v>600</v>
      </c>
      <c r="B73" t="s">
        <v>296</v>
      </c>
      <c r="C73">
        <v>13616</v>
      </c>
      <c r="D73">
        <v>6089</v>
      </c>
      <c r="E73">
        <v>7527</v>
      </c>
      <c r="F73">
        <v>579</v>
      </c>
      <c r="G73">
        <v>42</v>
      </c>
      <c r="H73">
        <v>705</v>
      </c>
      <c r="I73">
        <v>712</v>
      </c>
      <c r="J73">
        <v>3936</v>
      </c>
      <c r="K73">
        <v>9537</v>
      </c>
      <c r="L73">
        <v>834</v>
      </c>
      <c r="M73">
        <v>345</v>
      </c>
      <c r="N73">
        <v>909</v>
      </c>
      <c r="O73">
        <v>98</v>
      </c>
      <c r="P73">
        <v>5405000</v>
      </c>
      <c r="Q73">
        <v>4277000</v>
      </c>
      <c r="R73">
        <v>1128000</v>
      </c>
      <c r="S73">
        <v>146000</v>
      </c>
      <c r="T73" s="153">
        <f t="shared" si="9"/>
        <v>12445365</v>
      </c>
      <c r="U73" s="153">
        <f t="shared" si="10"/>
        <v>903592.5</v>
      </c>
      <c r="V73" s="153">
        <f t="shared" si="11"/>
        <v>903592.5</v>
      </c>
      <c r="X73" t="s">
        <v>296</v>
      </c>
      <c r="Y73">
        <v>5904</v>
      </c>
      <c r="Z73">
        <v>8069</v>
      </c>
      <c r="AA73">
        <v>4256669069.935112</v>
      </c>
      <c r="AB73">
        <v>1171457607.433217</v>
      </c>
      <c r="AC73" s="153">
        <f t="shared" si="6"/>
        <v>15029453.277921386</v>
      </c>
      <c r="AD73" s="153">
        <f t="shared" si="7"/>
        <v>1056453.2779213861</v>
      </c>
      <c r="AE73" s="153">
        <f t="shared" si="8"/>
        <v>1056453.2779213861</v>
      </c>
    </row>
    <row r="74" spans="1:31" x14ac:dyDescent="0.25">
      <c r="A74" t="s">
        <v>599</v>
      </c>
      <c r="B74" t="s">
        <v>417</v>
      </c>
      <c r="C74">
        <v>7987</v>
      </c>
      <c r="D74">
        <v>5157</v>
      </c>
      <c r="E74">
        <v>2830</v>
      </c>
      <c r="F74">
        <v>397</v>
      </c>
      <c r="G74">
        <v>0</v>
      </c>
      <c r="H74">
        <v>191</v>
      </c>
      <c r="I74">
        <v>218</v>
      </c>
      <c r="J74">
        <v>3743</v>
      </c>
      <c r="K74">
        <v>1848</v>
      </c>
      <c r="L74">
        <v>612</v>
      </c>
      <c r="M74">
        <v>87</v>
      </c>
      <c r="N74">
        <v>1088</v>
      </c>
      <c r="O74">
        <v>119</v>
      </c>
      <c r="P74">
        <v>4127000</v>
      </c>
      <c r="Q74">
        <v>3322000</v>
      </c>
      <c r="R74">
        <v>805000</v>
      </c>
      <c r="S74">
        <v>252000</v>
      </c>
      <c r="T74" s="153">
        <f t="shared" si="9"/>
        <v>9395460</v>
      </c>
      <c r="U74" s="153">
        <f t="shared" si="10"/>
        <v>2974370</v>
      </c>
      <c r="V74" s="153">
        <f t="shared" si="11"/>
        <v>2974370</v>
      </c>
      <c r="X74" t="s">
        <v>417</v>
      </c>
      <c r="Y74">
        <v>4973</v>
      </c>
      <c r="Z74">
        <v>3239</v>
      </c>
      <c r="AA74">
        <v>3317545030.0200129</v>
      </c>
      <c r="AB74">
        <v>835655314.75748193</v>
      </c>
      <c r="AC74" s="153">
        <f t="shared" si="6"/>
        <v>11361287.288647652</v>
      </c>
      <c r="AD74" s="153">
        <f t="shared" si="7"/>
        <v>3149287.2886476517</v>
      </c>
      <c r="AE74" s="153">
        <f t="shared" si="8"/>
        <v>3149287.2886476517</v>
      </c>
    </row>
    <row r="75" spans="1:31" x14ac:dyDescent="0.25">
      <c r="A75" t="s">
        <v>604</v>
      </c>
      <c r="B75" t="s">
        <v>188</v>
      </c>
      <c r="C75">
        <v>25974</v>
      </c>
      <c r="D75">
        <v>14049</v>
      </c>
      <c r="E75">
        <v>11925</v>
      </c>
      <c r="F75">
        <v>4807</v>
      </c>
      <c r="G75">
        <v>170</v>
      </c>
      <c r="H75">
        <v>130</v>
      </c>
      <c r="I75">
        <v>673</v>
      </c>
      <c r="J75">
        <v>7988</v>
      </c>
      <c r="K75">
        <v>10652</v>
      </c>
      <c r="L75">
        <v>1289</v>
      </c>
      <c r="M75">
        <v>150</v>
      </c>
      <c r="N75">
        <v>3079</v>
      </c>
      <c r="O75">
        <v>1187</v>
      </c>
      <c r="P75">
        <v>10620000</v>
      </c>
      <c r="Q75">
        <v>8749000</v>
      </c>
      <c r="R75">
        <v>1871000</v>
      </c>
      <c r="S75">
        <v>194000</v>
      </c>
      <c r="T75" s="153">
        <f t="shared" si="9"/>
        <v>23795355</v>
      </c>
      <c r="U75" s="153">
        <f t="shared" si="10"/>
        <v>1787247.5</v>
      </c>
      <c r="V75" s="153">
        <f t="shared" si="11"/>
        <v>1787247.5</v>
      </c>
      <c r="X75" t="s">
        <v>188</v>
      </c>
      <c r="Y75">
        <v>13038</v>
      </c>
      <c r="Z75">
        <v>13558</v>
      </c>
      <c r="AA75">
        <v>8433376455.3686943</v>
      </c>
      <c r="AB75">
        <v>1828702454.8152144</v>
      </c>
      <c r="AC75" s="153">
        <f t="shared" si="6"/>
        <v>27534739.428558003</v>
      </c>
      <c r="AD75" s="153">
        <f t="shared" si="7"/>
        <v>938739.42855800316</v>
      </c>
      <c r="AE75" s="153">
        <f t="shared" si="8"/>
        <v>938739.42855800316</v>
      </c>
    </row>
    <row r="76" spans="1:31" x14ac:dyDescent="0.25">
      <c r="A76" t="s">
        <v>600</v>
      </c>
      <c r="B76" t="s">
        <v>297</v>
      </c>
      <c r="C76">
        <v>6375</v>
      </c>
      <c r="D76">
        <v>3510</v>
      </c>
      <c r="E76">
        <v>2865</v>
      </c>
      <c r="F76">
        <v>465</v>
      </c>
      <c r="G76">
        <v>500</v>
      </c>
      <c r="H76">
        <v>400</v>
      </c>
      <c r="I76">
        <v>0</v>
      </c>
      <c r="J76">
        <v>3029</v>
      </c>
      <c r="K76">
        <v>3641</v>
      </c>
      <c r="L76">
        <v>421</v>
      </c>
      <c r="M76">
        <v>2</v>
      </c>
      <c r="N76">
        <v>1185</v>
      </c>
      <c r="O76">
        <v>60</v>
      </c>
      <c r="P76">
        <v>3887000</v>
      </c>
      <c r="Q76">
        <v>3315000</v>
      </c>
      <c r="R76">
        <v>572000</v>
      </c>
      <c r="S76">
        <v>235000</v>
      </c>
      <c r="T76" s="153">
        <f t="shared" si="9"/>
        <v>8494395</v>
      </c>
      <c r="U76" s="153">
        <f t="shared" si="10"/>
        <v>3535127.5</v>
      </c>
      <c r="V76" s="153">
        <f t="shared" si="11"/>
        <v>3535127.5</v>
      </c>
      <c r="X76" t="s">
        <v>297</v>
      </c>
      <c r="Y76">
        <v>3112</v>
      </c>
      <c r="Z76">
        <v>2975</v>
      </c>
      <c r="AA76">
        <v>3262054507.3375263</v>
      </c>
      <c r="AB76">
        <v>581395348.83720934</v>
      </c>
      <c r="AC76" s="153">
        <f t="shared" si="6"/>
        <v>10076847.480213871</v>
      </c>
      <c r="AD76" s="153">
        <f t="shared" si="7"/>
        <v>3989847.4802138712</v>
      </c>
      <c r="AE76" s="153">
        <f t="shared" si="8"/>
        <v>3989847.4802138712</v>
      </c>
    </row>
    <row r="77" spans="1:31" x14ac:dyDescent="0.25">
      <c r="A77" t="s">
        <v>604</v>
      </c>
      <c r="B77" t="s">
        <v>189</v>
      </c>
      <c r="C77">
        <v>6267</v>
      </c>
      <c r="D77">
        <v>3749</v>
      </c>
      <c r="E77">
        <v>2518</v>
      </c>
      <c r="F77">
        <v>0</v>
      </c>
      <c r="G77">
        <v>18</v>
      </c>
      <c r="H77">
        <v>305</v>
      </c>
      <c r="I77">
        <v>232</v>
      </c>
      <c r="J77">
        <v>3149</v>
      </c>
      <c r="K77">
        <v>1328</v>
      </c>
      <c r="L77">
        <v>272</v>
      </c>
      <c r="M77">
        <v>0</v>
      </c>
      <c r="N77">
        <v>678</v>
      </c>
      <c r="O77">
        <v>72</v>
      </c>
      <c r="P77">
        <v>3336000</v>
      </c>
      <c r="Q77">
        <v>2605000</v>
      </c>
      <c r="R77">
        <v>731000</v>
      </c>
      <c r="S77">
        <v>254000</v>
      </c>
      <c r="T77" s="153">
        <f t="shared" si="9"/>
        <v>7747635</v>
      </c>
      <c r="U77" s="153">
        <f t="shared" si="10"/>
        <v>2771907.5</v>
      </c>
      <c r="V77" s="153">
        <f t="shared" si="11"/>
        <v>2771907.5</v>
      </c>
      <c r="X77" t="s">
        <v>189</v>
      </c>
      <c r="Y77">
        <v>3738</v>
      </c>
      <c r="Z77">
        <v>2939</v>
      </c>
      <c r="AA77">
        <v>2599443671.7663422</v>
      </c>
      <c r="AB77">
        <v>734566358.41039741</v>
      </c>
      <c r="AC77" s="153">
        <f t="shared" si="6"/>
        <v>9265504.6289424393</v>
      </c>
      <c r="AD77" s="153">
        <f t="shared" si="7"/>
        <v>2588504.6289424393</v>
      </c>
      <c r="AE77" s="153">
        <f t="shared" si="8"/>
        <v>2588504.6289424393</v>
      </c>
    </row>
    <row r="78" spans="1:31" x14ac:dyDescent="0.25">
      <c r="A78" t="s">
        <v>601</v>
      </c>
      <c r="B78" t="s">
        <v>219</v>
      </c>
      <c r="C78">
        <v>2040</v>
      </c>
      <c r="D78">
        <v>1596</v>
      </c>
      <c r="E78">
        <v>444</v>
      </c>
      <c r="F78">
        <v>393</v>
      </c>
      <c r="G78">
        <v>202</v>
      </c>
      <c r="H78">
        <v>208</v>
      </c>
      <c r="I78">
        <v>98</v>
      </c>
      <c r="J78">
        <v>1207</v>
      </c>
      <c r="K78">
        <v>1271</v>
      </c>
      <c r="L78">
        <v>184</v>
      </c>
      <c r="M78">
        <v>63</v>
      </c>
      <c r="N78">
        <v>105</v>
      </c>
      <c r="O78">
        <v>27</v>
      </c>
      <c r="P78">
        <v>1134000</v>
      </c>
      <c r="Q78">
        <v>1003000</v>
      </c>
      <c r="R78">
        <v>131000</v>
      </c>
      <c r="S78">
        <v>190000</v>
      </c>
      <c r="T78" s="153">
        <f t="shared" si="9"/>
        <v>2409825</v>
      </c>
      <c r="U78" s="153">
        <f t="shared" si="10"/>
        <v>771462.5</v>
      </c>
      <c r="V78" s="153">
        <f t="shared" si="11"/>
        <v>771462.5</v>
      </c>
      <c r="X78" t="s">
        <v>219</v>
      </c>
      <c r="Y78">
        <v>1412</v>
      </c>
      <c r="Z78">
        <v>407</v>
      </c>
      <c r="AA78">
        <v>998656199.16542912</v>
      </c>
      <c r="AB78">
        <v>123760870.88730766</v>
      </c>
      <c r="AC78" s="153">
        <f t="shared" si="6"/>
        <v>2837962.5641674614</v>
      </c>
      <c r="AD78" s="153">
        <f t="shared" si="7"/>
        <v>1018962.5641674614</v>
      </c>
      <c r="AE78" s="153">
        <f t="shared" si="8"/>
        <v>1018962.5641674614</v>
      </c>
    </row>
    <row r="79" spans="1:31" x14ac:dyDescent="0.25">
      <c r="A79" t="s">
        <v>601</v>
      </c>
      <c r="B79" t="s">
        <v>220</v>
      </c>
      <c r="C79">
        <v>12104</v>
      </c>
      <c r="D79">
        <v>6768</v>
      </c>
      <c r="E79">
        <v>5336</v>
      </c>
      <c r="F79">
        <v>3195</v>
      </c>
      <c r="G79">
        <v>130</v>
      </c>
      <c r="H79">
        <v>0</v>
      </c>
      <c r="I79">
        <v>507</v>
      </c>
      <c r="J79">
        <v>5575</v>
      </c>
      <c r="K79">
        <v>5731</v>
      </c>
      <c r="L79">
        <v>892</v>
      </c>
      <c r="M79">
        <v>49</v>
      </c>
      <c r="N79">
        <v>1751</v>
      </c>
      <c r="O79">
        <v>230</v>
      </c>
      <c r="P79">
        <v>6244000</v>
      </c>
      <c r="Q79">
        <v>5049000</v>
      </c>
      <c r="R79">
        <v>1195000</v>
      </c>
      <c r="S79">
        <v>194000</v>
      </c>
      <c r="T79" s="153">
        <f t="shared" si="9"/>
        <v>14171295</v>
      </c>
      <c r="U79" s="153">
        <f t="shared" si="10"/>
        <v>4429177.5</v>
      </c>
      <c r="V79" s="153">
        <f t="shared" si="11"/>
        <v>4429177.5</v>
      </c>
      <c r="X79" t="s">
        <v>220</v>
      </c>
      <c r="Y79">
        <v>6556</v>
      </c>
      <c r="Z79">
        <v>5563</v>
      </c>
      <c r="AA79">
        <v>5050847457.6271191</v>
      </c>
      <c r="AB79">
        <v>1191475690.7260656</v>
      </c>
      <c r="AC79" s="153">
        <f t="shared" si="6"/>
        <v>16929237.889529813</v>
      </c>
      <c r="AD79" s="153">
        <f t="shared" si="7"/>
        <v>4810237.8895298131</v>
      </c>
      <c r="AE79" s="153">
        <f t="shared" si="8"/>
        <v>4810237.8895298131</v>
      </c>
    </row>
    <row r="80" spans="1:31" x14ac:dyDescent="0.25">
      <c r="A80" t="s">
        <v>599</v>
      </c>
      <c r="B80" t="s">
        <v>418</v>
      </c>
      <c r="C80">
        <v>4795</v>
      </c>
      <c r="D80">
        <v>3567</v>
      </c>
      <c r="E80">
        <v>1228</v>
      </c>
      <c r="F80">
        <v>1</v>
      </c>
      <c r="G80">
        <v>0</v>
      </c>
      <c r="H80">
        <v>0</v>
      </c>
      <c r="I80">
        <v>125</v>
      </c>
      <c r="J80">
        <v>1672</v>
      </c>
      <c r="K80">
        <v>2663</v>
      </c>
      <c r="L80">
        <v>320</v>
      </c>
      <c r="M80">
        <v>129</v>
      </c>
      <c r="N80">
        <v>547</v>
      </c>
      <c r="O80">
        <v>69</v>
      </c>
      <c r="P80">
        <v>3030000</v>
      </c>
      <c r="Q80">
        <v>2557000</v>
      </c>
      <c r="R80">
        <v>473000</v>
      </c>
      <c r="S80">
        <v>232000</v>
      </c>
      <c r="T80" s="153">
        <f t="shared" si="9"/>
        <v>6673215</v>
      </c>
      <c r="U80" s="153">
        <f t="shared" si="10"/>
        <v>2990417.5</v>
      </c>
      <c r="V80" s="153">
        <f t="shared" si="11"/>
        <v>2990417.5</v>
      </c>
      <c r="X80" t="s">
        <v>418</v>
      </c>
      <c r="Y80">
        <v>3483</v>
      </c>
      <c r="Z80">
        <v>1383</v>
      </c>
      <c r="AA80">
        <v>2509365994.236311</v>
      </c>
      <c r="AB80">
        <v>496232508.07319701</v>
      </c>
      <c r="AC80" s="153">
        <f t="shared" si="6"/>
        <v>7974836.4876448791</v>
      </c>
      <c r="AD80" s="153">
        <f t="shared" si="7"/>
        <v>3108836.4876448791</v>
      </c>
      <c r="AE80" s="153">
        <f t="shared" si="8"/>
        <v>3108836.4876448791</v>
      </c>
    </row>
    <row r="81" spans="1:31" x14ac:dyDescent="0.25">
      <c r="A81" t="s">
        <v>603</v>
      </c>
      <c r="B81" t="s">
        <v>342</v>
      </c>
      <c r="C81">
        <v>23980</v>
      </c>
      <c r="D81">
        <v>11966</v>
      </c>
      <c r="E81">
        <v>12014</v>
      </c>
      <c r="F81">
        <v>10475</v>
      </c>
      <c r="G81">
        <v>6270</v>
      </c>
      <c r="H81">
        <v>0</v>
      </c>
      <c r="I81">
        <v>1084</v>
      </c>
      <c r="J81">
        <v>11885</v>
      </c>
      <c r="K81">
        <v>15156</v>
      </c>
      <c r="L81">
        <v>1987</v>
      </c>
      <c r="M81">
        <v>2369</v>
      </c>
      <c r="N81">
        <v>1758</v>
      </c>
      <c r="O81">
        <v>1152</v>
      </c>
      <c r="P81">
        <v>12324000</v>
      </c>
      <c r="Q81">
        <v>9473000</v>
      </c>
      <c r="R81">
        <v>2851000</v>
      </c>
      <c r="S81">
        <v>173000</v>
      </c>
      <c r="T81" s="153">
        <f t="shared" si="9"/>
        <v>28908375</v>
      </c>
      <c r="U81" s="153">
        <f t="shared" si="10"/>
        <v>9746437.5</v>
      </c>
      <c r="V81" s="153">
        <f t="shared" si="11"/>
        <v>9746437.5</v>
      </c>
      <c r="X81" t="s">
        <v>342</v>
      </c>
      <c r="Y81">
        <v>11576</v>
      </c>
      <c r="Z81">
        <v>12550</v>
      </c>
      <c r="AA81">
        <v>9472995090.016367</v>
      </c>
      <c r="AB81">
        <v>2897714153.7751093</v>
      </c>
      <c r="AC81" s="153">
        <f t="shared" si="6"/>
        <v>34771289.550724968</v>
      </c>
      <c r="AD81" s="153">
        <f t="shared" si="7"/>
        <v>10645289.550724968</v>
      </c>
      <c r="AE81" s="153">
        <f t="shared" si="8"/>
        <v>10645289.550724968</v>
      </c>
    </row>
    <row r="82" spans="1:31" x14ac:dyDescent="0.25">
      <c r="A82" t="s">
        <v>600</v>
      </c>
      <c r="B82" t="s">
        <v>298</v>
      </c>
      <c r="C82">
        <v>2365</v>
      </c>
      <c r="D82">
        <v>1760</v>
      </c>
      <c r="E82">
        <v>605</v>
      </c>
      <c r="F82">
        <v>0</v>
      </c>
      <c r="G82">
        <v>0</v>
      </c>
      <c r="H82">
        <v>13</v>
      </c>
      <c r="I82">
        <v>15</v>
      </c>
      <c r="J82">
        <v>1350</v>
      </c>
      <c r="K82">
        <v>2870</v>
      </c>
      <c r="L82">
        <v>255</v>
      </c>
      <c r="M82">
        <v>64</v>
      </c>
      <c r="N82">
        <v>450</v>
      </c>
      <c r="O82">
        <v>25</v>
      </c>
      <c r="P82">
        <v>2216000</v>
      </c>
      <c r="Q82">
        <v>1923000</v>
      </c>
      <c r="R82">
        <v>293000</v>
      </c>
      <c r="S82">
        <v>244000</v>
      </c>
      <c r="T82" s="153">
        <f t="shared" si="9"/>
        <v>4779645</v>
      </c>
      <c r="U82" s="153">
        <f t="shared" si="10"/>
        <v>3211252.5</v>
      </c>
      <c r="V82" s="153">
        <f t="shared" si="11"/>
        <v>3211252.5</v>
      </c>
      <c r="X82" t="s">
        <v>298</v>
      </c>
      <c r="Y82">
        <v>1731</v>
      </c>
      <c r="Z82">
        <v>986</v>
      </c>
      <c r="AA82">
        <v>1851336898.3957219</v>
      </c>
      <c r="AB82">
        <v>292061611.37440759</v>
      </c>
      <c r="AC82" s="153">
        <f t="shared" si="6"/>
        <v>5546354.5158864921</v>
      </c>
      <c r="AD82" s="153">
        <f t="shared" si="7"/>
        <v>2829354.5158864921</v>
      </c>
      <c r="AE82" s="153">
        <f t="shared" si="8"/>
        <v>2829354.5158864921</v>
      </c>
    </row>
    <row r="83" spans="1:31" x14ac:dyDescent="0.25">
      <c r="A83" t="s">
        <v>599</v>
      </c>
      <c r="B83" t="s">
        <v>419</v>
      </c>
      <c r="C83">
        <v>4359</v>
      </c>
      <c r="D83">
        <v>3180</v>
      </c>
      <c r="E83">
        <v>1179</v>
      </c>
      <c r="F83">
        <v>6</v>
      </c>
      <c r="G83">
        <v>69</v>
      </c>
      <c r="H83">
        <v>110</v>
      </c>
      <c r="I83">
        <v>0</v>
      </c>
      <c r="J83">
        <v>3352</v>
      </c>
      <c r="K83">
        <v>2640</v>
      </c>
      <c r="L83">
        <v>266</v>
      </c>
      <c r="M83">
        <v>109</v>
      </c>
      <c r="N83">
        <v>544</v>
      </c>
      <c r="O83">
        <v>82</v>
      </c>
      <c r="P83">
        <v>3217000</v>
      </c>
      <c r="Q83">
        <v>2742000</v>
      </c>
      <c r="R83">
        <v>475000</v>
      </c>
      <c r="S83">
        <v>242000</v>
      </c>
      <c r="T83" s="153">
        <f t="shared" si="9"/>
        <v>7033260</v>
      </c>
      <c r="U83" s="153">
        <f t="shared" si="10"/>
        <v>3846470</v>
      </c>
      <c r="V83" s="153">
        <f t="shared" si="11"/>
        <v>3846470</v>
      </c>
      <c r="X83" t="s">
        <v>419</v>
      </c>
      <c r="Y83">
        <v>3006</v>
      </c>
      <c r="Z83">
        <v>1586</v>
      </c>
      <c r="AA83">
        <v>2705670567.0567055</v>
      </c>
      <c r="AB83">
        <v>472727272.72727269</v>
      </c>
      <c r="AC83" s="153">
        <f t="shared" si="6"/>
        <v>8314828.9228922874</v>
      </c>
      <c r="AD83" s="153">
        <f t="shared" si="7"/>
        <v>3722828.9228922874</v>
      </c>
      <c r="AE83" s="153">
        <f t="shared" si="8"/>
        <v>3722828.9228922874</v>
      </c>
    </row>
    <row r="84" spans="1:31" x14ac:dyDescent="0.25">
      <c r="A84" t="s">
        <v>605</v>
      </c>
      <c r="B84" t="s">
        <v>495</v>
      </c>
      <c r="C84">
        <v>9343</v>
      </c>
      <c r="D84">
        <v>5393</v>
      </c>
      <c r="E84">
        <v>3950</v>
      </c>
      <c r="F84">
        <v>8</v>
      </c>
      <c r="G84">
        <v>915</v>
      </c>
      <c r="H84">
        <v>1037</v>
      </c>
      <c r="I84">
        <v>323</v>
      </c>
      <c r="J84">
        <v>2373</v>
      </c>
      <c r="K84">
        <v>4255</v>
      </c>
      <c r="L84">
        <v>709</v>
      </c>
      <c r="M84">
        <v>375</v>
      </c>
      <c r="N84">
        <v>1097</v>
      </c>
      <c r="O84">
        <v>112</v>
      </c>
      <c r="P84">
        <v>4453000</v>
      </c>
      <c r="Q84">
        <v>3346000</v>
      </c>
      <c r="R84">
        <v>1107000</v>
      </c>
      <c r="S84">
        <v>206000</v>
      </c>
      <c r="T84" s="153">
        <f t="shared" si="9"/>
        <v>10591800</v>
      </c>
      <c r="U84" s="153">
        <f t="shared" si="10"/>
        <v>3014100</v>
      </c>
      <c r="V84" s="153">
        <f t="shared" si="11"/>
        <v>3014100</v>
      </c>
      <c r="X84" t="s">
        <v>495</v>
      </c>
      <c r="Y84">
        <v>5159</v>
      </c>
      <c r="Z84">
        <v>3988</v>
      </c>
      <c r="AA84">
        <v>3220349563.0461922</v>
      </c>
      <c r="AB84">
        <v>1035037633.0132365</v>
      </c>
      <c r="AC84" s="153">
        <f t="shared" si="6"/>
        <v>12048060.810741484</v>
      </c>
      <c r="AD84" s="153">
        <f t="shared" si="7"/>
        <v>2901060.8107414842</v>
      </c>
      <c r="AE84" s="153">
        <f t="shared" si="8"/>
        <v>2901060.8107414842</v>
      </c>
    </row>
    <row r="85" spans="1:31" x14ac:dyDescent="0.25">
      <c r="A85" t="s">
        <v>601</v>
      </c>
      <c r="B85" t="s">
        <v>221</v>
      </c>
      <c r="C85">
        <v>3278</v>
      </c>
      <c r="D85">
        <v>2241</v>
      </c>
      <c r="E85">
        <v>1037</v>
      </c>
      <c r="F85">
        <v>0</v>
      </c>
      <c r="G85">
        <v>0</v>
      </c>
      <c r="H85">
        <v>0</v>
      </c>
      <c r="I85">
        <v>196</v>
      </c>
      <c r="J85">
        <v>1806</v>
      </c>
      <c r="K85">
        <v>1275</v>
      </c>
      <c r="L85">
        <v>226</v>
      </c>
      <c r="M85">
        <v>21</v>
      </c>
      <c r="N85">
        <v>403</v>
      </c>
      <c r="O85">
        <v>65</v>
      </c>
      <c r="P85">
        <v>2066000</v>
      </c>
      <c r="Q85">
        <v>1718000</v>
      </c>
      <c r="R85">
        <v>348000</v>
      </c>
      <c r="S85">
        <v>226000</v>
      </c>
      <c r="T85" s="153">
        <f t="shared" si="9"/>
        <v>4598670</v>
      </c>
      <c r="U85" s="153">
        <f t="shared" si="10"/>
        <v>2087115</v>
      </c>
      <c r="V85" s="153">
        <f t="shared" si="11"/>
        <v>2087115</v>
      </c>
      <c r="X85" t="s">
        <v>221</v>
      </c>
      <c r="Y85">
        <v>2162</v>
      </c>
      <c r="Z85">
        <v>1080</v>
      </c>
      <c r="AA85">
        <v>1707740916.2717221</v>
      </c>
      <c r="AB85">
        <v>323159784.56014365</v>
      </c>
      <c r="AC85" s="153">
        <f t="shared" si="6"/>
        <v>5360980.4120660694</v>
      </c>
      <c r="AD85" s="153">
        <f t="shared" si="7"/>
        <v>2118980.4120660694</v>
      </c>
      <c r="AE85" s="153">
        <f t="shared" si="8"/>
        <v>2118980.4120660694</v>
      </c>
    </row>
    <row r="86" spans="1:31" x14ac:dyDescent="0.25">
      <c r="A86" t="s">
        <v>601</v>
      </c>
      <c r="B86" t="s">
        <v>222</v>
      </c>
      <c r="C86">
        <v>5693</v>
      </c>
      <c r="D86">
        <v>3611</v>
      </c>
      <c r="E86">
        <v>2082</v>
      </c>
      <c r="F86">
        <v>0</v>
      </c>
      <c r="G86">
        <v>266</v>
      </c>
      <c r="H86">
        <v>154</v>
      </c>
      <c r="I86">
        <v>230</v>
      </c>
      <c r="J86">
        <v>2204</v>
      </c>
      <c r="K86">
        <v>2460</v>
      </c>
      <c r="L86">
        <v>259</v>
      </c>
      <c r="M86">
        <v>65</v>
      </c>
      <c r="N86">
        <v>690</v>
      </c>
      <c r="O86">
        <v>95</v>
      </c>
      <c r="P86">
        <v>2900000</v>
      </c>
      <c r="Q86">
        <v>2209000</v>
      </c>
      <c r="R86">
        <v>691000</v>
      </c>
      <c r="S86">
        <v>209000</v>
      </c>
      <c r="T86" s="153">
        <f t="shared" si="9"/>
        <v>6840855</v>
      </c>
      <c r="U86" s="153">
        <f t="shared" si="10"/>
        <v>2287997.5</v>
      </c>
      <c r="V86" s="153">
        <f t="shared" si="11"/>
        <v>2287997.5</v>
      </c>
      <c r="X86" t="s">
        <v>222</v>
      </c>
      <c r="Y86">
        <v>3631</v>
      </c>
      <c r="Z86">
        <v>2277</v>
      </c>
      <c r="AA86">
        <v>2422281521.014009</v>
      </c>
      <c r="AB86">
        <v>702777777.77777767</v>
      </c>
      <c r="AC86" s="153">
        <f t="shared" si="6"/>
        <v>8717260.9690410886</v>
      </c>
      <c r="AD86" s="153">
        <f t="shared" si="7"/>
        <v>2809260.9690410886</v>
      </c>
      <c r="AE86" s="153">
        <f t="shared" si="8"/>
        <v>2809260.9690410886</v>
      </c>
    </row>
    <row r="87" spans="1:31" x14ac:dyDescent="0.25">
      <c r="A87" t="s">
        <v>608</v>
      </c>
      <c r="B87" t="s">
        <v>465</v>
      </c>
      <c r="C87">
        <v>6373</v>
      </c>
      <c r="D87">
        <v>4323</v>
      </c>
      <c r="E87">
        <v>2050</v>
      </c>
      <c r="F87">
        <v>0</v>
      </c>
      <c r="G87">
        <v>4</v>
      </c>
      <c r="H87">
        <v>254</v>
      </c>
      <c r="I87">
        <v>175</v>
      </c>
      <c r="J87">
        <v>4079</v>
      </c>
      <c r="K87">
        <v>3014</v>
      </c>
      <c r="L87">
        <v>585</v>
      </c>
      <c r="M87">
        <v>51</v>
      </c>
      <c r="N87">
        <v>584</v>
      </c>
      <c r="O87">
        <v>94</v>
      </c>
      <c r="P87">
        <v>3597000</v>
      </c>
      <c r="Q87">
        <v>2915000</v>
      </c>
      <c r="R87">
        <v>682000</v>
      </c>
      <c r="S87">
        <v>203000</v>
      </c>
      <c r="T87" s="153">
        <f t="shared" si="9"/>
        <v>8151495</v>
      </c>
      <c r="U87" s="153">
        <f t="shared" si="10"/>
        <v>3137077.5</v>
      </c>
      <c r="V87" s="153">
        <f t="shared" si="11"/>
        <v>3137077.5</v>
      </c>
      <c r="X87" t="s">
        <v>465</v>
      </c>
      <c r="Y87">
        <v>4136</v>
      </c>
      <c r="Z87">
        <v>2540</v>
      </c>
      <c r="AA87">
        <v>2890286512.9280224</v>
      </c>
      <c r="AB87">
        <v>647612248.54032266</v>
      </c>
      <c r="AC87" s="153">
        <f t="shared" si="6"/>
        <v>9531803.7401264049</v>
      </c>
      <c r="AD87" s="153">
        <f t="shared" si="7"/>
        <v>2855803.7401264049</v>
      </c>
      <c r="AE87" s="153">
        <f t="shared" si="8"/>
        <v>2855803.7401264049</v>
      </c>
    </row>
    <row r="88" spans="1:31" x14ac:dyDescent="0.25">
      <c r="A88" t="s">
        <v>600</v>
      </c>
      <c r="B88" t="s">
        <v>299</v>
      </c>
      <c r="C88">
        <v>5918</v>
      </c>
      <c r="D88">
        <v>3964</v>
      </c>
      <c r="E88">
        <v>1954</v>
      </c>
      <c r="F88">
        <v>46</v>
      </c>
      <c r="G88">
        <v>35</v>
      </c>
      <c r="H88">
        <v>634</v>
      </c>
      <c r="I88">
        <v>126</v>
      </c>
      <c r="J88">
        <v>3292</v>
      </c>
      <c r="K88">
        <v>3921</v>
      </c>
      <c r="L88">
        <v>432</v>
      </c>
      <c r="M88">
        <v>137</v>
      </c>
      <c r="N88">
        <v>609</v>
      </c>
      <c r="O88">
        <v>195</v>
      </c>
      <c r="P88">
        <v>4346000</v>
      </c>
      <c r="Q88">
        <v>3760000</v>
      </c>
      <c r="R88">
        <v>586000</v>
      </c>
      <c r="S88">
        <v>252000</v>
      </c>
      <c r="T88" s="153">
        <f t="shared" si="9"/>
        <v>9395460</v>
      </c>
      <c r="U88" s="153">
        <f t="shared" si="10"/>
        <v>5043370</v>
      </c>
      <c r="V88" s="153">
        <f t="shared" si="11"/>
        <v>5043370</v>
      </c>
      <c r="X88" t="s">
        <v>299</v>
      </c>
      <c r="Y88">
        <v>3895</v>
      </c>
      <c r="Z88">
        <v>2034</v>
      </c>
      <c r="AA88">
        <v>3811154598.8258319</v>
      </c>
      <c r="AB88">
        <v>601775147.92899418</v>
      </c>
      <c r="AC88" s="153">
        <f t="shared" si="6"/>
        <v>11420154.613493286</v>
      </c>
      <c r="AD88" s="153">
        <f t="shared" si="7"/>
        <v>5491154.6134932861</v>
      </c>
      <c r="AE88" s="153">
        <f t="shared" si="8"/>
        <v>5491154.6134932861</v>
      </c>
    </row>
    <row r="89" spans="1:31" x14ac:dyDescent="0.25">
      <c r="A89" t="s">
        <v>601</v>
      </c>
      <c r="B89" t="s">
        <v>223</v>
      </c>
      <c r="C89">
        <v>23708</v>
      </c>
      <c r="D89">
        <v>13460</v>
      </c>
      <c r="E89">
        <v>10248</v>
      </c>
      <c r="F89">
        <v>1461</v>
      </c>
      <c r="G89">
        <v>8120</v>
      </c>
      <c r="H89">
        <v>821</v>
      </c>
      <c r="I89">
        <v>1379</v>
      </c>
      <c r="J89">
        <v>10719</v>
      </c>
      <c r="K89">
        <v>10350</v>
      </c>
      <c r="L89">
        <v>2005</v>
      </c>
      <c r="M89">
        <v>1288</v>
      </c>
      <c r="N89">
        <v>4405</v>
      </c>
      <c r="O89">
        <v>320</v>
      </c>
      <c r="P89">
        <v>14293000</v>
      </c>
      <c r="Q89">
        <v>11382000</v>
      </c>
      <c r="R89">
        <v>2911000</v>
      </c>
      <c r="S89">
        <v>244000</v>
      </c>
      <c r="T89" s="153">
        <f t="shared" si="9"/>
        <v>32773620</v>
      </c>
      <c r="U89" s="153">
        <f t="shared" si="10"/>
        <v>14527890</v>
      </c>
      <c r="V89" s="153">
        <f t="shared" si="11"/>
        <v>14527890</v>
      </c>
      <c r="X89" t="s">
        <v>223</v>
      </c>
      <c r="Y89">
        <v>12258</v>
      </c>
      <c r="Z89">
        <v>11416</v>
      </c>
      <c r="AA89">
        <v>11235563703.024748</v>
      </c>
      <c r="AB89">
        <v>2961348897.5356684</v>
      </c>
      <c r="AC89" s="153">
        <f t="shared" si="6"/>
        <v>39075080.851664156</v>
      </c>
      <c r="AD89" s="153">
        <f t="shared" si="7"/>
        <v>15401080.851664156</v>
      </c>
      <c r="AE89" s="153">
        <f t="shared" si="8"/>
        <v>15401080.851664156</v>
      </c>
    </row>
    <row r="90" spans="1:31" x14ac:dyDescent="0.25">
      <c r="A90" t="s">
        <v>606</v>
      </c>
      <c r="B90" t="s">
        <v>268</v>
      </c>
      <c r="C90">
        <v>2115</v>
      </c>
      <c r="D90">
        <v>1582</v>
      </c>
      <c r="E90">
        <v>533</v>
      </c>
      <c r="F90">
        <v>0</v>
      </c>
      <c r="G90">
        <v>637</v>
      </c>
      <c r="H90">
        <v>85</v>
      </c>
      <c r="I90">
        <v>62</v>
      </c>
      <c r="J90">
        <v>738</v>
      </c>
      <c r="K90">
        <v>1167</v>
      </c>
      <c r="L90">
        <v>116</v>
      </c>
      <c r="M90">
        <v>24</v>
      </c>
      <c r="N90">
        <v>669</v>
      </c>
      <c r="O90">
        <v>32</v>
      </c>
      <c r="P90">
        <v>1403000</v>
      </c>
      <c r="Q90">
        <v>1228000</v>
      </c>
      <c r="R90">
        <v>175000</v>
      </c>
      <c r="S90">
        <v>322000</v>
      </c>
      <c r="T90" s="153">
        <f t="shared" si="9"/>
        <v>3006090</v>
      </c>
      <c r="U90" s="153">
        <f t="shared" si="10"/>
        <v>1392105</v>
      </c>
      <c r="V90" s="153">
        <f t="shared" si="11"/>
        <v>1392105</v>
      </c>
      <c r="X90" t="s">
        <v>268</v>
      </c>
      <c r="Y90">
        <v>1499</v>
      </c>
      <c r="Z90">
        <v>524</v>
      </c>
      <c r="AA90">
        <v>1224673202.6143789</v>
      </c>
      <c r="AB90">
        <v>176490400.80835298</v>
      </c>
      <c r="AC90" s="153">
        <f t="shared" si="6"/>
        <v>3592844.0523022572</v>
      </c>
      <c r="AD90" s="153">
        <f t="shared" si="7"/>
        <v>1569844.0523022572</v>
      </c>
      <c r="AE90" s="153">
        <f t="shared" si="8"/>
        <v>1569844.0523022572</v>
      </c>
    </row>
    <row r="91" spans="1:31" x14ac:dyDescent="0.25">
      <c r="A91" t="s">
        <v>599</v>
      </c>
      <c r="B91" t="s">
        <v>420</v>
      </c>
      <c r="C91">
        <v>3608</v>
      </c>
      <c r="D91">
        <v>2256</v>
      </c>
      <c r="E91">
        <v>1352</v>
      </c>
      <c r="F91">
        <v>6</v>
      </c>
      <c r="G91">
        <v>26</v>
      </c>
      <c r="H91">
        <v>380</v>
      </c>
      <c r="I91">
        <v>115</v>
      </c>
      <c r="J91">
        <v>1961</v>
      </c>
      <c r="K91">
        <v>1057</v>
      </c>
      <c r="L91">
        <v>273</v>
      </c>
      <c r="M91">
        <v>0</v>
      </c>
      <c r="N91">
        <v>490</v>
      </c>
      <c r="O91">
        <v>163</v>
      </c>
      <c r="P91">
        <v>2798000</v>
      </c>
      <c r="Q91">
        <v>2311000</v>
      </c>
      <c r="R91">
        <v>487000</v>
      </c>
      <c r="S91">
        <v>295000</v>
      </c>
      <c r="T91" s="153">
        <f t="shared" si="9"/>
        <v>6257925</v>
      </c>
      <c r="U91" s="153">
        <f t="shared" si="10"/>
        <v>3692912.5</v>
      </c>
      <c r="V91" s="153">
        <f t="shared" si="11"/>
        <v>3692912.5</v>
      </c>
      <c r="X91" t="s">
        <v>420</v>
      </c>
      <c r="Y91">
        <v>2179</v>
      </c>
      <c r="Z91">
        <v>1386</v>
      </c>
      <c r="AA91">
        <v>2303382663.8477802</v>
      </c>
      <c r="AB91">
        <v>477766287.48707336</v>
      </c>
      <c r="AC91" s="153">
        <f t="shared" si="6"/>
        <v>7421636.3038771339</v>
      </c>
      <c r="AD91" s="153">
        <f t="shared" si="7"/>
        <v>3856636.3038771339</v>
      </c>
      <c r="AE91" s="153">
        <f t="shared" si="8"/>
        <v>3856636.3038771339</v>
      </c>
    </row>
    <row r="92" spans="1:31" x14ac:dyDescent="0.25">
      <c r="A92" t="s">
        <v>608</v>
      </c>
      <c r="B92" t="s">
        <v>466</v>
      </c>
      <c r="C92">
        <v>5177</v>
      </c>
      <c r="D92">
        <v>4140</v>
      </c>
      <c r="E92">
        <v>1037</v>
      </c>
      <c r="F92">
        <v>0</v>
      </c>
      <c r="G92">
        <v>5</v>
      </c>
      <c r="H92">
        <v>373</v>
      </c>
      <c r="I92">
        <v>172</v>
      </c>
      <c r="J92">
        <v>3195</v>
      </c>
      <c r="K92">
        <v>2327</v>
      </c>
      <c r="L92">
        <v>316</v>
      </c>
      <c r="M92">
        <v>75</v>
      </c>
      <c r="N92">
        <v>551</v>
      </c>
      <c r="O92">
        <v>36</v>
      </c>
      <c r="P92">
        <v>3098000</v>
      </c>
      <c r="Q92">
        <v>2682000</v>
      </c>
      <c r="R92">
        <v>416000</v>
      </c>
      <c r="S92">
        <v>245000</v>
      </c>
      <c r="T92" s="153">
        <f t="shared" si="9"/>
        <v>6694170</v>
      </c>
      <c r="U92" s="153">
        <f t="shared" si="10"/>
        <v>2632865</v>
      </c>
      <c r="V92" s="153">
        <f t="shared" si="11"/>
        <v>2632865</v>
      </c>
      <c r="X92" t="s">
        <v>466</v>
      </c>
      <c r="Y92">
        <v>3933</v>
      </c>
      <c r="Z92">
        <v>1023</v>
      </c>
      <c r="AA92">
        <v>2579016393.4426231</v>
      </c>
      <c r="AB92">
        <v>342828418.23056298</v>
      </c>
      <c r="AC92" s="153">
        <f t="shared" si="6"/>
        <v>7434749.1689008046</v>
      </c>
      <c r="AD92" s="153">
        <f t="shared" si="7"/>
        <v>2478749.1689008046</v>
      </c>
      <c r="AE92" s="153">
        <f t="shared" si="8"/>
        <v>2478749.1689008046</v>
      </c>
    </row>
    <row r="93" spans="1:31" x14ac:dyDescent="0.25">
      <c r="A93" t="s">
        <v>599</v>
      </c>
      <c r="B93" t="s">
        <v>421</v>
      </c>
      <c r="C93">
        <v>72035</v>
      </c>
      <c r="D93">
        <v>34046</v>
      </c>
      <c r="E93">
        <v>37989</v>
      </c>
      <c r="F93">
        <v>15064</v>
      </c>
      <c r="G93">
        <v>1039</v>
      </c>
      <c r="H93">
        <v>2342</v>
      </c>
      <c r="I93">
        <v>1858</v>
      </c>
      <c r="J93">
        <v>17764</v>
      </c>
      <c r="K93">
        <v>21422</v>
      </c>
      <c r="L93">
        <v>2823</v>
      </c>
      <c r="M93">
        <v>635</v>
      </c>
      <c r="N93">
        <v>5796</v>
      </c>
      <c r="O93">
        <v>1155</v>
      </c>
      <c r="P93">
        <v>32571000</v>
      </c>
      <c r="Q93">
        <v>24795000</v>
      </c>
      <c r="R93">
        <v>7776000</v>
      </c>
      <c r="S93">
        <v>226000</v>
      </c>
      <c r="T93" s="153">
        <f t="shared" si="9"/>
        <v>76861035</v>
      </c>
      <c r="U93" s="153">
        <f t="shared" si="10"/>
        <v>17636207.5</v>
      </c>
      <c r="V93" s="153">
        <f t="shared" si="11"/>
        <v>17636207.5</v>
      </c>
      <c r="X93" t="s">
        <v>421</v>
      </c>
      <c r="Y93">
        <v>27240</v>
      </c>
      <c r="Z93">
        <v>29704</v>
      </c>
      <c r="AA93">
        <v>24615940719.320442</v>
      </c>
      <c r="AB93">
        <v>6848500219.0302725</v>
      </c>
      <c r="AC93" s="153">
        <f t="shared" si="6"/>
        <v>87251337.995742306</v>
      </c>
      <c r="AD93" s="153">
        <f t="shared" si="7"/>
        <v>30307337.995742306</v>
      </c>
      <c r="AE93" s="153">
        <f t="shared" si="8"/>
        <v>30307337.995742306</v>
      </c>
    </row>
    <row r="94" spans="1:31" x14ac:dyDescent="0.25">
      <c r="A94" t="s">
        <v>601</v>
      </c>
      <c r="B94" t="s">
        <v>224</v>
      </c>
      <c r="C94">
        <v>3642</v>
      </c>
      <c r="D94">
        <v>2330</v>
      </c>
      <c r="E94">
        <v>1312</v>
      </c>
      <c r="F94">
        <v>29</v>
      </c>
      <c r="G94">
        <v>1021</v>
      </c>
      <c r="H94">
        <v>189</v>
      </c>
      <c r="I94">
        <v>78</v>
      </c>
      <c r="J94">
        <v>2147</v>
      </c>
      <c r="K94">
        <v>1822</v>
      </c>
      <c r="L94">
        <v>244</v>
      </c>
      <c r="M94">
        <v>426</v>
      </c>
      <c r="N94">
        <v>489</v>
      </c>
      <c r="O94">
        <v>277</v>
      </c>
      <c r="P94">
        <v>2570000</v>
      </c>
      <c r="Q94">
        <v>2116000</v>
      </c>
      <c r="R94">
        <v>454000</v>
      </c>
      <c r="S94">
        <v>234000</v>
      </c>
      <c r="T94" s="153">
        <f t="shared" si="9"/>
        <v>5760720</v>
      </c>
      <c r="U94" s="153">
        <f t="shared" si="10"/>
        <v>3078840</v>
      </c>
      <c r="V94" s="153">
        <f t="shared" si="11"/>
        <v>3078840</v>
      </c>
      <c r="X94" t="s">
        <v>224</v>
      </c>
      <c r="Y94">
        <v>2250</v>
      </c>
      <c r="Z94">
        <v>1478</v>
      </c>
      <c r="AA94">
        <v>2064220183.4862385</v>
      </c>
      <c r="AB94">
        <v>453374233.12883443</v>
      </c>
      <c r="AC94" s="153">
        <f t="shared" si="6"/>
        <v>6765885.9383501252</v>
      </c>
      <c r="AD94" s="153">
        <f t="shared" si="7"/>
        <v>3037885.9383501252</v>
      </c>
      <c r="AE94" s="153">
        <f t="shared" si="8"/>
        <v>3037885.9383501252</v>
      </c>
    </row>
    <row r="95" spans="1:31" x14ac:dyDescent="0.25">
      <c r="A95" t="s">
        <v>598</v>
      </c>
      <c r="B95" t="s">
        <v>133</v>
      </c>
      <c r="C95">
        <v>25550</v>
      </c>
      <c r="D95">
        <v>15194</v>
      </c>
      <c r="E95">
        <v>10356</v>
      </c>
      <c r="F95">
        <v>4280</v>
      </c>
      <c r="G95">
        <v>54</v>
      </c>
      <c r="H95">
        <v>488</v>
      </c>
      <c r="I95">
        <v>283</v>
      </c>
      <c r="J95">
        <v>9746</v>
      </c>
      <c r="K95">
        <v>12683</v>
      </c>
      <c r="L95">
        <v>1199</v>
      </c>
      <c r="M95">
        <v>679</v>
      </c>
      <c r="N95">
        <v>2141</v>
      </c>
      <c r="O95">
        <v>227</v>
      </c>
      <c r="P95">
        <v>9344000</v>
      </c>
      <c r="Q95">
        <v>7245000</v>
      </c>
      <c r="R95">
        <v>2099000</v>
      </c>
      <c r="S95">
        <v>150000</v>
      </c>
      <c r="T95" s="153">
        <f t="shared" si="9"/>
        <v>21798915</v>
      </c>
      <c r="U95" s="153">
        <f t="shared" si="10"/>
        <v>-117932.5</v>
      </c>
      <c r="V95" s="153">
        <f t="shared" si="11"/>
        <v>0</v>
      </c>
      <c r="X95" t="s">
        <v>133</v>
      </c>
      <c r="Y95">
        <v>14506</v>
      </c>
      <c r="Z95">
        <v>11755</v>
      </c>
      <c r="AA95">
        <v>7062317429.4060373</v>
      </c>
      <c r="AB95">
        <v>2031628067.7497406</v>
      </c>
      <c r="AC95" s="153">
        <f t="shared" si="6"/>
        <v>25336639.531811498</v>
      </c>
      <c r="AD95" s="153">
        <f t="shared" si="7"/>
        <v>-924360.46818850189</v>
      </c>
      <c r="AE95" s="153">
        <f t="shared" si="8"/>
        <v>0</v>
      </c>
    </row>
    <row r="96" spans="1:31" x14ac:dyDescent="0.25">
      <c r="A96" t="s">
        <v>600</v>
      </c>
      <c r="B96" t="s">
        <v>300</v>
      </c>
      <c r="C96">
        <v>3793</v>
      </c>
      <c r="D96">
        <v>1729</v>
      </c>
      <c r="E96">
        <v>2064</v>
      </c>
      <c r="F96">
        <v>148</v>
      </c>
      <c r="G96">
        <v>49</v>
      </c>
      <c r="H96">
        <v>510</v>
      </c>
      <c r="I96">
        <v>2</v>
      </c>
      <c r="J96">
        <v>1425</v>
      </c>
      <c r="K96">
        <v>3086</v>
      </c>
      <c r="L96">
        <v>268</v>
      </c>
      <c r="M96">
        <v>234</v>
      </c>
      <c r="N96">
        <v>391</v>
      </c>
      <c r="O96">
        <v>638</v>
      </c>
      <c r="P96">
        <v>2004000</v>
      </c>
      <c r="Q96">
        <v>1609000</v>
      </c>
      <c r="R96">
        <v>395000</v>
      </c>
      <c r="S96">
        <v>189000</v>
      </c>
      <c r="T96" s="153">
        <f t="shared" si="9"/>
        <v>4570095</v>
      </c>
      <c r="U96" s="153">
        <f t="shared" si="10"/>
        <v>1538777.5</v>
      </c>
      <c r="V96" s="153">
        <f t="shared" si="11"/>
        <v>1538777.5</v>
      </c>
      <c r="X96" t="s">
        <v>300</v>
      </c>
      <c r="Y96">
        <v>1676</v>
      </c>
      <c r="Z96">
        <v>2207</v>
      </c>
      <c r="AA96">
        <v>1564892623.7161534</v>
      </c>
      <c r="AB96">
        <v>408930887.53010929</v>
      </c>
      <c r="AC96" s="153">
        <f t="shared" si="6"/>
        <v>5426326.0174800577</v>
      </c>
      <c r="AD96" s="153">
        <f t="shared" si="7"/>
        <v>1543326.0174800577</v>
      </c>
      <c r="AE96" s="153">
        <f t="shared" si="8"/>
        <v>1543326.0174800577</v>
      </c>
    </row>
    <row r="97" spans="1:31" x14ac:dyDescent="0.25">
      <c r="A97" t="s">
        <v>604</v>
      </c>
      <c r="B97" t="s">
        <v>190</v>
      </c>
      <c r="C97">
        <v>48655</v>
      </c>
      <c r="D97">
        <v>21830</v>
      </c>
      <c r="E97">
        <v>26825</v>
      </c>
      <c r="F97">
        <v>13068</v>
      </c>
      <c r="G97">
        <v>255</v>
      </c>
      <c r="H97">
        <v>300</v>
      </c>
      <c r="I97">
        <v>1062</v>
      </c>
      <c r="J97">
        <v>18105</v>
      </c>
      <c r="K97">
        <v>17503</v>
      </c>
      <c r="L97">
        <v>2001</v>
      </c>
      <c r="M97">
        <v>541</v>
      </c>
      <c r="N97">
        <v>4270</v>
      </c>
      <c r="O97">
        <v>452</v>
      </c>
      <c r="P97">
        <v>15492000</v>
      </c>
      <c r="Q97">
        <v>12018000</v>
      </c>
      <c r="R97">
        <v>3474000</v>
      </c>
      <c r="S97">
        <v>167000</v>
      </c>
      <c r="T97" s="153">
        <f t="shared" si="9"/>
        <v>36130230</v>
      </c>
      <c r="U97" s="153">
        <f t="shared" si="10"/>
        <v>-6503065</v>
      </c>
      <c r="V97" s="153">
        <f t="shared" si="11"/>
        <v>0</v>
      </c>
      <c r="X97" t="s">
        <v>190</v>
      </c>
      <c r="Y97">
        <v>19368</v>
      </c>
      <c r="Z97">
        <v>24316</v>
      </c>
      <c r="AA97">
        <v>11962940086.473133</v>
      </c>
      <c r="AB97">
        <v>3117435897.4358974</v>
      </c>
      <c r="AC97" s="153">
        <f t="shared" si="6"/>
        <v>41442483.591116175</v>
      </c>
      <c r="AD97" s="153">
        <f t="shared" si="7"/>
        <v>-2241516.4088838249</v>
      </c>
      <c r="AE97" s="153">
        <f t="shared" si="8"/>
        <v>0</v>
      </c>
    </row>
    <row r="98" spans="1:31" x14ac:dyDescent="0.25">
      <c r="A98" t="s">
        <v>601</v>
      </c>
      <c r="B98" t="s">
        <v>225</v>
      </c>
      <c r="C98">
        <v>5611</v>
      </c>
      <c r="D98">
        <v>4111</v>
      </c>
      <c r="E98">
        <v>1500</v>
      </c>
      <c r="F98">
        <v>0</v>
      </c>
      <c r="G98">
        <v>2436</v>
      </c>
      <c r="H98">
        <v>718</v>
      </c>
      <c r="I98">
        <v>394</v>
      </c>
      <c r="J98">
        <v>2614</v>
      </c>
      <c r="K98">
        <v>3203</v>
      </c>
      <c r="L98">
        <v>390</v>
      </c>
      <c r="M98">
        <v>763</v>
      </c>
      <c r="N98">
        <v>1084</v>
      </c>
      <c r="O98">
        <v>117</v>
      </c>
      <c r="P98">
        <v>4570000</v>
      </c>
      <c r="Q98">
        <v>3898000</v>
      </c>
      <c r="R98">
        <v>672000</v>
      </c>
      <c r="S98">
        <v>275000</v>
      </c>
      <c r="T98" s="153">
        <f t="shared" si="9"/>
        <v>9986010</v>
      </c>
      <c r="U98" s="153">
        <f t="shared" si="10"/>
        <v>6039345</v>
      </c>
      <c r="V98" s="153">
        <f t="shared" si="11"/>
        <v>6039345</v>
      </c>
      <c r="X98" t="s">
        <v>225</v>
      </c>
      <c r="Y98">
        <v>3980</v>
      </c>
      <c r="Z98">
        <v>1701</v>
      </c>
      <c r="AA98">
        <v>3944499504.4598608</v>
      </c>
      <c r="AB98">
        <v>669421487.60330582</v>
      </c>
      <c r="AC98" s="153">
        <f t="shared" si="6"/>
        <v>12031931.940360446</v>
      </c>
      <c r="AD98" s="153">
        <f t="shared" si="7"/>
        <v>6350931.9403604455</v>
      </c>
      <c r="AE98" s="153">
        <f t="shared" si="8"/>
        <v>6350931.9403604455</v>
      </c>
    </row>
    <row r="99" spans="1:31" x14ac:dyDescent="0.25">
      <c r="A99" t="s">
        <v>601</v>
      </c>
      <c r="B99" t="s">
        <v>226</v>
      </c>
      <c r="C99">
        <v>6421</v>
      </c>
      <c r="D99">
        <v>3309</v>
      </c>
      <c r="E99">
        <v>3112</v>
      </c>
      <c r="F99">
        <v>0</v>
      </c>
      <c r="G99">
        <v>1374</v>
      </c>
      <c r="H99">
        <v>398</v>
      </c>
      <c r="I99">
        <v>1021</v>
      </c>
      <c r="J99">
        <v>2866</v>
      </c>
      <c r="K99">
        <v>1771</v>
      </c>
      <c r="L99">
        <v>474</v>
      </c>
      <c r="M99">
        <v>380</v>
      </c>
      <c r="N99">
        <v>632</v>
      </c>
      <c r="O99">
        <v>49</v>
      </c>
      <c r="P99">
        <v>3726000</v>
      </c>
      <c r="Q99">
        <v>3064000</v>
      </c>
      <c r="R99">
        <v>662000</v>
      </c>
      <c r="S99">
        <v>282000</v>
      </c>
      <c r="T99" s="153">
        <f t="shared" si="9"/>
        <v>8359140</v>
      </c>
      <c r="U99" s="153">
        <f t="shared" si="10"/>
        <v>3331330</v>
      </c>
      <c r="V99" s="153">
        <f t="shared" si="11"/>
        <v>3331330</v>
      </c>
      <c r="X99" t="s">
        <v>226</v>
      </c>
      <c r="Y99">
        <v>3103</v>
      </c>
      <c r="Z99">
        <v>3170</v>
      </c>
      <c r="AA99">
        <v>3006782945.7364345</v>
      </c>
      <c r="AB99">
        <v>592744951.38369489</v>
      </c>
      <c r="AC99" s="153">
        <f t="shared" si="6"/>
        <v>9547202.7003260441</v>
      </c>
      <c r="AD99" s="153">
        <f t="shared" si="7"/>
        <v>3274202.7003260441</v>
      </c>
      <c r="AE99" s="153">
        <f t="shared" si="8"/>
        <v>3274202.7003260441</v>
      </c>
    </row>
    <row r="100" spans="1:31" x14ac:dyDescent="0.25">
      <c r="A100" t="s">
        <v>599</v>
      </c>
      <c r="B100" t="s">
        <v>422</v>
      </c>
      <c r="C100">
        <v>8274</v>
      </c>
      <c r="D100">
        <v>4865</v>
      </c>
      <c r="E100">
        <v>3409</v>
      </c>
      <c r="F100">
        <v>2192</v>
      </c>
      <c r="G100">
        <v>36</v>
      </c>
      <c r="H100">
        <v>0</v>
      </c>
      <c r="I100">
        <v>230</v>
      </c>
      <c r="J100">
        <v>4069</v>
      </c>
      <c r="K100">
        <v>4233</v>
      </c>
      <c r="L100">
        <v>571</v>
      </c>
      <c r="M100">
        <v>114</v>
      </c>
      <c r="N100">
        <v>867</v>
      </c>
      <c r="O100">
        <v>226</v>
      </c>
      <c r="P100">
        <v>5534000</v>
      </c>
      <c r="Q100">
        <v>4451000</v>
      </c>
      <c r="R100">
        <v>1083000</v>
      </c>
      <c r="S100">
        <v>239000</v>
      </c>
      <c r="T100" s="153">
        <f t="shared" si="9"/>
        <v>12605385</v>
      </c>
      <c r="U100" s="153">
        <f t="shared" si="10"/>
        <v>6432282.5</v>
      </c>
      <c r="V100" s="153">
        <f t="shared" si="11"/>
        <v>6432282.5</v>
      </c>
      <c r="X100" t="s">
        <v>422</v>
      </c>
      <c r="Y100">
        <v>4763</v>
      </c>
      <c r="Z100">
        <v>3835</v>
      </c>
      <c r="AA100">
        <v>4385819521.1786375</v>
      </c>
      <c r="AB100">
        <v>1087326339.6654379</v>
      </c>
      <c r="AC100" s="153">
        <f t="shared" si="6"/>
        <v>14940382.024627</v>
      </c>
      <c r="AD100" s="153">
        <f t="shared" si="7"/>
        <v>6342382.0246270001</v>
      </c>
      <c r="AE100" s="153">
        <f t="shared" si="8"/>
        <v>6342382.0246270001</v>
      </c>
    </row>
    <row r="101" spans="1:31" x14ac:dyDescent="0.25">
      <c r="A101" t="s">
        <v>599</v>
      </c>
      <c r="B101" t="s">
        <v>423</v>
      </c>
      <c r="C101">
        <v>5742</v>
      </c>
      <c r="D101">
        <v>2608</v>
      </c>
      <c r="E101">
        <v>3134</v>
      </c>
      <c r="F101">
        <v>0</v>
      </c>
      <c r="G101">
        <v>600</v>
      </c>
      <c r="H101">
        <v>0</v>
      </c>
      <c r="I101">
        <v>89</v>
      </c>
      <c r="J101">
        <v>2493</v>
      </c>
      <c r="K101">
        <v>2139</v>
      </c>
      <c r="L101">
        <v>314</v>
      </c>
      <c r="M101">
        <v>48</v>
      </c>
      <c r="N101">
        <v>346</v>
      </c>
      <c r="O101">
        <v>62</v>
      </c>
      <c r="P101">
        <v>2805000</v>
      </c>
      <c r="Q101">
        <v>2031000</v>
      </c>
      <c r="R101">
        <v>774000</v>
      </c>
      <c r="S101">
        <v>214000</v>
      </c>
      <c r="T101" s="153">
        <f t="shared" si="9"/>
        <v>6817995</v>
      </c>
      <c r="U101" s="153">
        <f t="shared" si="10"/>
        <v>2212327.5</v>
      </c>
      <c r="V101" s="153">
        <f t="shared" si="11"/>
        <v>2212327.5</v>
      </c>
      <c r="X101" t="s">
        <v>423</v>
      </c>
      <c r="Y101">
        <v>2483</v>
      </c>
      <c r="Z101">
        <v>2985</v>
      </c>
      <c r="AA101">
        <v>2084802686.8178003</v>
      </c>
      <c r="AB101">
        <v>745132301.54767859</v>
      </c>
      <c r="AC101" s="153">
        <f t="shared" si="6"/>
        <v>8141619.9082288956</v>
      </c>
      <c r="AD101" s="153">
        <f t="shared" si="7"/>
        <v>2673619.9082288956</v>
      </c>
      <c r="AE101" s="153">
        <f t="shared" si="8"/>
        <v>2673619.9082288956</v>
      </c>
    </row>
    <row r="102" spans="1:31" x14ac:dyDescent="0.25">
      <c r="A102" t="s">
        <v>599</v>
      </c>
      <c r="B102" t="s">
        <v>424</v>
      </c>
      <c r="C102">
        <v>5141</v>
      </c>
      <c r="D102">
        <v>3502</v>
      </c>
      <c r="E102">
        <v>1639</v>
      </c>
      <c r="F102">
        <v>413</v>
      </c>
      <c r="G102">
        <v>0</v>
      </c>
      <c r="H102">
        <v>477</v>
      </c>
      <c r="I102">
        <v>298</v>
      </c>
      <c r="J102">
        <v>3637</v>
      </c>
      <c r="K102">
        <v>3836</v>
      </c>
      <c r="L102">
        <v>411</v>
      </c>
      <c r="M102">
        <v>1</v>
      </c>
      <c r="N102">
        <v>748</v>
      </c>
      <c r="O102">
        <v>136</v>
      </c>
      <c r="P102">
        <v>4861000</v>
      </c>
      <c r="Q102">
        <v>4250000</v>
      </c>
      <c r="R102">
        <v>611000</v>
      </c>
      <c r="S102">
        <v>241000</v>
      </c>
      <c r="T102" s="153">
        <f t="shared" si="9"/>
        <v>10424160</v>
      </c>
      <c r="U102" s="153">
        <f t="shared" si="10"/>
        <v>7020520</v>
      </c>
      <c r="V102" s="153">
        <f t="shared" si="11"/>
        <v>7020520</v>
      </c>
      <c r="X102" t="s">
        <v>424</v>
      </c>
      <c r="Y102">
        <v>3328</v>
      </c>
      <c r="Z102">
        <v>1574</v>
      </c>
      <c r="AA102">
        <v>4144458281.4445829</v>
      </c>
      <c r="AB102">
        <v>570083303.15103221</v>
      </c>
      <c r="AC102" s="153">
        <f t="shared" si="6"/>
        <v>12034852.411028365</v>
      </c>
      <c r="AD102" s="153">
        <f t="shared" si="7"/>
        <v>7132852.4110283647</v>
      </c>
      <c r="AE102" s="153">
        <f t="shared" si="8"/>
        <v>7132852.4110283647</v>
      </c>
    </row>
    <row r="103" spans="1:31" x14ac:dyDescent="0.25">
      <c r="A103" t="s">
        <v>599</v>
      </c>
      <c r="B103" t="s">
        <v>425</v>
      </c>
      <c r="C103">
        <v>7788</v>
      </c>
      <c r="D103">
        <v>5119</v>
      </c>
      <c r="E103">
        <v>2669</v>
      </c>
      <c r="F103">
        <v>5</v>
      </c>
      <c r="G103">
        <v>0</v>
      </c>
      <c r="H103">
        <v>310</v>
      </c>
      <c r="I103">
        <v>200</v>
      </c>
      <c r="J103">
        <v>2339</v>
      </c>
      <c r="K103">
        <v>2184</v>
      </c>
      <c r="L103">
        <v>391</v>
      </c>
      <c r="M103">
        <v>42</v>
      </c>
      <c r="N103">
        <v>1175</v>
      </c>
      <c r="O103">
        <v>153</v>
      </c>
      <c r="P103">
        <v>3650000</v>
      </c>
      <c r="Q103">
        <v>2972000</v>
      </c>
      <c r="R103">
        <v>678000</v>
      </c>
      <c r="S103">
        <v>250000</v>
      </c>
      <c r="T103" s="153">
        <f t="shared" si="9"/>
        <v>8244840</v>
      </c>
      <c r="U103" s="153">
        <f t="shared" si="10"/>
        <v>1830980</v>
      </c>
      <c r="V103" s="153">
        <f t="shared" si="11"/>
        <v>1830980</v>
      </c>
      <c r="X103" t="s">
        <v>425</v>
      </c>
      <c r="Y103">
        <v>4865</v>
      </c>
      <c r="Z103">
        <v>2573</v>
      </c>
      <c r="AA103">
        <v>3008099919.6191182</v>
      </c>
      <c r="AB103">
        <v>643426942.40916252</v>
      </c>
      <c r="AC103" s="153">
        <f t="shared" si="6"/>
        <v>9781041.4639722053</v>
      </c>
      <c r="AD103" s="153">
        <f t="shared" si="7"/>
        <v>2343041.4639722053</v>
      </c>
      <c r="AE103" s="153">
        <f t="shared" si="8"/>
        <v>2343041.4639722053</v>
      </c>
    </row>
    <row r="104" spans="1:31" x14ac:dyDescent="0.25">
      <c r="A104" t="s">
        <v>608</v>
      </c>
      <c r="B104" t="s">
        <v>467</v>
      </c>
      <c r="C104">
        <v>3022</v>
      </c>
      <c r="D104">
        <v>1995</v>
      </c>
      <c r="E104">
        <v>1027</v>
      </c>
      <c r="F104">
        <v>5</v>
      </c>
      <c r="G104">
        <v>0</v>
      </c>
      <c r="H104">
        <v>1418</v>
      </c>
      <c r="I104">
        <v>103</v>
      </c>
      <c r="J104">
        <v>1996</v>
      </c>
      <c r="K104">
        <v>1041</v>
      </c>
      <c r="L104">
        <v>185</v>
      </c>
      <c r="M104">
        <v>45</v>
      </c>
      <c r="N104">
        <v>230</v>
      </c>
      <c r="O104">
        <v>70</v>
      </c>
      <c r="P104">
        <v>2045000</v>
      </c>
      <c r="Q104">
        <v>1578000</v>
      </c>
      <c r="R104">
        <v>467000</v>
      </c>
      <c r="S104">
        <v>221000</v>
      </c>
      <c r="T104" s="153">
        <f t="shared" si="9"/>
        <v>4785360</v>
      </c>
      <c r="U104" s="153">
        <f t="shared" si="10"/>
        <v>2560920</v>
      </c>
      <c r="V104" s="153">
        <f t="shared" si="11"/>
        <v>2560920</v>
      </c>
      <c r="X104" t="s">
        <v>467</v>
      </c>
      <c r="Y104">
        <v>1891</v>
      </c>
      <c r="Z104">
        <v>1442</v>
      </c>
      <c r="AA104">
        <v>1562809917.355372</v>
      </c>
      <c r="AB104">
        <v>427259259.25925922</v>
      </c>
      <c r="AC104" s="153">
        <f t="shared" si="6"/>
        <v>5505062.6246301401</v>
      </c>
      <c r="AD104" s="153">
        <f t="shared" si="7"/>
        <v>2172062.6246301401</v>
      </c>
      <c r="AE104" s="153">
        <f t="shared" si="8"/>
        <v>2172062.6246301401</v>
      </c>
    </row>
    <row r="105" spans="1:31" x14ac:dyDescent="0.25">
      <c r="A105" t="s">
        <v>599</v>
      </c>
      <c r="B105" t="s">
        <v>426</v>
      </c>
      <c r="C105">
        <v>6080</v>
      </c>
      <c r="D105">
        <v>2806</v>
      </c>
      <c r="E105">
        <v>3274</v>
      </c>
      <c r="F105">
        <v>0</v>
      </c>
      <c r="G105">
        <v>0</v>
      </c>
      <c r="H105">
        <v>221</v>
      </c>
      <c r="I105">
        <v>125</v>
      </c>
      <c r="J105">
        <v>1588</v>
      </c>
      <c r="K105">
        <v>1704</v>
      </c>
      <c r="L105">
        <v>311</v>
      </c>
      <c r="M105">
        <v>0</v>
      </c>
      <c r="N105">
        <v>480</v>
      </c>
      <c r="O105">
        <v>97</v>
      </c>
      <c r="P105">
        <v>3459000</v>
      </c>
      <c r="Q105">
        <v>2602000</v>
      </c>
      <c r="R105">
        <v>857000</v>
      </c>
      <c r="S105">
        <v>237000</v>
      </c>
      <c r="T105" s="153">
        <f t="shared" si="9"/>
        <v>8221980</v>
      </c>
      <c r="U105" s="153">
        <f t="shared" si="10"/>
        <v>3512310</v>
      </c>
      <c r="V105" s="153">
        <f t="shared" si="11"/>
        <v>3512310</v>
      </c>
      <c r="X105" t="s">
        <v>426</v>
      </c>
      <c r="Y105">
        <v>2591</v>
      </c>
      <c r="Z105">
        <v>3429</v>
      </c>
      <c r="AA105">
        <v>2604020100.5025125</v>
      </c>
      <c r="AB105">
        <v>869642404.26071537</v>
      </c>
      <c r="AC105" s="153">
        <f t="shared" si="6"/>
        <v>9891153.046150526</v>
      </c>
      <c r="AD105" s="153">
        <f t="shared" si="7"/>
        <v>3871153.046150526</v>
      </c>
      <c r="AE105" s="153">
        <f t="shared" si="8"/>
        <v>3871153.046150526</v>
      </c>
    </row>
    <row r="106" spans="1:31" x14ac:dyDescent="0.25">
      <c r="A106" t="s">
        <v>603</v>
      </c>
      <c r="B106" t="s">
        <v>344</v>
      </c>
      <c r="C106">
        <v>8507</v>
      </c>
      <c r="D106">
        <v>6402</v>
      </c>
      <c r="E106">
        <v>2105</v>
      </c>
      <c r="F106">
        <v>12</v>
      </c>
      <c r="G106">
        <v>15</v>
      </c>
      <c r="H106">
        <v>1800</v>
      </c>
      <c r="I106">
        <v>1203</v>
      </c>
      <c r="J106">
        <v>6182</v>
      </c>
      <c r="K106">
        <v>4514</v>
      </c>
      <c r="L106">
        <v>519</v>
      </c>
      <c r="M106">
        <v>997</v>
      </c>
      <c r="N106">
        <v>1421</v>
      </c>
      <c r="O106">
        <v>282</v>
      </c>
      <c r="P106">
        <v>6351000</v>
      </c>
      <c r="Q106">
        <v>5270000</v>
      </c>
      <c r="R106">
        <v>1081000</v>
      </c>
      <c r="S106">
        <v>217000</v>
      </c>
      <c r="T106" s="153">
        <f t="shared" si="9"/>
        <v>14157960</v>
      </c>
      <c r="U106" s="153">
        <f t="shared" si="10"/>
        <v>8010620</v>
      </c>
      <c r="V106" s="153">
        <f t="shared" si="11"/>
        <v>8010620</v>
      </c>
      <c r="X106" t="s">
        <v>344</v>
      </c>
      <c r="Y106">
        <v>6272</v>
      </c>
      <c r="Z106">
        <v>2307</v>
      </c>
      <c r="AA106">
        <v>5412495685.1915779</v>
      </c>
      <c r="AB106">
        <v>1067067530.064755</v>
      </c>
      <c r="AC106" s="153">
        <f t="shared" si="6"/>
        <v>17186193.750677891</v>
      </c>
      <c r="AD106" s="153">
        <f t="shared" si="7"/>
        <v>8607193.7506778911</v>
      </c>
      <c r="AE106" s="153">
        <f t="shared" si="8"/>
        <v>8607193.7506778911</v>
      </c>
    </row>
    <row r="107" spans="1:31" x14ac:dyDescent="0.25">
      <c r="A107" t="s">
        <v>610</v>
      </c>
      <c r="B107" t="s">
        <v>390</v>
      </c>
      <c r="C107">
        <v>10270</v>
      </c>
      <c r="D107">
        <v>5590</v>
      </c>
      <c r="E107">
        <v>4680</v>
      </c>
      <c r="F107">
        <v>3772</v>
      </c>
      <c r="G107">
        <v>1114</v>
      </c>
      <c r="H107">
        <v>272</v>
      </c>
      <c r="I107">
        <v>473</v>
      </c>
      <c r="J107">
        <v>3908</v>
      </c>
      <c r="K107">
        <v>3593</v>
      </c>
      <c r="L107">
        <v>736</v>
      </c>
      <c r="M107">
        <v>502</v>
      </c>
      <c r="N107">
        <v>1010</v>
      </c>
      <c r="O107">
        <v>398</v>
      </c>
      <c r="P107">
        <v>4811000</v>
      </c>
      <c r="Q107">
        <v>3676000</v>
      </c>
      <c r="R107">
        <v>1135000</v>
      </c>
      <c r="S107">
        <v>209000</v>
      </c>
      <c r="T107" s="153">
        <f t="shared" si="9"/>
        <v>11327130</v>
      </c>
      <c r="U107" s="153">
        <f t="shared" si="10"/>
        <v>2944985</v>
      </c>
      <c r="V107" s="153">
        <f t="shared" si="11"/>
        <v>2944985</v>
      </c>
      <c r="X107" t="s">
        <v>390</v>
      </c>
      <c r="Y107">
        <v>5383</v>
      </c>
      <c r="Z107">
        <v>5082</v>
      </c>
      <c r="AA107">
        <v>3666893732.970027</v>
      </c>
      <c r="AB107">
        <v>1121854304.6357617</v>
      </c>
      <c r="AC107" s="153">
        <f t="shared" si="6"/>
        <v>13460411.734064758</v>
      </c>
      <c r="AD107" s="153">
        <f t="shared" si="7"/>
        <v>2995411.7340647578</v>
      </c>
      <c r="AE107" s="153">
        <f t="shared" si="8"/>
        <v>2995411.7340647578</v>
      </c>
    </row>
    <row r="108" spans="1:31" x14ac:dyDescent="0.25">
      <c r="A108" t="s">
        <v>599</v>
      </c>
      <c r="B108" t="s">
        <v>427</v>
      </c>
      <c r="C108">
        <v>4773</v>
      </c>
      <c r="D108">
        <v>3223</v>
      </c>
      <c r="E108">
        <v>1550</v>
      </c>
      <c r="F108">
        <v>63</v>
      </c>
      <c r="G108">
        <v>16</v>
      </c>
      <c r="H108">
        <v>25</v>
      </c>
      <c r="I108">
        <v>358</v>
      </c>
      <c r="J108">
        <v>2266</v>
      </c>
      <c r="K108">
        <v>1909</v>
      </c>
      <c r="L108">
        <v>252</v>
      </c>
      <c r="M108">
        <v>0</v>
      </c>
      <c r="N108">
        <v>796</v>
      </c>
      <c r="O108">
        <v>190</v>
      </c>
      <c r="P108">
        <v>3013000</v>
      </c>
      <c r="Q108">
        <v>2648000</v>
      </c>
      <c r="R108">
        <v>365000</v>
      </c>
      <c r="S108">
        <v>261000</v>
      </c>
      <c r="T108" s="153">
        <f t="shared" si="9"/>
        <v>6435090</v>
      </c>
      <c r="U108" s="153">
        <f t="shared" si="10"/>
        <v>2734605</v>
      </c>
      <c r="V108" s="153">
        <f t="shared" si="11"/>
        <v>2734605</v>
      </c>
      <c r="X108" t="s">
        <v>427</v>
      </c>
      <c r="Y108">
        <v>3102</v>
      </c>
      <c r="Z108">
        <v>1553</v>
      </c>
      <c r="AA108">
        <v>2631043256.9974551</v>
      </c>
      <c r="AB108">
        <v>358577695.68229043</v>
      </c>
      <c r="AC108" s="153">
        <f t="shared" si="6"/>
        <v>7624964.3885364765</v>
      </c>
      <c r="AD108" s="153">
        <f t="shared" si="7"/>
        <v>2969964.3885364765</v>
      </c>
      <c r="AE108" s="153">
        <f t="shared" si="8"/>
        <v>2969964.3885364765</v>
      </c>
    </row>
    <row r="109" spans="1:31" x14ac:dyDescent="0.25">
      <c r="A109" t="s">
        <v>600</v>
      </c>
      <c r="B109" t="s">
        <v>563</v>
      </c>
      <c r="C109">
        <v>10358</v>
      </c>
      <c r="D109">
        <v>7949</v>
      </c>
      <c r="E109">
        <v>2409</v>
      </c>
      <c r="F109">
        <v>2476</v>
      </c>
      <c r="G109">
        <v>2209</v>
      </c>
      <c r="H109">
        <v>220</v>
      </c>
      <c r="I109">
        <v>244</v>
      </c>
      <c r="J109">
        <v>5574</v>
      </c>
      <c r="K109">
        <v>5985</v>
      </c>
      <c r="L109">
        <v>742</v>
      </c>
      <c r="M109">
        <v>798</v>
      </c>
      <c r="N109">
        <v>1161</v>
      </c>
      <c r="O109">
        <v>176</v>
      </c>
      <c r="P109">
        <v>10419000</v>
      </c>
      <c r="Q109">
        <v>9465000</v>
      </c>
      <c r="R109">
        <v>954000</v>
      </c>
      <c r="S109">
        <v>368000</v>
      </c>
      <c r="T109" s="153">
        <f t="shared" si="9"/>
        <v>21665565</v>
      </c>
      <c r="U109" s="153">
        <f t="shared" si="10"/>
        <v>14918492.5</v>
      </c>
      <c r="V109" s="153">
        <f t="shared" si="11"/>
        <v>14918492.5</v>
      </c>
      <c r="X109" t="s">
        <v>563</v>
      </c>
      <c r="Y109">
        <v>7845</v>
      </c>
      <c r="Z109">
        <v>2516</v>
      </c>
      <c r="AA109">
        <v>9613970588.2352924</v>
      </c>
      <c r="AB109">
        <v>996041171.81314325</v>
      </c>
      <c r="AC109" s="153">
        <f t="shared" si="6"/>
        <v>26430851.210159432</v>
      </c>
      <c r="AD109" s="153">
        <f t="shared" si="7"/>
        <v>16069851.210159432</v>
      </c>
      <c r="AE109" s="153">
        <f t="shared" si="8"/>
        <v>16069851.210159432</v>
      </c>
    </row>
    <row r="110" spans="1:31" x14ac:dyDescent="0.25">
      <c r="A110" t="s">
        <v>603</v>
      </c>
      <c r="B110" t="s">
        <v>345</v>
      </c>
      <c r="C110">
        <v>9710</v>
      </c>
      <c r="D110">
        <v>4524</v>
      </c>
      <c r="E110">
        <v>5186</v>
      </c>
      <c r="F110">
        <v>2317</v>
      </c>
      <c r="G110">
        <v>489</v>
      </c>
      <c r="H110">
        <v>0</v>
      </c>
      <c r="I110">
        <v>316</v>
      </c>
      <c r="J110">
        <v>3971</v>
      </c>
      <c r="K110">
        <v>3913</v>
      </c>
      <c r="L110">
        <v>448</v>
      </c>
      <c r="M110">
        <v>126</v>
      </c>
      <c r="N110">
        <v>1061</v>
      </c>
      <c r="O110">
        <v>1509</v>
      </c>
      <c r="P110">
        <v>4172000</v>
      </c>
      <c r="Q110">
        <v>3226000</v>
      </c>
      <c r="R110">
        <v>946000</v>
      </c>
      <c r="S110">
        <v>200000</v>
      </c>
      <c r="T110" s="153">
        <f t="shared" si="9"/>
        <v>9749790</v>
      </c>
      <c r="U110" s="153">
        <f t="shared" si="10"/>
        <v>1664755</v>
      </c>
      <c r="V110" s="153">
        <f t="shared" si="11"/>
        <v>1664755</v>
      </c>
      <c r="X110" t="s">
        <v>345</v>
      </c>
      <c r="Y110">
        <v>4337</v>
      </c>
      <c r="Z110">
        <v>5466</v>
      </c>
      <c r="AA110">
        <v>3295592705.1671734</v>
      </c>
      <c r="AB110">
        <v>970353275.34173632</v>
      </c>
      <c r="AC110" s="153">
        <f t="shared" si="6"/>
        <v>11924798.838657206</v>
      </c>
      <c r="AD110" s="153">
        <f t="shared" si="7"/>
        <v>2121798.8386572059</v>
      </c>
      <c r="AE110" s="153">
        <f t="shared" si="8"/>
        <v>2121798.8386572059</v>
      </c>
    </row>
    <row r="111" spans="1:31" x14ac:dyDescent="0.25">
      <c r="A111" t="s">
        <v>603</v>
      </c>
      <c r="B111" t="s">
        <v>346</v>
      </c>
      <c r="C111">
        <v>14508</v>
      </c>
      <c r="D111">
        <v>7349</v>
      </c>
      <c r="E111">
        <v>7159</v>
      </c>
      <c r="F111">
        <v>3745</v>
      </c>
      <c r="G111">
        <v>2314</v>
      </c>
      <c r="H111">
        <v>114</v>
      </c>
      <c r="I111">
        <v>243</v>
      </c>
      <c r="J111">
        <v>16481</v>
      </c>
      <c r="K111">
        <v>8647</v>
      </c>
      <c r="L111">
        <v>834</v>
      </c>
      <c r="M111">
        <v>0</v>
      </c>
      <c r="N111">
        <v>1484</v>
      </c>
      <c r="O111">
        <v>270</v>
      </c>
      <c r="P111">
        <v>7673000</v>
      </c>
      <c r="Q111">
        <v>6158000</v>
      </c>
      <c r="R111">
        <v>1515000</v>
      </c>
      <c r="S111">
        <v>188000</v>
      </c>
      <c r="T111" s="153">
        <f t="shared" si="9"/>
        <v>17503140</v>
      </c>
      <c r="U111" s="153">
        <f t="shared" si="10"/>
        <v>5912330</v>
      </c>
      <c r="V111" s="153">
        <f t="shared" si="11"/>
        <v>5912330</v>
      </c>
      <c r="X111" t="s">
        <v>346</v>
      </c>
      <c r="Y111">
        <v>6880</v>
      </c>
      <c r="Z111">
        <v>8546</v>
      </c>
      <c r="AA111">
        <v>5987815491.7319403</v>
      </c>
      <c r="AB111">
        <v>1521181915.2723389</v>
      </c>
      <c r="AC111" s="153">
        <f t="shared" si="6"/>
        <v>20564728.376597948</v>
      </c>
      <c r="AD111" s="153">
        <f t="shared" si="7"/>
        <v>5138728.3765979484</v>
      </c>
      <c r="AE111" s="153">
        <f t="shared" si="8"/>
        <v>5138728.3765979484</v>
      </c>
    </row>
    <row r="112" spans="1:31" x14ac:dyDescent="0.25">
      <c r="A112" t="s">
        <v>599</v>
      </c>
      <c r="B112" t="s">
        <v>428</v>
      </c>
      <c r="C112">
        <v>2618</v>
      </c>
      <c r="D112">
        <v>1826</v>
      </c>
      <c r="E112">
        <v>792</v>
      </c>
      <c r="F112">
        <v>10</v>
      </c>
      <c r="G112">
        <v>0</v>
      </c>
      <c r="H112">
        <v>0</v>
      </c>
      <c r="I112">
        <v>99</v>
      </c>
      <c r="J112">
        <v>1130</v>
      </c>
      <c r="K112">
        <v>899</v>
      </c>
      <c r="L112">
        <v>129</v>
      </c>
      <c r="M112">
        <v>61</v>
      </c>
      <c r="N112">
        <v>337</v>
      </c>
      <c r="O112">
        <v>35</v>
      </c>
      <c r="P112">
        <v>1334000</v>
      </c>
      <c r="Q112">
        <v>1135000</v>
      </c>
      <c r="R112">
        <v>199000</v>
      </c>
      <c r="S112">
        <v>210000</v>
      </c>
      <c r="T112" s="153">
        <f t="shared" si="9"/>
        <v>2920365</v>
      </c>
      <c r="U112" s="153">
        <f t="shared" si="10"/>
        <v>789092.5</v>
      </c>
      <c r="V112" s="153">
        <f t="shared" si="11"/>
        <v>789092.5</v>
      </c>
      <c r="X112" t="s">
        <v>428</v>
      </c>
      <c r="Y112">
        <v>1794</v>
      </c>
      <c r="Z112">
        <v>910</v>
      </c>
      <c r="AA112">
        <v>1113594040.9683425</v>
      </c>
      <c r="AB112">
        <v>202132385.60639715</v>
      </c>
      <c r="AC112" s="153">
        <f t="shared" si="6"/>
        <v>3456670.4682738422</v>
      </c>
      <c r="AD112" s="153">
        <f t="shared" si="7"/>
        <v>752670.46827384224</v>
      </c>
      <c r="AE112" s="153">
        <f t="shared" si="8"/>
        <v>752670.46827384224</v>
      </c>
    </row>
    <row r="113" spans="1:31" x14ac:dyDescent="0.25">
      <c r="A113" t="s">
        <v>607</v>
      </c>
      <c r="B113" t="s">
        <v>148</v>
      </c>
      <c r="C113">
        <v>72545</v>
      </c>
      <c r="D113">
        <v>32495</v>
      </c>
      <c r="E113">
        <v>40050</v>
      </c>
      <c r="F113">
        <v>15021</v>
      </c>
      <c r="G113">
        <v>652</v>
      </c>
      <c r="H113">
        <v>1434</v>
      </c>
      <c r="I113">
        <v>1017</v>
      </c>
      <c r="J113">
        <v>19617</v>
      </c>
      <c r="K113">
        <v>28317</v>
      </c>
      <c r="L113">
        <v>3962</v>
      </c>
      <c r="M113">
        <v>1615</v>
      </c>
      <c r="N113">
        <v>8214</v>
      </c>
      <c r="O113">
        <v>1117</v>
      </c>
      <c r="P113">
        <v>25171000</v>
      </c>
      <c r="Q113">
        <v>19610000</v>
      </c>
      <c r="R113">
        <v>5561000</v>
      </c>
      <c r="S113" s="154">
        <v>175000</v>
      </c>
      <c r="T113" s="153">
        <f t="shared" si="9"/>
        <v>58544460</v>
      </c>
      <c r="U113" s="153">
        <f t="shared" si="10"/>
        <v>-4243130</v>
      </c>
      <c r="V113" s="153">
        <f t="shared" si="11"/>
        <v>0</v>
      </c>
      <c r="X113" t="s">
        <v>148</v>
      </c>
      <c r="Y113">
        <v>31858</v>
      </c>
      <c r="Z113">
        <v>51194</v>
      </c>
      <c r="AA113">
        <v>19538149584.664799</v>
      </c>
      <c r="AB113">
        <v>5928950295.5334558</v>
      </c>
      <c r="AC113">
        <v>71499271.600199685</v>
      </c>
      <c r="AD113">
        <v>-11552728.399800315</v>
      </c>
      <c r="AE113">
        <v>0</v>
      </c>
    </row>
    <row r="114" spans="1:31" x14ac:dyDescent="0.25">
      <c r="A114" t="s">
        <v>608</v>
      </c>
      <c r="B114" t="s">
        <v>468</v>
      </c>
      <c r="C114">
        <v>3689</v>
      </c>
      <c r="D114">
        <v>2570</v>
      </c>
      <c r="E114">
        <v>1119</v>
      </c>
      <c r="F114">
        <v>9</v>
      </c>
      <c r="G114">
        <v>0</v>
      </c>
      <c r="H114">
        <v>814</v>
      </c>
      <c r="I114">
        <v>40</v>
      </c>
      <c r="J114">
        <v>1964</v>
      </c>
      <c r="K114">
        <v>1187</v>
      </c>
      <c r="L114">
        <v>250</v>
      </c>
      <c r="M114">
        <v>11</v>
      </c>
      <c r="N114">
        <v>205</v>
      </c>
      <c r="O114">
        <v>38</v>
      </c>
      <c r="P114">
        <v>1680000</v>
      </c>
      <c r="Q114">
        <v>1415000</v>
      </c>
      <c r="R114">
        <v>265000</v>
      </c>
      <c r="S114">
        <v>214000</v>
      </c>
      <c r="T114" s="153">
        <f t="shared" si="9"/>
        <v>3705225</v>
      </c>
      <c r="U114" s="153">
        <f t="shared" si="10"/>
        <v>633762.5</v>
      </c>
      <c r="V114" s="153">
        <f t="shared" si="11"/>
        <v>633762.5</v>
      </c>
      <c r="X114" t="s">
        <v>468</v>
      </c>
      <c r="Y114">
        <v>2452</v>
      </c>
      <c r="Z114">
        <v>1448</v>
      </c>
      <c r="AA114">
        <v>1401142857.1428573</v>
      </c>
      <c r="AB114">
        <v>251826086.95652175</v>
      </c>
      <c r="AC114" s="153">
        <f t="shared" si="6"/>
        <v>4337853.2173913037</v>
      </c>
      <c r="AD114" s="153">
        <f t="shared" si="7"/>
        <v>437853.21739130374</v>
      </c>
      <c r="AE114" s="153">
        <f t="shared" si="8"/>
        <v>437853.21739130374</v>
      </c>
    </row>
    <row r="115" spans="1:31" x14ac:dyDescent="0.25">
      <c r="A115" t="s">
        <v>604</v>
      </c>
      <c r="B115" t="s">
        <v>191</v>
      </c>
      <c r="C115">
        <v>5098</v>
      </c>
      <c r="D115">
        <v>3119</v>
      </c>
      <c r="E115">
        <v>1979</v>
      </c>
      <c r="F115">
        <v>1</v>
      </c>
      <c r="G115">
        <v>0</v>
      </c>
      <c r="H115">
        <v>94</v>
      </c>
      <c r="I115">
        <v>312</v>
      </c>
      <c r="J115">
        <v>3843</v>
      </c>
      <c r="K115">
        <v>1694</v>
      </c>
      <c r="L115">
        <v>253</v>
      </c>
      <c r="M115">
        <v>32</v>
      </c>
      <c r="N115">
        <v>586</v>
      </c>
      <c r="O115">
        <v>22</v>
      </c>
      <c r="P115">
        <v>2702000</v>
      </c>
      <c r="Q115">
        <v>2181000</v>
      </c>
      <c r="R115">
        <v>521000</v>
      </c>
      <c r="S115">
        <v>221000</v>
      </c>
      <c r="T115" s="153">
        <f t="shared" si="9"/>
        <v>6139815</v>
      </c>
      <c r="U115" s="153">
        <f t="shared" si="10"/>
        <v>2065117.5</v>
      </c>
      <c r="V115" s="153">
        <f t="shared" si="11"/>
        <v>2065117.5</v>
      </c>
      <c r="X115" t="s">
        <v>191</v>
      </c>
      <c r="Y115">
        <v>3022</v>
      </c>
      <c r="Z115">
        <v>2141</v>
      </c>
      <c r="AA115">
        <v>2169418521.1773148</v>
      </c>
      <c r="AB115">
        <v>506026943.98487359</v>
      </c>
      <c r="AC115" s="153">
        <f t="shared" si="6"/>
        <v>7245273.1664309092</v>
      </c>
      <c r="AD115" s="153">
        <f t="shared" si="7"/>
        <v>2082273.1664309092</v>
      </c>
      <c r="AE115" s="153">
        <f t="shared" si="8"/>
        <v>2082273.1664309092</v>
      </c>
    </row>
    <row r="116" spans="1:31" x14ac:dyDescent="0.25">
      <c r="A116" t="s">
        <v>599</v>
      </c>
      <c r="B116" t="s">
        <v>429</v>
      </c>
      <c r="C116">
        <v>3378</v>
      </c>
      <c r="D116">
        <v>2467</v>
      </c>
      <c r="E116">
        <v>911</v>
      </c>
      <c r="F116">
        <v>0</v>
      </c>
      <c r="G116">
        <v>0</v>
      </c>
      <c r="H116">
        <v>130</v>
      </c>
      <c r="I116">
        <v>21</v>
      </c>
      <c r="J116">
        <v>1485</v>
      </c>
      <c r="K116">
        <v>888</v>
      </c>
      <c r="L116">
        <v>151</v>
      </c>
      <c r="M116">
        <v>0</v>
      </c>
      <c r="N116">
        <v>646</v>
      </c>
      <c r="O116">
        <v>20</v>
      </c>
      <c r="P116">
        <v>2045000</v>
      </c>
      <c r="Q116">
        <v>1777000</v>
      </c>
      <c r="R116">
        <v>268000</v>
      </c>
      <c r="S116">
        <v>319000</v>
      </c>
      <c r="T116" s="153">
        <f t="shared" si="9"/>
        <v>4406265</v>
      </c>
      <c r="U116" s="153">
        <f t="shared" si="10"/>
        <v>1762642.5</v>
      </c>
      <c r="V116" s="153">
        <f t="shared" si="11"/>
        <v>1762642.5</v>
      </c>
      <c r="X116" t="s">
        <v>429</v>
      </c>
      <c r="Y116">
        <v>2373</v>
      </c>
      <c r="Z116">
        <v>1040</v>
      </c>
      <c r="AA116">
        <v>1763001485.8841012</v>
      </c>
      <c r="AB116">
        <v>266803488.9687019</v>
      </c>
      <c r="AC116" s="153">
        <f t="shared" si="6"/>
        <v>5230143.0082761738</v>
      </c>
      <c r="AD116" s="153">
        <f t="shared" si="7"/>
        <v>1817143.0082761738</v>
      </c>
      <c r="AE116" s="153">
        <f t="shared" si="8"/>
        <v>1817143.0082761738</v>
      </c>
    </row>
    <row r="117" spans="1:31" x14ac:dyDescent="0.25">
      <c r="A117" t="s">
        <v>600</v>
      </c>
      <c r="B117" t="s">
        <v>301</v>
      </c>
      <c r="C117">
        <v>40303</v>
      </c>
      <c r="D117">
        <v>21754</v>
      </c>
      <c r="E117">
        <v>18549</v>
      </c>
      <c r="F117">
        <v>21523</v>
      </c>
      <c r="G117">
        <v>6379</v>
      </c>
      <c r="H117">
        <v>2000</v>
      </c>
      <c r="I117">
        <v>1531</v>
      </c>
      <c r="J117">
        <v>12989</v>
      </c>
      <c r="K117">
        <v>24349</v>
      </c>
      <c r="L117">
        <v>2168</v>
      </c>
      <c r="M117">
        <v>953</v>
      </c>
      <c r="N117">
        <v>5501</v>
      </c>
      <c r="O117">
        <v>1380</v>
      </c>
      <c r="P117">
        <v>24886000</v>
      </c>
      <c r="Q117">
        <v>21397000</v>
      </c>
      <c r="R117">
        <v>3489000</v>
      </c>
      <c r="S117">
        <v>286000</v>
      </c>
      <c r="T117" s="153">
        <f t="shared" si="9"/>
        <v>54054375</v>
      </c>
      <c r="U117" s="153">
        <f t="shared" si="10"/>
        <v>22760437.5</v>
      </c>
      <c r="V117" s="153">
        <f t="shared" si="11"/>
        <v>22760437.5</v>
      </c>
      <c r="X117" t="s">
        <v>301</v>
      </c>
      <c r="Y117">
        <v>21161</v>
      </c>
      <c r="Z117">
        <v>19615</v>
      </c>
      <c r="AA117">
        <v>21400687702.265373</v>
      </c>
      <c r="AB117">
        <v>3552734056.6191521</v>
      </c>
      <c r="AC117" s="153">
        <f t="shared" si="6"/>
        <v>64918018.843840376</v>
      </c>
      <c r="AD117" s="153">
        <f t="shared" si="7"/>
        <v>24142018.843840376</v>
      </c>
      <c r="AE117" s="153">
        <f t="shared" si="8"/>
        <v>24142018.843840376</v>
      </c>
    </row>
    <row r="118" spans="1:31" x14ac:dyDescent="0.25">
      <c r="A118" t="s">
        <v>600</v>
      </c>
      <c r="B118" t="s">
        <v>302</v>
      </c>
      <c r="C118">
        <v>65348</v>
      </c>
      <c r="D118">
        <v>17537</v>
      </c>
      <c r="E118">
        <v>47811</v>
      </c>
      <c r="F118">
        <v>3420</v>
      </c>
      <c r="G118">
        <v>5823</v>
      </c>
      <c r="H118">
        <v>9907</v>
      </c>
      <c r="I118">
        <v>772</v>
      </c>
      <c r="J118">
        <v>9741</v>
      </c>
      <c r="K118">
        <v>16383</v>
      </c>
      <c r="L118">
        <v>3976</v>
      </c>
      <c r="M118">
        <v>837</v>
      </c>
      <c r="N118">
        <v>6989</v>
      </c>
      <c r="O118">
        <v>629</v>
      </c>
      <c r="P118">
        <v>26319000</v>
      </c>
      <c r="Q118">
        <v>17115000</v>
      </c>
      <c r="R118">
        <v>9204000</v>
      </c>
      <c r="S118" s="154">
        <v>272000</v>
      </c>
      <c r="T118" s="153">
        <f t="shared" si="9"/>
        <v>67671315</v>
      </c>
      <c r="U118" s="153">
        <f t="shared" si="10"/>
        <v>13601867.5</v>
      </c>
      <c r="V118" s="153">
        <f t="shared" si="11"/>
        <v>13601867.5</v>
      </c>
      <c r="X118" t="s">
        <v>302</v>
      </c>
      <c r="Y118">
        <v>17537</v>
      </c>
      <c r="Z118">
        <v>47811</v>
      </c>
      <c r="AA118">
        <v>17064254810.318483</v>
      </c>
      <c r="AB118">
        <v>8471392063.2141905</v>
      </c>
      <c r="AC118">
        <v>77445363.338618204</v>
      </c>
      <c r="AD118">
        <v>12097363.338618204</v>
      </c>
      <c r="AE118">
        <v>12097363.338618204</v>
      </c>
    </row>
    <row r="119" spans="1:31" x14ac:dyDescent="0.25">
      <c r="A119" t="s">
        <v>599</v>
      </c>
      <c r="B119" t="s">
        <v>430</v>
      </c>
      <c r="C119">
        <v>6714</v>
      </c>
      <c r="D119">
        <v>3494</v>
      </c>
      <c r="E119">
        <v>3220</v>
      </c>
      <c r="F119">
        <v>11</v>
      </c>
      <c r="G119">
        <v>0</v>
      </c>
      <c r="H119">
        <v>534</v>
      </c>
      <c r="I119">
        <v>0</v>
      </c>
      <c r="J119">
        <v>2765</v>
      </c>
      <c r="K119">
        <v>3495</v>
      </c>
      <c r="L119">
        <v>503</v>
      </c>
      <c r="M119">
        <v>30</v>
      </c>
      <c r="N119">
        <v>1108</v>
      </c>
      <c r="O119">
        <v>78</v>
      </c>
      <c r="P119">
        <v>3847000</v>
      </c>
      <c r="Q119">
        <v>3056000</v>
      </c>
      <c r="R119">
        <v>791000</v>
      </c>
      <c r="S119">
        <v>237000</v>
      </c>
      <c r="T119" s="153">
        <f t="shared" si="9"/>
        <v>8835390</v>
      </c>
      <c r="U119" s="153">
        <f t="shared" si="10"/>
        <v>3593955</v>
      </c>
      <c r="V119" s="153">
        <f t="shared" si="11"/>
        <v>3593955</v>
      </c>
      <c r="X119" t="s">
        <v>430</v>
      </c>
      <c r="Y119">
        <v>3412</v>
      </c>
      <c r="Z119">
        <v>3171</v>
      </c>
      <c r="AA119">
        <v>3060089686.0986543</v>
      </c>
      <c r="AB119">
        <v>753206650.8313539</v>
      </c>
      <c r="AC119" s="153">
        <f t="shared" si="6"/>
        <v>10399449.470795209</v>
      </c>
      <c r="AD119" s="153">
        <f t="shared" si="7"/>
        <v>3816449.4707952086</v>
      </c>
      <c r="AE119" s="153">
        <f t="shared" si="8"/>
        <v>3816449.4707952086</v>
      </c>
    </row>
    <row r="120" spans="1:31" x14ac:dyDescent="0.25">
      <c r="A120" t="s">
        <v>604</v>
      </c>
      <c r="B120" t="s">
        <v>192</v>
      </c>
      <c r="C120">
        <v>12930</v>
      </c>
      <c r="D120">
        <v>6255</v>
      </c>
      <c r="E120">
        <v>6675</v>
      </c>
      <c r="F120">
        <v>1516</v>
      </c>
      <c r="G120">
        <v>1</v>
      </c>
      <c r="H120">
        <v>1115</v>
      </c>
      <c r="I120">
        <v>895</v>
      </c>
      <c r="J120">
        <v>6590</v>
      </c>
      <c r="K120">
        <v>5029</v>
      </c>
      <c r="L120">
        <v>619</v>
      </c>
      <c r="M120">
        <v>525</v>
      </c>
      <c r="N120">
        <v>1129</v>
      </c>
      <c r="O120">
        <v>127</v>
      </c>
      <c r="P120">
        <v>6121000</v>
      </c>
      <c r="Q120">
        <v>4899000</v>
      </c>
      <c r="R120">
        <v>1222000</v>
      </c>
      <c r="S120">
        <v>208000</v>
      </c>
      <c r="T120" s="153">
        <f t="shared" si="9"/>
        <v>13988415</v>
      </c>
      <c r="U120" s="153">
        <f t="shared" si="10"/>
        <v>3389817.5</v>
      </c>
      <c r="V120" s="153">
        <f t="shared" si="11"/>
        <v>3389817.5</v>
      </c>
      <c r="X120" t="s">
        <v>192</v>
      </c>
      <c r="Y120">
        <v>6076</v>
      </c>
      <c r="Z120">
        <v>7525</v>
      </c>
      <c r="AA120">
        <v>4896051571.3134575</v>
      </c>
      <c r="AB120">
        <v>1238071734.1230669</v>
      </c>
      <c r="AC120" s="153">
        <f t="shared" si="6"/>
        <v>16788945.503423709</v>
      </c>
      <c r="AD120" s="153">
        <f t="shared" si="7"/>
        <v>3187945.5034237094</v>
      </c>
      <c r="AE120" s="153">
        <f t="shared" si="8"/>
        <v>3187945.5034237094</v>
      </c>
    </row>
    <row r="121" spans="1:31" x14ac:dyDescent="0.25">
      <c r="A121" t="s">
        <v>601</v>
      </c>
      <c r="B121" t="s">
        <v>228</v>
      </c>
      <c r="C121">
        <v>10235</v>
      </c>
      <c r="D121">
        <v>5953</v>
      </c>
      <c r="E121">
        <v>4282</v>
      </c>
      <c r="F121">
        <v>2190</v>
      </c>
      <c r="G121">
        <v>1721</v>
      </c>
      <c r="H121">
        <v>200</v>
      </c>
      <c r="I121">
        <v>478</v>
      </c>
      <c r="J121">
        <v>3413</v>
      </c>
      <c r="K121">
        <v>3418</v>
      </c>
      <c r="L121">
        <v>780</v>
      </c>
      <c r="M121">
        <v>864</v>
      </c>
      <c r="N121">
        <v>816</v>
      </c>
      <c r="O121">
        <v>384</v>
      </c>
      <c r="P121">
        <v>5637000</v>
      </c>
      <c r="Q121">
        <v>4711000</v>
      </c>
      <c r="R121">
        <v>926000</v>
      </c>
      <c r="S121">
        <v>245000</v>
      </c>
      <c r="T121" s="153">
        <f t="shared" si="9"/>
        <v>12502515</v>
      </c>
      <c r="U121" s="153">
        <f t="shared" si="10"/>
        <v>4351267.5</v>
      </c>
      <c r="V121" s="153">
        <f t="shared" si="11"/>
        <v>4351267.5</v>
      </c>
      <c r="X121" t="s">
        <v>228</v>
      </c>
      <c r="Y121">
        <v>5785</v>
      </c>
      <c r="Z121">
        <v>4149</v>
      </c>
      <c r="AA121">
        <v>4686107735.9254751</v>
      </c>
      <c r="AB121">
        <v>919120090.38346517</v>
      </c>
      <c r="AC121" s="153">
        <f t="shared" ref="AC121:AC180" si="12">SUM(0.001952*AA121,2*0.001952*AB121)*140/120</f>
        <v>14858114.988947505</v>
      </c>
      <c r="AD121" s="153">
        <f t="shared" ref="AD121:AD180" si="13">SUM(AC121,-Y121*1000,-Z121*1000)</f>
        <v>4924114.9889475051</v>
      </c>
      <c r="AE121" s="153">
        <f t="shared" ref="AE121:AE180" si="14">IF(AD121&gt;0,AD121,0)</f>
        <v>4924114.9889475051</v>
      </c>
    </row>
    <row r="122" spans="1:31" x14ac:dyDescent="0.25">
      <c r="A122" t="s">
        <v>603</v>
      </c>
      <c r="B122" t="s">
        <v>347</v>
      </c>
      <c r="C122">
        <v>3404</v>
      </c>
      <c r="D122">
        <v>2060</v>
      </c>
      <c r="E122">
        <v>1344</v>
      </c>
      <c r="F122">
        <v>0</v>
      </c>
      <c r="G122">
        <v>101</v>
      </c>
      <c r="H122">
        <v>0</v>
      </c>
      <c r="I122">
        <v>100</v>
      </c>
      <c r="J122">
        <v>1712</v>
      </c>
      <c r="K122">
        <v>1754</v>
      </c>
      <c r="L122">
        <v>236</v>
      </c>
      <c r="M122">
        <v>382</v>
      </c>
      <c r="N122">
        <v>425</v>
      </c>
      <c r="O122">
        <v>53</v>
      </c>
      <c r="P122">
        <v>2014000</v>
      </c>
      <c r="Q122">
        <v>1627000</v>
      </c>
      <c r="R122">
        <v>387000</v>
      </c>
      <c r="S122">
        <v>228000</v>
      </c>
      <c r="T122" s="153">
        <f t="shared" si="9"/>
        <v>4573905</v>
      </c>
      <c r="U122" s="153">
        <f t="shared" si="10"/>
        <v>1932222.5</v>
      </c>
      <c r="V122" s="153">
        <f t="shared" si="11"/>
        <v>1932222.5</v>
      </c>
      <c r="X122" t="s">
        <v>347</v>
      </c>
      <c r="Y122">
        <v>2130</v>
      </c>
      <c r="Z122">
        <v>1465</v>
      </c>
      <c r="AA122">
        <v>1618541033.4346507</v>
      </c>
      <c r="AB122">
        <v>383708748.03562075</v>
      </c>
      <c r="AC122" s="153">
        <f t="shared" si="12"/>
        <v>5433622.8911947515</v>
      </c>
      <c r="AD122" s="153">
        <f t="shared" si="13"/>
        <v>1838622.8911947515</v>
      </c>
      <c r="AE122" s="153">
        <f t="shared" si="14"/>
        <v>1838622.8911947515</v>
      </c>
    </row>
    <row r="123" spans="1:31" x14ac:dyDescent="0.25">
      <c r="A123" t="s">
        <v>602</v>
      </c>
      <c r="B123" t="s">
        <v>171</v>
      </c>
      <c r="C123">
        <v>3637</v>
      </c>
      <c r="D123">
        <v>1563</v>
      </c>
      <c r="E123">
        <v>2074</v>
      </c>
      <c r="F123">
        <v>793</v>
      </c>
      <c r="G123">
        <v>109</v>
      </c>
      <c r="H123">
        <v>160</v>
      </c>
      <c r="I123">
        <v>55</v>
      </c>
      <c r="J123">
        <v>1557</v>
      </c>
      <c r="K123">
        <v>1546</v>
      </c>
      <c r="L123">
        <v>285</v>
      </c>
      <c r="M123">
        <v>88</v>
      </c>
      <c r="N123">
        <v>183</v>
      </c>
      <c r="O123">
        <v>378</v>
      </c>
      <c r="P123">
        <v>1558000</v>
      </c>
      <c r="Q123">
        <v>1150000</v>
      </c>
      <c r="R123">
        <v>408000</v>
      </c>
      <c r="S123">
        <v>156000</v>
      </c>
      <c r="T123" s="153">
        <f t="shared" si="9"/>
        <v>3745230</v>
      </c>
      <c r="U123" s="153">
        <f t="shared" si="10"/>
        <v>732435</v>
      </c>
      <c r="V123" s="153">
        <f t="shared" si="11"/>
        <v>732435</v>
      </c>
      <c r="X123" t="s">
        <v>171</v>
      </c>
      <c r="Y123">
        <v>1522</v>
      </c>
      <c r="Z123">
        <v>2022</v>
      </c>
      <c r="AA123">
        <v>1144360902.2556391</v>
      </c>
      <c r="AB123">
        <v>382086167.80045354</v>
      </c>
      <c r="AC123" s="153">
        <f t="shared" si="12"/>
        <v>4346366.3603453077</v>
      </c>
      <c r="AD123" s="153">
        <f t="shared" si="13"/>
        <v>802366.36034530774</v>
      </c>
      <c r="AE123" s="153">
        <f t="shared" si="14"/>
        <v>802366.36034530774</v>
      </c>
    </row>
    <row r="124" spans="1:31" x14ac:dyDescent="0.25">
      <c r="A124" t="s">
        <v>604</v>
      </c>
      <c r="B124" t="s">
        <v>229</v>
      </c>
      <c r="C124">
        <v>2880</v>
      </c>
      <c r="D124">
        <v>2199</v>
      </c>
      <c r="E124">
        <v>681</v>
      </c>
      <c r="F124">
        <v>0</v>
      </c>
      <c r="G124">
        <v>546</v>
      </c>
      <c r="H124">
        <v>201</v>
      </c>
      <c r="I124">
        <v>78</v>
      </c>
      <c r="J124">
        <v>1027</v>
      </c>
      <c r="K124">
        <v>992</v>
      </c>
      <c r="L124">
        <v>126</v>
      </c>
      <c r="M124">
        <v>180</v>
      </c>
      <c r="N124">
        <v>205</v>
      </c>
      <c r="O124">
        <v>18</v>
      </c>
      <c r="P124">
        <v>1473000</v>
      </c>
      <c r="Q124">
        <v>1333000</v>
      </c>
      <c r="R124">
        <v>140000</v>
      </c>
      <c r="S124">
        <v>262000</v>
      </c>
      <c r="T124" s="153">
        <f t="shared" si="9"/>
        <v>3072765</v>
      </c>
      <c r="U124" s="153">
        <f t="shared" si="10"/>
        <v>704892.5</v>
      </c>
      <c r="V124" s="153">
        <f t="shared" si="11"/>
        <v>704892.5</v>
      </c>
      <c r="X124" t="s">
        <v>229</v>
      </c>
      <c r="Y124">
        <v>2056</v>
      </c>
      <c r="Z124">
        <v>690</v>
      </c>
      <c r="AA124">
        <v>1342036553.5248041</v>
      </c>
      <c r="AB124">
        <v>149512459.37161431</v>
      </c>
      <c r="AC124" s="153">
        <f t="shared" si="12"/>
        <v>3737243.9928450664</v>
      </c>
      <c r="AD124" s="153">
        <f t="shared" si="13"/>
        <v>991243.99284506636</v>
      </c>
      <c r="AE124" s="153">
        <f t="shared" si="14"/>
        <v>991243.99284506636</v>
      </c>
    </row>
    <row r="125" spans="1:31" x14ac:dyDescent="0.25">
      <c r="A125" t="s">
        <v>600</v>
      </c>
      <c r="B125" t="s">
        <v>303</v>
      </c>
      <c r="C125">
        <v>5792</v>
      </c>
      <c r="D125">
        <v>4469</v>
      </c>
      <c r="E125">
        <v>1323</v>
      </c>
      <c r="F125">
        <v>0</v>
      </c>
      <c r="G125">
        <v>41</v>
      </c>
      <c r="H125">
        <v>71</v>
      </c>
      <c r="I125">
        <v>291</v>
      </c>
      <c r="J125">
        <v>3203</v>
      </c>
      <c r="K125">
        <v>5255</v>
      </c>
      <c r="L125">
        <v>715</v>
      </c>
      <c r="M125">
        <v>219</v>
      </c>
      <c r="N125">
        <v>408</v>
      </c>
      <c r="O125">
        <v>499</v>
      </c>
      <c r="P125">
        <v>4522000</v>
      </c>
      <c r="Q125">
        <v>4031000</v>
      </c>
      <c r="R125">
        <v>491000</v>
      </c>
      <c r="S125">
        <v>233000</v>
      </c>
      <c r="T125" s="153">
        <f t="shared" si="9"/>
        <v>9549765</v>
      </c>
      <c r="U125" s="153">
        <f t="shared" si="10"/>
        <v>5349392.5</v>
      </c>
      <c r="V125" s="153">
        <f t="shared" si="11"/>
        <v>5349392.5</v>
      </c>
      <c r="X125" t="s">
        <v>303</v>
      </c>
      <c r="Y125">
        <v>4367</v>
      </c>
      <c r="Z125">
        <v>1304</v>
      </c>
      <c r="AA125">
        <v>3966394187.102634</v>
      </c>
      <c r="AB125">
        <v>424755700.32573283</v>
      </c>
      <c r="AC125" s="153">
        <f t="shared" si="12"/>
        <v>10967422.32517867</v>
      </c>
      <c r="AD125" s="153">
        <f t="shared" si="13"/>
        <v>5296422.3251786698</v>
      </c>
      <c r="AE125" s="153">
        <f t="shared" si="14"/>
        <v>5296422.3251786698</v>
      </c>
    </row>
    <row r="126" spans="1:31" x14ac:dyDescent="0.25">
      <c r="A126" t="s">
        <v>600</v>
      </c>
      <c r="B126" t="s">
        <v>304</v>
      </c>
      <c r="C126">
        <v>6332</v>
      </c>
      <c r="D126">
        <v>4957</v>
      </c>
      <c r="E126">
        <v>1375</v>
      </c>
      <c r="F126">
        <v>780</v>
      </c>
      <c r="G126">
        <v>213</v>
      </c>
      <c r="H126">
        <v>0</v>
      </c>
      <c r="I126">
        <v>134</v>
      </c>
      <c r="J126">
        <v>2650</v>
      </c>
      <c r="K126">
        <v>2792</v>
      </c>
      <c r="L126">
        <v>405</v>
      </c>
      <c r="M126">
        <v>570</v>
      </c>
      <c r="N126">
        <v>203</v>
      </c>
      <c r="O126">
        <v>58</v>
      </c>
      <c r="P126">
        <v>5850000</v>
      </c>
      <c r="Q126">
        <v>5452000</v>
      </c>
      <c r="R126">
        <v>398000</v>
      </c>
      <c r="S126">
        <v>453000</v>
      </c>
      <c r="T126" s="153">
        <f t="shared" si="9"/>
        <v>11902440</v>
      </c>
      <c r="U126" s="153">
        <f t="shared" si="10"/>
        <v>7554180</v>
      </c>
      <c r="V126" s="153">
        <f t="shared" si="11"/>
        <v>7554180</v>
      </c>
      <c r="X126" t="s">
        <v>304</v>
      </c>
      <c r="Y126">
        <v>4841</v>
      </c>
      <c r="Z126">
        <v>1343</v>
      </c>
      <c r="AA126">
        <v>5457722660.6538897</v>
      </c>
      <c r="AB126">
        <v>353328071.56011575</v>
      </c>
      <c r="AC126" s="153">
        <f t="shared" si="12"/>
        <v>14038345.329128265</v>
      </c>
      <c r="AD126" s="153">
        <f t="shared" si="13"/>
        <v>7854345.3291282654</v>
      </c>
      <c r="AE126" s="153">
        <f t="shared" si="14"/>
        <v>7854345.3291282654</v>
      </c>
    </row>
    <row r="127" spans="1:31" x14ac:dyDescent="0.25">
      <c r="A127" t="s">
        <v>601</v>
      </c>
      <c r="B127" t="s">
        <v>230</v>
      </c>
      <c r="C127">
        <v>4584</v>
      </c>
      <c r="D127">
        <v>3422</v>
      </c>
      <c r="E127">
        <v>1162</v>
      </c>
      <c r="F127">
        <v>0</v>
      </c>
      <c r="G127">
        <v>1140</v>
      </c>
      <c r="H127">
        <v>270</v>
      </c>
      <c r="I127">
        <v>60</v>
      </c>
      <c r="J127">
        <v>1389</v>
      </c>
      <c r="K127">
        <v>1641</v>
      </c>
      <c r="L127">
        <v>179</v>
      </c>
      <c r="M127">
        <v>435</v>
      </c>
      <c r="N127">
        <v>810</v>
      </c>
      <c r="O127">
        <v>179</v>
      </c>
      <c r="P127">
        <v>2242000</v>
      </c>
      <c r="Q127">
        <v>1972000</v>
      </c>
      <c r="R127">
        <v>270000</v>
      </c>
      <c r="S127">
        <v>260000</v>
      </c>
      <c r="T127" s="153">
        <f t="shared" si="9"/>
        <v>4785360</v>
      </c>
      <c r="U127" s="153">
        <f t="shared" si="10"/>
        <v>998920</v>
      </c>
      <c r="V127" s="153">
        <f t="shared" si="11"/>
        <v>998920</v>
      </c>
      <c r="X127" t="s">
        <v>230</v>
      </c>
      <c r="Y127">
        <v>3087</v>
      </c>
      <c r="Z127">
        <v>1336</v>
      </c>
      <c r="AA127">
        <v>1958756345.177665</v>
      </c>
      <c r="AB127">
        <v>273378350.72641701</v>
      </c>
      <c r="AC127" s="153">
        <f t="shared" si="12"/>
        <v>5705888.3781931894</v>
      </c>
      <c r="AD127" s="153">
        <f t="shared" si="13"/>
        <v>1282888.3781931894</v>
      </c>
      <c r="AE127" s="153">
        <f t="shared" si="14"/>
        <v>1282888.3781931894</v>
      </c>
    </row>
    <row r="128" spans="1:31" x14ac:dyDescent="0.25">
      <c r="A128" t="s">
        <v>602</v>
      </c>
      <c r="B128" t="s">
        <v>172</v>
      </c>
      <c r="C128">
        <v>14109</v>
      </c>
      <c r="D128">
        <v>6923</v>
      </c>
      <c r="E128">
        <v>7186</v>
      </c>
      <c r="F128">
        <v>2347</v>
      </c>
      <c r="G128">
        <v>3215</v>
      </c>
      <c r="H128">
        <v>95</v>
      </c>
      <c r="I128">
        <v>318</v>
      </c>
      <c r="J128">
        <v>5513</v>
      </c>
      <c r="K128">
        <v>5638</v>
      </c>
      <c r="L128">
        <v>869</v>
      </c>
      <c r="M128">
        <v>209</v>
      </c>
      <c r="N128">
        <v>1592</v>
      </c>
      <c r="O128">
        <v>370</v>
      </c>
      <c r="P128">
        <v>5651000</v>
      </c>
      <c r="Q128">
        <v>4514000</v>
      </c>
      <c r="R128">
        <v>1137000</v>
      </c>
      <c r="S128">
        <v>200000</v>
      </c>
      <c r="T128" s="153">
        <f t="shared" si="9"/>
        <v>12931140</v>
      </c>
      <c r="U128" s="153">
        <f t="shared" si="10"/>
        <v>977330</v>
      </c>
      <c r="V128" s="153">
        <f t="shared" si="11"/>
        <v>977330</v>
      </c>
      <c r="X128" t="s">
        <v>172</v>
      </c>
      <c r="Y128">
        <v>6851</v>
      </c>
      <c r="Z128">
        <v>7740</v>
      </c>
      <c r="AA128">
        <v>4516150296.6381016</v>
      </c>
      <c r="AB128">
        <v>1190952454.2237267</v>
      </c>
      <c r="AC128" s="153">
        <f t="shared" si="12"/>
        <v>15709171.053714838</v>
      </c>
      <c r="AD128" s="153">
        <f t="shared" si="13"/>
        <v>1118171.0537148379</v>
      </c>
      <c r="AE128" s="153">
        <f t="shared" si="14"/>
        <v>1118171.0537148379</v>
      </c>
    </row>
    <row r="129" spans="1:31" x14ac:dyDescent="0.25">
      <c r="A129" t="s">
        <v>600</v>
      </c>
      <c r="B129" t="s">
        <v>305</v>
      </c>
      <c r="C129">
        <v>11346</v>
      </c>
      <c r="D129">
        <v>5782</v>
      </c>
      <c r="E129">
        <v>5564</v>
      </c>
      <c r="F129">
        <v>254</v>
      </c>
      <c r="G129">
        <v>0</v>
      </c>
      <c r="H129">
        <v>0</v>
      </c>
      <c r="I129">
        <v>0</v>
      </c>
      <c r="J129">
        <v>5070</v>
      </c>
      <c r="K129">
        <v>5771</v>
      </c>
      <c r="L129">
        <v>500</v>
      </c>
      <c r="M129">
        <v>140</v>
      </c>
      <c r="N129">
        <v>1385</v>
      </c>
      <c r="O129">
        <v>194</v>
      </c>
      <c r="P129">
        <v>5990000</v>
      </c>
      <c r="Q129">
        <v>4868000</v>
      </c>
      <c r="R129">
        <v>1122000</v>
      </c>
      <c r="S129">
        <v>211000</v>
      </c>
      <c r="T129" s="153">
        <f t="shared" si="9"/>
        <v>13548360</v>
      </c>
      <c r="U129" s="153">
        <f t="shared" si="10"/>
        <v>4460420</v>
      </c>
      <c r="V129" s="153">
        <f t="shared" si="11"/>
        <v>4460420</v>
      </c>
      <c r="X129" t="s">
        <v>305</v>
      </c>
      <c r="Y129">
        <v>5699</v>
      </c>
      <c r="Z129">
        <v>6011</v>
      </c>
      <c r="AA129">
        <v>4896889499.9140749</v>
      </c>
      <c r="AB129">
        <v>1093923456.2958379</v>
      </c>
      <c r="AC129" s="153">
        <f t="shared" si="12"/>
        <v>16134306.390079763</v>
      </c>
      <c r="AD129" s="153">
        <f t="shared" si="13"/>
        <v>4424306.3900797628</v>
      </c>
      <c r="AE129" s="153">
        <f t="shared" si="14"/>
        <v>4424306.3900797628</v>
      </c>
    </row>
    <row r="130" spans="1:31" x14ac:dyDescent="0.25">
      <c r="A130" t="s">
        <v>608</v>
      </c>
      <c r="B130" t="s">
        <v>469</v>
      </c>
      <c r="C130">
        <v>25041</v>
      </c>
      <c r="D130">
        <v>13821</v>
      </c>
      <c r="E130">
        <v>11220</v>
      </c>
      <c r="F130">
        <v>2245</v>
      </c>
      <c r="G130">
        <v>291</v>
      </c>
      <c r="H130">
        <v>277</v>
      </c>
      <c r="I130">
        <v>921</v>
      </c>
      <c r="J130">
        <v>8110</v>
      </c>
      <c r="K130">
        <v>9649</v>
      </c>
      <c r="L130">
        <v>1400</v>
      </c>
      <c r="M130">
        <v>452</v>
      </c>
      <c r="N130">
        <v>1801</v>
      </c>
      <c r="O130">
        <v>382</v>
      </c>
      <c r="P130">
        <v>8180000</v>
      </c>
      <c r="Q130">
        <v>5859000</v>
      </c>
      <c r="R130">
        <v>2321000</v>
      </c>
      <c r="S130">
        <v>129000</v>
      </c>
      <c r="T130" s="153">
        <f t="shared" ref="T130:T193" si="15">0.1905*SUM(Q130,R130,R130)*10</f>
        <v>20004405</v>
      </c>
      <c r="U130" s="153">
        <f t="shared" ref="U130:U193" si="16">SUM(T130*140/120,-C130*1000)</f>
        <v>-1702527.5</v>
      </c>
      <c r="V130" s="153">
        <f t="shared" ref="V130:V193" si="17">IF(U130&gt;0,U130,0)</f>
        <v>0</v>
      </c>
      <c r="X130" t="s">
        <v>469</v>
      </c>
      <c r="Y130">
        <v>13080</v>
      </c>
      <c r="Z130">
        <v>10352</v>
      </c>
      <c r="AA130">
        <v>5860320077.420743</v>
      </c>
      <c r="AB130">
        <v>1990508933.4471645</v>
      </c>
      <c r="AC130" s="153">
        <f t="shared" si="12"/>
        <v>22412006.945186853</v>
      </c>
      <c r="AD130" s="153">
        <f t="shared" si="13"/>
        <v>-1019993.0548131466</v>
      </c>
      <c r="AE130" s="153">
        <f t="shared" si="14"/>
        <v>0</v>
      </c>
    </row>
    <row r="131" spans="1:31" x14ac:dyDescent="0.25">
      <c r="A131" t="s">
        <v>599</v>
      </c>
      <c r="B131" t="s">
        <v>431</v>
      </c>
      <c r="C131">
        <v>3559</v>
      </c>
      <c r="D131">
        <v>2424</v>
      </c>
      <c r="E131">
        <v>1135</v>
      </c>
      <c r="F131">
        <v>0</v>
      </c>
      <c r="G131">
        <v>0</v>
      </c>
      <c r="H131">
        <v>180</v>
      </c>
      <c r="I131">
        <v>0</v>
      </c>
      <c r="J131">
        <v>1959</v>
      </c>
      <c r="K131">
        <v>1367</v>
      </c>
      <c r="L131">
        <v>207</v>
      </c>
      <c r="M131">
        <v>2</v>
      </c>
      <c r="N131">
        <v>609</v>
      </c>
      <c r="O131">
        <v>16</v>
      </c>
      <c r="P131">
        <v>2542000</v>
      </c>
      <c r="Q131">
        <v>2133000</v>
      </c>
      <c r="R131">
        <v>409000</v>
      </c>
      <c r="S131">
        <v>323000</v>
      </c>
      <c r="T131" s="153">
        <f t="shared" si="15"/>
        <v>5621655</v>
      </c>
      <c r="U131" s="153">
        <f t="shared" si="16"/>
        <v>2999597.5</v>
      </c>
      <c r="V131" s="153">
        <f t="shared" si="17"/>
        <v>2999597.5</v>
      </c>
      <c r="X131" t="s">
        <v>431</v>
      </c>
      <c r="Y131">
        <v>2412</v>
      </c>
      <c r="Z131">
        <v>1279</v>
      </c>
      <c r="AA131">
        <v>2132625994.6949601</v>
      </c>
      <c r="AB131">
        <v>394874961.40784198</v>
      </c>
      <c r="AC131" s="153">
        <f t="shared" si="12"/>
        <v>6655224.0894775726</v>
      </c>
      <c r="AD131" s="153">
        <f t="shared" si="13"/>
        <v>2964224.0894775726</v>
      </c>
      <c r="AE131" s="153">
        <f t="shared" si="14"/>
        <v>2964224.0894775726</v>
      </c>
    </row>
    <row r="132" spans="1:31" x14ac:dyDescent="0.25">
      <c r="A132" t="s">
        <v>600</v>
      </c>
      <c r="B132" t="s">
        <v>306</v>
      </c>
      <c r="C132">
        <v>4038</v>
      </c>
      <c r="D132">
        <v>3148</v>
      </c>
      <c r="E132">
        <v>890</v>
      </c>
      <c r="F132">
        <v>0</v>
      </c>
      <c r="G132">
        <v>0</v>
      </c>
      <c r="H132">
        <v>30</v>
      </c>
      <c r="I132">
        <v>0</v>
      </c>
      <c r="J132">
        <v>1820</v>
      </c>
      <c r="K132">
        <v>2596</v>
      </c>
      <c r="L132">
        <v>243</v>
      </c>
      <c r="M132">
        <v>149</v>
      </c>
      <c r="N132">
        <v>766</v>
      </c>
      <c r="O132">
        <v>92</v>
      </c>
      <c r="P132">
        <v>3492000</v>
      </c>
      <c r="Q132">
        <v>3129000</v>
      </c>
      <c r="R132">
        <v>363000</v>
      </c>
      <c r="S132">
        <v>305000</v>
      </c>
      <c r="T132" s="153">
        <f t="shared" si="15"/>
        <v>7343775</v>
      </c>
      <c r="U132" s="153">
        <f t="shared" si="16"/>
        <v>4529737.5</v>
      </c>
      <c r="V132" s="153">
        <f t="shared" si="17"/>
        <v>4529737.5</v>
      </c>
      <c r="X132" t="s">
        <v>306</v>
      </c>
      <c r="Y132">
        <v>2722</v>
      </c>
      <c r="Z132">
        <v>988</v>
      </c>
      <c r="AA132">
        <v>3114416475.9725399</v>
      </c>
      <c r="AB132">
        <v>353109363.83130807</v>
      </c>
      <c r="AC132" s="153">
        <f t="shared" si="12"/>
        <v>8700859.9037451278</v>
      </c>
      <c r="AD132" s="153">
        <f t="shared" si="13"/>
        <v>4990859.9037451278</v>
      </c>
      <c r="AE132" s="153">
        <f t="shared" si="14"/>
        <v>4990859.9037451278</v>
      </c>
    </row>
    <row r="133" spans="1:31" x14ac:dyDescent="0.25">
      <c r="A133" t="s">
        <v>604</v>
      </c>
      <c r="B133" t="s">
        <v>193</v>
      </c>
      <c r="C133">
        <v>8193</v>
      </c>
      <c r="D133">
        <v>5113</v>
      </c>
      <c r="E133">
        <v>3080</v>
      </c>
      <c r="F133">
        <v>29</v>
      </c>
      <c r="G133">
        <v>0</v>
      </c>
      <c r="H133">
        <v>424</v>
      </c>
      <c r="I133">
        <v>266</v>
      </c>
      <c r="J133">
        <v>4218</v>
      </c>
      <c r="K133">
        <v>3221</v>
      </c>
      <c r="L133">
        <v>262</v>
      </c>
      <c r="M133">
        <v>364</v>
      </c>
      <c r="N133">
        <v>623</v>
      </c>
      <c r="O133">
        <v>92</v>
      </c>
      <c r="P133">
        <v>4054000</v>
      </c>
      <c r="Q133">
        <v>3403000</v>
      </c>
      <c r="R133">
        <v>651000</v>
      </c>
      <c r="S133">
        <v>229000</v>
      </c>
      <c r="T133" s="153">
        <f t="shared" si="15"/>
        <v>8963025</v>
      </c>
      <c r="U133" s="153">
        <f t="shared" si="16"/>
        <v>2263862.5</v>
      </c>
      <c r="V133" s="153">
        <f t="shared" si="17"/>
        <v>2263862.5</v>
      </c>
      <c r="X133" t="s">
        <v>193</v>
      </c>
      <c r="Y133">
        <v>4993</v>
      </c>
      <c r="Z133">
        <v>2997</v>
      </c>
      <c r="AA133">
        <v>3382791327.9132791</v>
      </c>
      <c r="AB133">
        <v>572711637.68392897</v>
      </c>
      <c r="AC133" s="153">
        <f t="shared" si="12"/>
        <v>10312254.05653891</v>
      </c>
      <c r="AD133" s="153">
        <f t="shared" si="13"/>
        <v>2322254.0565389097</v>
      </c>
      <c r="AE133" s="153">
        <f t="shared" si="14"/>
        <v>2322254.0565389097</v>
      </c>
    </row>
    <row r="134" spans="1:31" x14ac:dyDescent="0.25">
      <c r="A134" s="101" t="s">
        <v>603</v>
      </c>
      <c r="B134" t="s">
        <v>348</v>
      </c>
      <c r="C134">
        <v>5100</v>
      </c>
      <c r="D134">
        <v>3575</v>
      </c>
      <c r="E134">
        <v>1525</v>
      </c>
      <c r="F134">
        <v>0</v>
      </c>
      <c r="G134">
        <v>11</v>
      </c>
      <c r="H134">
        <v>325</v>
      </c>
      <c r="I134">
        <v>236</v>
      </c>
      <c r="J134">
        <v>2865</v>
      </c>
      <c r="K134">
        <v>3641</v>
      </c>
      <c r="L134">
        <v>785</v>
      </c>
      <c r="M134">
        <v>76</v>
      </c>
      <c r="N134">
        <v>128</v>
      </c>
      <c r="O134">
        <v>356</v>
      </c>
      <c r="P134">
        <v>4164000</v>
      </c>
      <c r="Q134">
        <v>3688000</v>
      </c>
      <c r="R134">
        <v>476000</v>
      </c>
      <c r="S134">
        <v>203000</v>
      </c>
      <c r="T134" s="153">
        <f t="shared" si="15"/>
        <v>8839200</v>
      </c>
      <c r="U134" s="153">
        <f t="shared" si="16"/>
        <v>5212400</v>
      </c>
      <c r="V134" s="153">
        <f t="shared" si="17"/>
        <v>5212400</v>
      </c>
      <c r="X134" t="s">
        <v>348</v>
      </c>
      <c r="Y134">
        <v>3436</v>
      </c>
      <c r="Z134">
        <v>1590</v>
      </c>
      <c r="AA134">
        <v>3527720739.2197123</v>
      </c>
      <c r="AB134">
        <v>459936361.00665319</v>
      </c>
      <c r="AC134" s="153">
        <f t="shared" si="12"/>
        <v>10128652.842381328</v>
      </c>
      <c r="AD134" s="153">
        <f t="shared" si="13"/>
        <v>5102652.8423813283</v>
      </c>
      <c r="AE134" s="153">
        <f t="shared" si="14"/>
        <v>5102652.8423813283</v>
      </c>
    </row>
    <row r="135" spans="1:31" x14ac:dyDescent="0.25">
      <c r="A135" t="s">
        <v>599</v>
      </c>
      <c r="B135" t="s">
        <v>432</v>
      </c>
      <c r="C135">
        <v>22081</v>
      </c>
      <c r="D135">
        <v>13911</v>
      </c>
      <c r="E135">
        <v>8170</v>
      </c>
      <c r="F135">
        <v>3348</v>
      </c>
      <c r="G135">
        <v>305</v>
      </c>
      <c r="H135">
        <v>102</v>
      </c>
      <c r="I135">
        <v>722</v>
      </c>
      <c r="J135">
        <v>9574</v>
      </c>
      <c r="K135">
        <v>8656</v>
      </c>
      <c r="L135">
        <v>1298</v>
      </c>
      <c r="M135">
        <v>0</v>
      </c>
      <c r="N135">
        <v>2666</v>
      </c>
      <c r="O135">
        <v>211</v>
      </c>
      <c r="P135">
        <v>10166000</v>
      </c>
      <c r="Q135">
        <v>8205000</v>
      </c>
      <c r="R135">
        <v>1961000</v>
      </c>
      <c r="S135">
        <v>205000</v>
      </c>
      <c r="T135" s="153">
        <f t="shared" si="15"/>
        <v>23101935</v>
      </c>
      <c r="U135" s="153">
        <f t="shared" si="16"/>
        <v>4871257.5</v>
      </c>
      <c r="V135" s="153">
        <f t="shared" si="17"/>
        <v>4871257.5</v>
      </c>
      <c r="X135" t="s">
        <v>432</v>
      </c>
      <c r="Y135">
        <v>13594</v>
      </c>
      <c r="Z135">
        <v>8417</v>
      </c>
      <c r="AA135">
        <v>8164564564.5645647</v>
      </c>
      <c r="AB135">
        <v>1985609813.6352916</v>
      </c>
      <c r="AC135" s="153">
        <f t="shared" si="12"/>
        <v>27637225.866205912</v>
      </c>
      <c r="AD135" s="153">
        <f t="shared" si="13"/>
        <v>5626225.8662059121</v>
      </c>
      <c r="AE135" s="153">
        <f t="shared" si="14"/>
        <v>5626225.8662059121</v>
      </c>
    </row>
    <row r="136" spans="1:31" x14ac:dyDescent="0.25">
      <c r="A136" s="101" t="s">
        <v>603</v>
      </c>
      <c r="B136" t="s">
        <v>349</v>
      </c>
      <c r="C136">
        <v>5271</v>
      </c>
      <c r="D136">
        <v>3705</v>
      </c>
      <c r="E136">
        <v>1566</v>
      </c>
      <c r="F136">
        <v>0</v>
      </c>
      <c r="G136">
        <v>522</v>
      </c>
      <c r="H136">
        <v>0</v>
      </c>
      <c r="I136">
        <v>155</v>
      </c>
      <c r="J136">
        <v>2209</v>
      </c>
      <c r="K136">
        <v>3610</v>
      </c>
      <c r="L136">
        <v>432</v>
      </c>
      <c r="M136">
        <v>380</v>
      </c>
      <c r="N136">
        <v>426</v>
      </c>
      <c r="O136">
        <v>94</v>
      </c>
      <c r="P136">
        <v>3145000</v>
      </c>
      <c r="Q136">
        <v>2816000</v>
      </c>
      <c r="R136">
        <v>329000</v>
      </c>
      <c r="S136">
        <v>234000</v>
      </c>
      <c r="T136" s="153">
        <f t="shared" si="15"/>
        <v>6617970</v>
      </c>
      <c r="U136" s="153">
        <f t="shared" si="16"/>
        <v>2449965</v>
      </c>
      <c r="V136" s="153">
        <f t="shared" si="17"/>
        <v>2449965</v>
      </c>
      <c r="X136" t="s">
        <v>349</v>
      </c>
      <c r="Y136">
        <v>3631</v>
      </c>
      <c r="Z136">
        <v>1649</v>
      </c>
      <c r="AA136">
        <v>2810371517.0278635</v>
      </c>
      <c r="AB136">
        <v>354471195.18486667</v>
      </c>
      <c r="AC136" s="153">
        <f t="shared" si="12"/>
        <v>8014650.8717801264</v>
      </c>
      <c r="AD136" s="153">
        <f t="shared" si="13"/>
        <v>2734650.8717801264</v>
      </c>
      <c r="AE136" s="153">
        <f t="shared" si="14"/>
        <v>2734650.8717801264</v>
      </c>
    </row>
    <row r="137" spans="1:31" x14ac:dyDescent="0.25">
      <c r="A137" t="s">
        <v>604</v>
      </c>
      <c r="B137" t="s">
        <v>512</v>
      </c>
      <c r="C137">
        <v>22993</v>
      </c>
      <c r="D137">
        <v>10567</v>
      </c>
      <c r="E137">
        <v>12426</v>
      </c>
      <c r="F137">
        <v>1620</v>
      </c>
      <c r="G137">
        <v>300</v>
      </c>
      <c r="H137">
        <v>132</v>
      </c>
      <c r="I137">
        <v>744</v>
      </c>
      <c r="J137">
        <v>9270</v>
      </c>
      <c r="K137">
        <v>7615</v>
      </c>
      <c r="L137">
        <v>988</v>
      </c>
      <c r="M137">
        <v>502</v>
      </c>
      <c r="N137">
        <v>2079</v>
      </c>
      <c r="O137">
        <v>975</v>
      </c>
      <c r="P137">
        <v>8521000</v>
      </c>
      <c r="Q137">
        <v>6575000</v>
      </c>
      <c r="R137">
        <v>1946000</v>
      </c>
      <c r="S137">
        <v>175000</v>
      </c>
      <c r="T137" s="153">
        <f t="shared" si="15"/>
        <v>19939635</v>
      </c>
      <c r="U137" s="153">
        <f t="shared" si="16"/>
        <v>269907.5</v>
      </c>
      <c r="V137" s="153">
        <f t="shared" si="17"/>
        <v>269907.5</v>
      </c>
      <c r="X137" t="s">
        <v>512</v>
      </c>
      <c r="Y137">
        <v>10335</v>
      </c>
      <c r="Z137">
        <v>13481</v>
      </c>
      <c r="AA137">
        <v>6516393442.6229506</v>
      </c>
      <c r="AB137">
        <v>1891273849.607183</v>
      </c>
      <c r="AC137" s="153">
        <f t="shared" si="12"/>
        <v>23454121.960344184</v>
      </c>
      <c r="AD137" s="153">
        <f t="shared" si="13"/>
        <v>-361878.03965581581</v>
      </c>
      <c r="AE137" s="153">
        <f t="shared" si="14"/>
        <v>0</v>
      </c>
    </row>
    <row r="138" spans="1:31" x14ac:dyDescent="0.25">
      <c r="A138" t="s">
        <v>607</v>
      </c>
      <c r="B138" t="s">
        <v>747</v>
      </c>
      <c r="C138">
        <v>18975</v>
      </c>
      <c r="D138">
        <v>7149</v>
      </c>
      <c r="E138">
        <v>11826</v>
      </c>
      <c r="F138">
        <v>0</v>
      </c>
      <c r="G138">
        <v>0</v>
      </c>
      <c r="H138">
        <v>323</v>
      </c>
      <c r="I138">
        <v>323</v>
      </c>
      <c r="J138">
        <v>6072</v>
      </c>
      <c r="K138">
        <v>4397</v>
      </c>
      <c r="L138">
        <v>966</v>
      </c>
      <c r="M138">
        <v>716</v>
      </c>
      <c r="N138">
        <v>1240</v>
      </c>
      <c r="O138">
        <v>66</v>
      </c>
      <c r="P138">
        <v>5351000</v>
      </c>
      <c r="Q138">
        <v>3471000</v>
      </c>
      <c r="R138">
        <v>1880000</v>
      </c>
      <c r="S138">
        <v>159500</v>
      </c>
      <c r="T138" s="153">
        <f t="shared" si="15"/>
        <v>13775055</v>
      </c>
      <c r="U138" s="153">
        <f t="shared" si="16"/>
        <v>-2904102.5</v>
      </c>
      <c r="V138" s="153">
        <f t="shared" si="17"/>
        <v>0</v>
      </c>
      <c r="X138" t="s">
        <v>747</v>
      </c>
      <c r="Y138">
        <v>7324</v>
      </c>
      <c r="Z138">
        <v>12750</v>
      </c>
      <c r="AA138">
        <v>3472596672.8584833</v>
      </c>
      <c r="AB138">
        <v>1860119406.9001777</v>
      </c>
      <c r="AC138" s="153">
        <v>16380484.014951063</v>
      </c>
      <c r="AD138" s="153">
        <v>-3693515.9850489367</v>
      </c>
      <c r="AE138" s="153">
        <v>0</v>
      </c>
    </row>
    <row r="139" spans="1:31" x14ac:dyDescent="0.25">
      <c r="A139" t="s">
        <v>601</v>
      </c>
      <c r="B139" t="s">
        <v>231</v>
      </c>
      <c r="C139">
        <v>4510</v>
      </c>
      <c r="D139">
        <v>3375</v>
      </c>
      <c r="E139">
        <v>1135</v>
      </c>
      <c r="F139">
        <v>0</v>
      </c>
      <c r="G139">
        <v>0</v>
      </c>
      <c r="H139">
        <v>0</v>
      </c>
      <c r="I139">
        <v>155</v>
      </c>
      <c r="J139">
        <v>1228</v>
      </c>
      <c r="K139">
        <v>1235</v>
      </c>
      <c r="L139">
        <v>318</v>
      </c>
      <c r="M139">
        <v>79</v>
      </c>
      <c r="N139">
        <v>237</v>
      </c>
      <c r="O139">
        <v>48</v>
      </c>
      <c r="P139">
        <v>2096000</v>
      </c>
      <c r="Q139">
        <v>1875000</v>
      </c>
      <c r="R139">
        <v>221000</v>
      </c>
      <c r="S139">
        <v>269000</v>
      </c>
      <c r="T139" s="153">
        <f t="shared" si="15"/>
        <v>4413885</v>
      </c>
      <c r="U139" s="153">
        <f t="shared" si="16"/>
        <v>639532.5</v>
      </c>
      <c r="V139" s="153">
        <f t="shared" si="17"/>
        <v>639532.5</v>
      </c>
      <c r="X139" t="s">
        <v>231</v>
      </c>
      <c r="Y139">
        <v>3412</v>
      </c>
      <c r="Z139">
        <v>1263</v>
      </c>
      <c r="AA139">
        <v>1898720089.0372844</v>
      </c>
      <c r="AB139">
        <v>228680065.1819663</v>
      </c>
      <c r="AC139" s="153">
        <f t="shared" si="12"/>
        <v>5365580.019649704</v>
      </c>
      <c r="AD139" s="153">
        <f t="shared" si="13"/>
        <v>690580.01964970399</v>
      </c>
      <c r="AE139" s="153">
        <f t="shared" si="14"/>
        <v>690580.01964970399</v>
      </c>
    </row>
    <row r="140" spans="1:31" x14ac:dyDescent="0.25">
      <c r="A140" t="s">
        <v>599</v>
      </c>
      <c r="B140" t="s">
        <v>433</v>
      </c>
      <c r="C140">
        <v>8518</v>
      </c>
      <c r="D140">
        <v>5883</v>
      </c>
      <c r="E140">
        <v>2635</v>
      </c>
      <c r="F140">
        <v>82</v>
      </c>
      <c r="G140">
        <v>0</v>
      </c>
      <c r="H140">
        <v>92</v>
      </c>
      <c r="I140">
        <v>302</v>
      </c>
      <c r="J140">
        <v>3593</v>
      </c>
      <c r="K140">
        <v>3385</v>
      </c>
      <c r="L140">
        <v>521</v>
      </c>
      <c r="M140">
        <v>160</v>
      </c>
      <c r="N140">
        <v>1052</v>
      </c>
      <c r="O140">
        <v>61</v>
      </c>
      <c r="P140">
        <v>5596000</v>
      </c>
      <c r="Q140">
        <v>4832000</v>
      </c>
      <c r="R140">
        <v>764000</v>
      </c>
      <c r="S140">
        <v>265000</v>
      </c>
      <c r="T140" s="153">
        <f t="shared" si="15"/>
        <v>12115800</v>
      </c>
      <c r="U140" s="153">
        <f t="shared" si="16"/>
        <v>5617100</v>
      </c>
      <c r="V140" s="153">
        <f t="shared" si="17"/>
        <v>5617100</v>
      </c>
      <c r="X140" t="s">
        <v>433</v>
      </c>
      <c r="Y140">
        <v>5608</v>
      </c>
      <c r="Z140">
        <v>3053</v>
      </c>
      <c r="AA140">
        <v>4789069171.6481638</v>
      </c>
      <c r="AB140">
        <v>759755126.41847503</v>
      </c>
      <c r="AC140" s="153">
        <f t="shared" si="12"/>
        <v>14366738.209360767</v>
      </c>
      <c r="AD140" s="153">
        <f t="shared" si="13"/>
        <v>5705738.2093607672</v>
      </c>
      <c r="AE140" s="153">
        <f t="shared" si="14"/>
        <v>5705738.2093607672</v>
      </c>
    </row>
    <row r="141" spans="1:31" x14ac:dyDescent="0.25">
      <c r="A141" t="s">
        <v>603</v>
      </c>
      <c r="B141" t="s">
        <v>350</v>
      </c>
      <c r="C141">
        <v>3816</v>
      </c>
      <c r="D141">
        <v>2637</v>
      </c>
      <c r="E141">
        <v>1179</v>
      </c>
      <c r="F141">
        <v>0</v>
      </c>
      <c r="G141">
        <v>1909</v>
      </c>
      <c r="H141">
        <v>0</v>
      </c>
      <c r="I141">
        <v>78</v>
      </c>
      <c r="J141">
        <v>2307</v>
      </c>
      <c r="K141">
        <v>2592</v>
      </c>
      <c r="L141">
        <v>340</v>
      </c>
      <c r="M141">
        <v>84</v>
      </c>
      <c r="N141">
        <v>322</v>
      </c>
      <c r="O141">
        <v>60</v>
      </c>
      <c r="P141">
        <v>2724000</v>
      </c>
      <c r="Q141">
        <v>2325000</v>
      </c>
      <c r="R141">
        <v>399000</v>
      </c>
      <c r="S141">
        <v>239000</v>
      </c>
      <c r="T141" s="153">
        <f t="shared" si="15"/>
        <v>5949315</v>
      </c>
      <c r="U141" s="153">
        <f t="shared" si="16"/>
        <v>3124867.5</v>
      </c>
      <c r="V141" s="153">
        <f t="shared" si="17"/>
        <v>3124867.5</v>
      </c>
      <c r="X141" t="s">
        <v>350</v>
      </c>
      <c r="Y141">
        <v>2505</v>
      </c>
      <c r="Z141">
        <v>1215</v>
      </c>
      <c r="AA141">
        <v>2392550143.2664757</v>
      </c>
      <c r="AB141">
        <v>349640287.76978415</v>
      </c>
      <c r="AC141" s="153">
        <f t="shared" si="12"/>
        <v>7041129.1569609642</v>
      </c>
      <c r="AD141" s="153">
        <f t="shared" si="13"/>
        <v>3321129.1569609642</v>
      </c>
      <c r="AE141" s="153">
        <f t="shared" si="14"/>
        <v>3321129.1569609642</v>
      </c>
    </row>
    <row r="142" spans="1:31" x14ac:dyDescent="0.25">
      <c r="A142" t="s">
        <v>599</v>
      </c>
      <c r="B142" t="s">
        <v>434</v>
      </c>
      <c r="C142">
        <v>3454</v>
      </c>
      <c r="D142">
        <v>2340</v>
      </c>
      <c r="E142">
        <v>1114</v>
      </c>
      <c r="F142">
        <v>6</v>
      </c>
      <c r="G142">
        <v>1110</v>
      </c>
      <c r="H142">
        <v>1040</v>
      </c>
      <c r="I142">
        <v>150</v>
      </c>
      <c r="J142">
        <v>1378</v>
      </c>
      <c r="K142">
        <v>871</v>
      </c>
      <c r="L142">
        <v>187</v>
      </c>
      <c r="M142">
        <v>0</v>
      </c>
      <c r="N142">
        <v>773</v>
      </c>
      <c r="O142">
        <v>261</v>
      </c>
      <c r="P142">
        <v>2266000</v>
      </c>
      <c r="Q142">
        <v>1843000</v>
      </c>
      <c r="R142">
        <v>423000</v>
      </c>
      <c r="S142">
        <v>296000</v>
      </c>
      <c r="T142" s="153">
        <f t="shared" si="15"/>
        <v>5122545</v>
      </c>
      <c r="U142" s="153">
        <f t="shared" si="16"/>
        <v>2522302.5</v>
      </c>
      <c r="V142" s="153">
        <f t="shared" si="17"/>
        <v>2522302.5</v>
      </c>
      <c r="X142" t="s">
        <v>434</v>
      </c>
      <c r="Y142">
        <v>2271</v>
      </c>
      <c r="Z142">
        <v>1104</v>
      </c>
      <c r="AA142">
        <v>1932765957.4468088</v>
      </c>
      <c r="AB142">
        <v>367387687.18801999</v>
      </c>
      <c r="AC142" s="153">
        <f t="shared" si="12"/>
        <v>6074880.7930045668</v>
      </c>
      <c r="AD142" s="153">
        <f t="shared" si="13"/>
        <v>2699880.7930045668</v>
      </c>
      <c r="AE142" s="153">
        <f t="shared" si="14"/>
        <v>2699880.7930045668</v>
      </c>
    </row>
    <row r="143" spans="1:31" x14ac:dyDescent="0.25">
      <c r="A143" t="s">
        <v>600</v>
      </c>
      <c r="B143" t="s">
        <v>307</v>
      </c>
      <c r="C143">
        <v>20061</v>
      </c>
      <c r="D143">
        <v>10779</v>
      </c>
      <c r="E143">
        <v>9282</v>
      </c>
      <c r="F143">
        <v>5197</v>
      </c>
      <c r="G143">
        <v>312</v>
      </c>
      <c r="H143">
        <v>0</v>
      </c>
      <c r="I143">
        <v>510</v>
      </c>
      <c r="J143">
        <v>8236</v>
      </c>
      <c r="K143">
        <v>9690</v>
      </c>
      <c r="L143">
        <v>1272</v>
      </c>
      <c r="M143">
        <v>0</v>
      </c>
      <c r="N143">
        <v>2375</v>
      </c>
      <c r="O143">
        <v>537</v>
      </c>
      <c r="P143">
        <v>13908000</v>
      </c>
      <c r="Q143">
        <v>11543000</v>
      </c>
      <c r="R143">
        <v>2365000</v>
      </c>
      <c r="S143">
        <v>276000</v>
      </c>
      <c r="T143" s="153">
        <f t="shared" si="15"/>
        <v>31000065</v>
      </c>
      <c r="U143" s="153">
        <f t="shared" si="16"/>
        <v>16105742.5</v>
      </c>
      <c r="V143" s="153">
        <f t="shared" si="17"/>
        <v>16105742.5</v>
      </c>
      <c r="X143" t="s">
        <v>307</v>
      </c>
      <c r="Y143">
        <v>10606</v>
      </c>
      <c r="Z143">
        <v>10619</v>
      </c>
      <c r="AA143">
        <v>11706401766.004416</v>
      </c>
      <c r="AB143">
        <v>2363980409.6170974</v>
      </c>
      <c r="AC143" s="153">
        <f t="shared" si="12"/>
        <v>37426521.727450058</v>
      </c>
      <c r="AD143" s="153">
        <f t="shared" si="13"/>
        <v>16201521.727450058</v>
      </c>
      <c r="AE143" s="153">
        <f t="shared" si="14"/>
        <v>16201521.727450058</v>
      </c>
    </row>
    <row r="144" spans="1:31" x14ac:dyDescent="0.25">
      <c r="A144" t="s">
        <v>603</v>
      </c>
      <c r="B144" t="s">
        <v>748</v>
      </c>
      <c r="C144">
        <v>17167</v>
      </c>
      <c r="D144">
        <v>9815</v>
      </c>
      <c r="E144">
        <v>7352</v>
      </c>
      <c r="F144">
        <v>25</v>
      </c>
      <c r="G144">
        <v>4875</v>
      </c>
      <c r="H144">
        <v>151</v>
      </c>
      <c r="I144">
        <v>787</v>
      </c>
      <c r="J144">
        <v>7766</v>
      </c>
      <c r="K144">
        <v>0</v>
      </c>
      <c r="L144">
        <v>1536</v>
      </c>
      <c r="M144">
        <v>1291</v>
      </c>
      <c r="N144">
        <v>2113</v>
      </c>
      <c r="O144">
        <v>328</v>
      </c>
      <c r="P144">
        <v>10389000</v>
      </c>
      <c r="Q144">
        <v>8679000</v>
      </c>
      <c r="R144">
        <v>1710000</v>
      </c>
      <c r="S144">
        <v>231000</v>
      </c>
      <c r="T144" s="153">
        <f t="shared" si="15"/>
        <v>23048595</v>
      </c>
      <c r="U144" s="153">
        <f t="shared" si="16"/>
        <v>9723027.5</v>
      </c>
      <c r="V144" s="153">
        <f t="shared" si="17"/>
        <v>9723027.5</v>
      </c>
      <c r="X144" t="s">
        <v>748</v>
      </c>
      <c r="Y144">
        <v>9908</v>
      </c>
      <c r="Z144">
        <v>7988</v>
      </c>
      <c r="AA144">
        <v>8718429108.0471287</v>
      </c>
      <c r="AB144">
        <v>1617457800.0303671</v>
      </c>
      <c r="AC144" s="153">
        <v>27221750.348597638</v>
      </c>
      <c r="AD144" s="153">
        <v>9325750.3485976383</v>
      </c>
      <c r="AE144" s="153">
        <v>9325750.3485976383</v>
      </c>
    </row>
    <row r="145" spans="1:31" x14ac:dyDescent="0.25">
      <c r="A145" t="s">
        <v>604</v>
      </c>
      <c r="B145" t="s">
        <v>194</v>
      </c>
      <c r="C145">
        <v>6771</v>
      </c>
      <c r="D145">
        <v>4084</v>
      </c>
      <c r="E145">
        <v>2687</v>
      </c>
      <c r="F145">
        <v>14</v>
      </c>
      <c r="G145">
        <v>0</v>
      </c>
      <c r="H145">
        <v>408</v>
      </c>
      <c r="I145">
        <v>83</v>
      </c>
      <c r="J145">
        <v>4679</v>
      </c>
      <c r="K145">
        <v>3011</v>
      </c>
      <c r="L145">
        <v>639</v>
      </c>
      <c r="M145">
        <v>256</v>
      </c>
      <c r="N145">
        <v>963</v>
      </c>
      <c r="O145">
        <v>197</v>
      </c>
      <c r="P145">
        <v>4210000</v>
      </c>
      <c r="Q145">
        <v>3372000</v>
      </c>
      <c r="R145">
        <v>838000</v>
      </c>
      <c r="S145">
        <v>232000</v>
      </c>
      <c r="T145" s="153">
        <f t="shared" si="15"/>
        <v>9616440</v>
      </c>
      <c r="U145" s="153">
        <f t="shared" si="16"/>
        <v>4448180</v>
      </c>
      <c r="V145" s="153">
        <f t="shared" si="17"/>
        <v>4448180</v>
      </c>
      <c r="X145" t="s">
        <v>194</v>
      </c>
      <c r="Y145">
        <v>3941</v>
      </c>
      <c r="Z145">
        <v>3204</v>
      </c>
      <c r="AA145">
        <v>3339830508.474577</v>
      </c>
      <c r="AB145">
        <v>822804314.32973802</v>
      </c>
      <c r="AC145" s="153">
        <f t="shared" si="12"/>
        <v>11353506.728299949</v>
      </c>
      <c r="AD145" s="153">
        <f t="shared" si="13"/>
        <v>4208506.7282999493</v>
      </c>
      <c r="AE145" s="153">
        <f t="shared" si="14"/>
        <v>4208506.7282999493</v>
      </c>
    </row>
    <row r="146" spans="1:31" x14ac:dyDescent="0.25">
      <c r="A146" t="s">
        <v>600</v>
      </c>
      <c r="B146" t="s">
        <v>308</v>
      </c>
      <c r="C146">
        <v>9448</v>
      </c>
      <c r="D146">
        <v>5223</v>
      </c>
      <c r="E146">
        <v>4225</v>
      </c>
      <c r="F146">
        <v>0</v>
      </c>
      <c r="G146">
        <v>0</v>
      </c>
      <c r="H146">
        <v>76</v>
      </c>
      <c r="I146">
        <v>179</v>
      </c>
      <c r="J146">
        <v>4085</v>
      </c>
      <c r="K146">
        <v>5741</v>
      </c>
      <c r="L146">
        <v>809</v>
      </c>
      <c r="M146">
        <v>337</v>
      </c>
      <c r="N146">
        <v>1068</v>
      </c>
      <c r="O146">
        <v>271</v>
      </c>
      <c r="P146">
        <v>5595000</v>
      </c>
      <c r="Q146">
        <v>4073000</v>
      </c>
      <c r="R146">
        <v>1522000</v>
      </c>
      <c r="S146">
        <v>205000</v>
      </c>
      <c r="T146" s="153">
        <f t="shared" si="15"/>
        <v>13557885</v>
      </c>
      <c r="U146" s="153">
        <f t="shared" si="16"/>
        <v>6369532.5</v>
      </c>
      <c r="V146" s="153">
        <f t="shared" si="17"/>
        <v>6369532.5</v>
      </c>
      <c r="X146" t="s">
        <v>308</v>
      </c>
      <c r="Y146">
        <v>5068</v>
      </c>
      <c r="Z146">
        <v>4752</v>
      </c>
      <c r="AA146">
        <v>4051159072.7418065</v>
      </c>
      <c r="AB146">
        <v>1447015834.3483555</v>
      </c>
      <c r="AC146" s="153">
        <f t="shared" si="12"/>
        <v>15816514.381835986</v>
      </c>
      <c r="AD146" s="153">
        <f t="shared" si="13"/>
        <v>5996514.3818359859</v>
      </c>
      <c r="AE146" s="153">
        <f t="shared" si="14"/>
        <v>5996514.3818359859</v>
      </c>
    </row>
    <row r="147" spans="1:31" x14ac:dyDescent="0.25">
      <c r="A147" t="s">
        <v>598</v>
      </c>
      <c r="B147" t="s">
        <v>134</v>
      </c>
      <c r="C147">
        <v>11576</v>
      </c>
      <c r="D147">
        <v>6962</v>
      </c>
      <c r="E147">
        <v>4614</v>
      </c>
      <c r="F147">
        <v>2847</v>
      </c>
      <c r="G147">
        <v>102</v>
      </c>
      <c r="H147">
        <v>107</v>
      </c>
      <c r="I147">
        <v>250</v>
      </c>
      <c r="J147">
        <v>4550</v>
      </c>
      <c r="K147">
        <v>5475</v>
      </c>
      <c r="L147">
        <v>613</v>
      </c>
      <c r="M147">
        <v>871</v>
      </c>
      <c r="N147">
        <v>995</v>
      </c>
      <c r="O147">
        <v>118</v>
      </c>
      <c r="P147">
        <v>5118000</v>
      </c>
      <c r="Q147">
        <v>4095000</v>
      </c>
      <c r="R147">
        <v>1023000</v>
      </c>
      <c r="S147">
        <v>168000</v>
      </c>
      <c r="T147" s="153">
        <f t="shared" si="15"/>
        <v>11698605</v>
      </c>
      <c r="U147" s="153">
        <f t="shared" si="16"/>
        <v>2072372.5</v>
      </c>
      <c r="V147" s="153">
        <f t="shared" si="17"/>
        <v>2072372.5</v>
      </c>
      <c r="X147" t="s">
        <v>134</v>
      </c>
      <c r="Y147">
        <v>6473</v>
      </c>
      <c r="Z147">
        <v>4290</v>
      </c>
      <c r="AA147">
        <v>4060853199.4981179</v>
      </c>
      <c r="AB147">
        <v>888934935.76460826</v>
      </c>
      <c r="AC147" s="153">
        <f t="shared" si="12"/>
        <v>13296718.673752915</v>
      </c>
      <c r="AD147" s="153">
        <f t="shared" si="13"/>
        <v>2533718.6737529151</v>
      </c>
      <c r="AE147" s="153">
        <f t="shared" si="14"/>
        <v>2533718.6737529151</v>
      </c>
    </row>
    <row r="148" spans="1:31" x14ac:dyDescent="0.25">
      <c r="A148" t="s">
        <v>600</v>
      </c>
      <c r="B148" t="s">
        <v>309</v>
      </c>
      <c r="C148">
        <v>11310</v>
      </c>
      <c r="D148">
        <v>7682</v>
      </c>
      <c r="E148">
        <v>3628</v>
      </c>
      <c r="F148">
        <v>4041</v>
      </c>
      <c r="G148">
        <v>215</v>
      </c>
      <c r="H148">
        <v>0</v>
      </c>
      <c r="I148">
        <v>1118</v>
      </c>
      <c r="J148">
        <v>5330</v>
      </c>
      <c r="K148">
        <v>10049</v>
      </c>
      <c r="L148">
        <v>846</v>
      </c>
      <c r="M148">
        <v>275</v>
      </c>
      <c r="N148">
        <v>913</v>
      </c>
      <c r="O148">
        <v>207</v>
      </c>
      <c r="P148">
        <v>7673000</v>
      </c>
      <c r="Q148">
        <v>6297000</v>
      </c>
      <c r="R148">
        <v>1376000</v>
      </c>
      <c r="S148">
        <v>194000</v>
      </c>
      <c r="T148" s="153">
        <f t="shared" si="15"/>
        <v>17238345</v>
      </c>
      <c r="U148" s="153">
        <f t="shared" si="16"/>
        <v>8801402.5</v>
      </c>
      <c r="V148" s="153">
        <f t="shared" si="17"/>
        <v>8801402.5</v>
      </c>
      <c r="X148" t="s">
        <v>309</v>
      </c>
      <c r="Y148">
        <v>7372</v>
      </c>
      <c r="Z148">
        <v>3468</v>
      </c>
      <c r="AA148">
        <v>6668475802.8041611</v>
      </c>
      <c r="AB148">
        <v>1094627864.4024999</v>
      </c>
      <c r="AC148" s="153">
        <f t="shared" si="12"/>
        <v>20172007.274651263</v>
      </c>
      <c r="AD148" s="153">
        <f t="shared" si="13"/>
        <v>9332007.2746512629</v>
      </c>
      <c r="AE148" s="153">
        <f t="shared" si="14"/>
        <v>9332007.2746512629</v>
      </c>
    </row>
    <row r="149" spans="1:31" x14ac:dyDescent="0.25">
      <c r="A149" t="s">
        <v>608</v>
      </c>
      <c r="B149" t="s">
        <v>470</v>
      </c>
      <c r="C149">
        <v>10845</v>
      </c>
      <c r="D149">
        <v>6806</v>
      </c>
      <c r="E149">
        <v>4039</v>
      </c>
      <c r="F149">
        <v>1</v>
      </c>
      <c r="G149">
        <v>17</v>
      </c>
      <c r="H149">
        <v>2384</v>
      </c>
      <c r="I149">
        <v>89</v>
      </c>
      <c r="J149">
        <v>3588</v>
      </c>
      <c r="K149">
        <v>2726</v>
      </c>
      <c r="L149">
        <v>426</v>
      </c>
      <c r="M149">
        <v>18</v>
      </c>
      <c r="N149">
        <v>1200</v>
      </c>
      <c r="O149">
        <v>15</v>
      </c>
      <c r="P149">
        <v>5263000</v>
      </c>
      <c r="Q149">
        <v>4183000</v>
      </c>
      <c r="R149">
        <v>1080000</v>
      </c>
      <c r="S149">
        <v>242000</v>
      </c>
      <c r="T149" s="153">
        <f t="shared" si="15"/>
        <v>12083415</v>
      </c>
      <c r="U149" s="153">
        <f t="shared" si="16"/>
        <v>3252317.5</v>
      </c>
      <c r="V149" s="153">
        <f t="shared" si="17"/>
        <v>3252317.5</v>
      </c>
      <c r="X149" t="s">
        <v>470</v>
      </c>
      <c r="Y149">
        <v>6731</v>
      </c>
      <c r="Z149">
        <v>3992</v>
      </c>
      <c r="AA149">
        <v>4180745341.6149068</v>
      </c>
      <c r="AB149">
        <v>1020189113.2123691</v>
      </c>
      <c r="AC149" s="153">
        <f t="shared" si="12"/>
        <v>14167572.072282284</v>
      </c>
      <c r="AD149" s="153">
        <f t="shared" si="13"/>
        <v>3444572.0722822845</v>
      </c>
      <c r="AE149" s="153">
        <f t="shared" si="14"/>
        <v>3444572.0722822845</v>
      </c>
    </row>
    <row r="150" spans="1:31" x14ac:dyDescent="0.25">
      <c r="A150" t="s">
        <v>606</v>
      </c>
      <c r="B150" t="s">
        <v>269</v>
      </c>
      <c r="C150">
        <v>12344</v>
      </c>
      <c r="D150">
        <v>7588</v>
      </c>
      <c r="E150">
        <v>4756</v>
      </c>
      <c r="F150">
        <v>16</v>
      </c>
      <c r="G150">
        <v>0</v>
      </c>
      <c r="H150">
        <v>170</v>
      </c>
      <c r="I150">
        <v>175</v>
      </c>
      <c r="J150">
        <v>2465</v>
      </c>
      <c r="K150">
        <v>4127</v>
      </c>
      <c r="L150">
        <v>491</v>
      </c>
      <c r="M150">
        <v>145</v>
      </c>
      <c r="N150">
        <v>751</v>
      </c>
      <c r="O150">
        <v>345</v>
      </c>
      <c r="P150">
        <v>6812000</v>
      </c>
      <c r="Q150">
        <v>5920000</v>
      </c>
      <c r="R150">
        <v>892000</v>
      </c>
      <c r="S150">
        <v>301000</v>
      </c>
      <c r="T150" s="153">
        <f t="shared" si="15"/>
        <v>14676120</v>
      </c>
      <c r="U150" s="153">
        <f t="shared" si="16"/>
        <v>4778140</v>
      </c>
      <c r="V150" s="153">
        <f t="shared" si="17"/>
        <v>4778140</v>
      </c>
      <c r="X150" t="s">
        <v>269</v>
      </c>
      <c r="Y150">
        <v>7367</v>
      </c>
      <c r="Z150">
        <v>5027</v>
      </c>
      <c r="AA150">
        <v>5865445859.872612</v>
      </c>
      <c r="AB150">
        <v>864785824.87527966</v>
      </c>
      <c r="AC150" s="153">
        <f t="shared" si="12"/>
        <v>17296386.541915167</v>
      </c>
      <c r="AD150" s="153">
        <f t="shared" si="13"/>
        <v>4902386.5419151671</v>
      </c>
      <c r="AE150" s="153">
        <f t="shared" si="14"/>
        <v>4902386.5419151671</v>
      </c>
    </row>
    <row r="151" spans="1:31" x14ac:dyDescent="0.25">
      <c r="A151" t="s">
        <v>600</v>
      </c>
      <c r="B151" t="s">
        <v>310</v>
      </c>
      <c r="C151">
        <v>4602</v>
      </c>
      <c r="D151">
        <v>3293</v>
      </c>
      <c r="E151">
        <v>1309</v>
      </c>
      <c r="F151">
        <v>5</v>
      </c>
      <c r="G151">
        <v>173</v>
      </c>
      <c r="H151">
        <v>62</v>
      </c>
      <c r="I151">
        <v>116</v>
      </c>
      <c r="J151">
        <v>4152</v>
      </c>
      <c r="K151">
        <v>5078</v>
      </c>
      <c r="L151">
        <v>602</v>
      </c>
      <c r="M151">
        <v>644</v>
      </c>
      <c r="N151">
        <v>515</v>
      </c>
      <c r="O151">
        <v>113</v>
      </c>
      <c r="P151">
        <v>5848000</v>
      </c>
      <c r="Q151">
        <v>5303000</v>
      </c>
      <c r="R151">
        <v>545000</v>
      </c>
      <c r="S151">
        <v>284000</v>
      </c>
      <c r="T151" s="153">
        <f t="shared" si="15"/>
        <v>12178665</v>
      </c>
      <c r="U151" s="153">
        <f t="shared" si="16"/>
        <v>9606442.5</v>
      </c>
      <c r="V151" s="153">
        <f t="shared" si="17"/>
        <v>9606442.5</v>
      </c>
      <c r="X151" t="s">
        <v>310</v>
      </c>
      <c r="Y151">
        <v>2921</v>
      </c>
      <c r="Z151">
        <v>1262</v>
      </c>
      <c r="AA151">
        <v>5301270417.4228668</v>
      </c>
      <c r="AB151">
        <v>538166311.30063975</v>
      </c>
      <c r="AC151" s="153">
        <f t="shared" si="12"/>
        <v>14523927.989814989</v>
      </c>
      <c r="AD151" s="153">
        <f t="shared" si="13"/>
        <v>10340927.989814989</v>
      </c>
      <c r="AE151" s="153">
        <f t="shared" si="14"/>
        <v>10340927.989814989</v>
      </c>
    </row>
    <row r="152" spans="1:31" x14ac:dyDescent="0.25">
      <c r="A152" t="s">
        <v>610</v>
      </c>
      <c r="B152" t="s">
        <v>391</v>
      </c>
      <c r="C152">
        <v>4414</v>
      </c>
      <c r="D152">
        <v>2815</v>
      </c>
      <c r="E152">
        <v>1599</v>
      </c>
      <c r="F152">
        <v>811</v>
      </c>
      <c r="G152">
        <v>835</v>
      </c>
      <c r="H152">
        <v>100</v>
      </c>
      <c r="I152">
        <v>496</v>
      </c>
      <c r="J152">
        <v>3245</v>
      </c>
      <c r="K152">
        <v>3410</v>
      </c>
      <c r="L152">
        <v>465</v>
      </c>
      <c r="M152">
        <v>123</v>
      </c>
      <c r="N152">
        <v>565</v>
      </c>
      <c r="O152">
        <v>177</v>
      </c>
      <c r="P152">
        <v>2990000</v>
      </c>
      <c r="Q152">
        <v>2504000</v>
      </c>
      <c r="R152">
        <v>486000</v>
      </c>
      <c r="S152">
        <v>193000</v>
      </c>
      <c r="T152" s="153">
        <f t="shared" si="15"/>
        <v>6621780</v>
      </c>
      <c r="U152" s="153">
        <f t="shared" si="16"/>
        <v>3311410</v>
      </c>
      <c r="V152" s="153">
        <f t="shared" si="17"/>
        <v>3311410</v>
      </c>
      <c r="X152" t="s">
        <v>391</v>
      </c>
      <c r="Y152">
        <v>2842</v>
      </c>
      <c r="Z152">
        <v>1664</v>
      </c>
      <c r="AA152">
        <v>2473455178.4160137</v>
      </c>
      <c r="AB152">
        <v>495090746.80154711</v>
      </c>
      <c r="AC152" s="153">
        <f t="shared" si="12"/>
        <v>7887855.247744848</v>
      </c>
      <c r="AD152" s="153">
        <f t="shared" si="13"/>
        <v>3381855.247744848</v>
      </c>
      <c r="AE152" s="153">
        <f t="shared" si="14"/>
        <v>3381855.247744848</v>
      </c>
    </row>
    <row r="153" spans="1:31" x14ac:dyDescent="0.25">
      <c r="A153" t="s">
        <v>606</v>
      </c>
      <c r="B153" t="s">
        <v>270</v>
      </c>
      <c r="C153">
        <v>4980</v>
      </c>
      <c r="D153">
        <v>3653</v>
      </c>
      <c r="E153">
        <v>1327</v>
      </c>
      <c r="F153">
        <v>1261</v>
      </c>
      <c r="G153">
        <v>0</v>
      </c>
      <c r="H153">
        <v>0</v>
      </c>
      <c r="I153">
        <v>204</v>
      </c>
      <c r="J153">
        <v>3060</v>
      </c>
      <c r="K153">
        <v>3387</v>
      </c>
      <c r="L153">
        <v>660</v>
      </c>
      <c r="M153">
        <v>223</v>
      </c>
      <c r="N153">
        <v>629</v>
      </c>
      <c r="O153">
        <v>92</v>
      </c>
      <c r="P153">
        <v>3912000</v>
      </c>
      <c r="Q153">
        <v>3467000</v>
      </c>
      <c r="R153">
        <v>445000</v>
      </c>
      <c r="S153">
        <v>249000</v>
      </c>
      <c r="T153" s="153">
        <f t="shared" si="15"/>
        <v>8300085</v>
      </c>
      <c r="U153" s="153">
        <f t="shared" si="16"/>
        <v>4703432.5</v>
      </c>
      <c r="V153" s="153">
        <f t="shared" si="17"/>
        <v>4703432.5</v>
      </c>
      <c r="X153" t="s">
        <v>270</v>
      </c>
      <c r="Y153">
        <v>3703</v>
      </c>
      <c r="Z153">
        <v>1260</v>
      </c>
      <c r="AA153">
        <v>3623287671.2328773</v>
      </c>
      <c r="AB153">
        <v>384029259.37214261</v>
      </c>
      <c r="AC153" s="153">
        <f t="shared" si="12"/>
        <v>10000559.056641323</v>
      </c>
      <c r="AD153" s="153">
        <f t="shared" si="13"/>
        <v>5037559.0566413235</v>
      </c>
      <c r="AE153" s="153">
        <f t="shared" si="14"/>
        <v>5037559.0566413235</v>
      </c>
    </row>
    <row r="154" spans="1:31" x14ac:dyDescent="0.25">
      <c r="A154" t="s">
        <v>603</v>
      </c>
      <c r="B154" t="s">
        <v>351</v>
      </c>
      <c r="C154">
        <v>5154</v>
      </c>
      <c r="D154">
        <v>3840</v>
      </c>
      <c r="E154">
        <v>1314</v>
      </c>
      <c r="F154">
        <v>0</v>
      </c>
      <c r="G154">
        <v>2577</v>
      </c>
      <c r="H154">
        <v>0</v>
      </c>
      <c r="I154">
        <v>319</v>
      </c>
      <c r="J154">
        <v>3309</v>
      </c>
      <c r="K154">
        <v>2963</v>
      </c>
      <c r="L154">
        <v>402</v>
      </c>
      <c r="M154">
        <v>63</v>
      </c>
      <c r="N154">
        <v>987</v>
      </c>
      <c r="O154">
        <v>11</v>
      </c>
      <c r="P154">
        <v>3589000</v>
      </c>
      <c r="Q154">
        <v>3106000</v>
      </c>
      <c r="R154">
        <v>483000</v>
      </c>
      <c r="S154">
        <v>263000</v>
      </c>
      <c r="T154" s="153">
        <f t="shared" si="15"/>
        <v>7757160</v>
      </c>
      <c r="U154" s="153">
        <f t="shared" si="16"/>
        <v>3896020</v>
      </c>
      <c r="V154" s="153">
        <f t="shared" si="17"/>
        <v>3896020</v>
      </c>
      <c r="X154" t="s">
        <v>351</v>
      </c>
      <c r="Y154">
        <v>3668</v>
      </c>
      <c r="Z154">
        <v>1622</v>
      </c>
      <c r="AA154">
        <v>3105842506.3505507</v>
      </c>
      <c r="AB154">
        <v>481305637.98219591</v>
      </c>
      <c r="AC154" s="153">
        <f t="shared" si="12"/>
        <v>9265225.4135918953</v>
      </c>
      <c r="AD154" s="153">
        <f t="shared" si="13"/>
        <v>3975225.4135918953</v>
      </c>
      <c r="AE154" s="153">
        <f t="shared" si="14"/>
        <v>3975225.4135918953</v>
      </c>
    </row>
    <row r="155" spans="1:31" x14ac:dyDescent="0.25">
      <c r="A155" t="s">
        <v>604</v>
      </c>
      <c r="B155" t="s">
        <v>195</v>
      </c>
      <c r="C155">
        <v>9197</v>
      </c>
      <c r="D155">
        <v>6000</v>
      </c>
      <c r="E155">
        <v>3197</v>
      </c>
      <c r="F155">
        <v>1569</v>
      </c>
      <c r="G155">
        <v>144</v>
      </c>
      <c r="H155">
        <v>50</v>
      </c>
      <c r="I155">
        <v>463</v>
      </c>
      <c r="J155">
        <v>3034</v>
      </c>
      <c r="K155">
        <v>4385</v>
      </c>
      <c r="L155">
        <v>1008</v>
      </c>
      <c r="M155">
        <v>903</v>
      </c>
      <c r="N155">
        <v>1177</v>
      </c>
      <c r="O155">
        <v>592</v>
      </c>
      <c r="P155">
        <v>5453000</v>
      </c>
      <c r="Q155">
        <v>4364000</v>
      </c>
      <c r="R155">
        <v>1089000</v>
      </c>
      <c r="S155">
        <v>202000</v>
      </c>
      <c r="T155" s="153">
        <f t="shared" si="15"/>
        <v>12462510</v>
      </c>
      <c r="U155" s="153">
        <f t="shared" si="16"/>
        <v>5342595</v>
      </c>
      <c r="V155" s="153">
        <f t="shared" si="17"/>
        <v>5342595</v>
      </c>
      <c r="X155" t="s">
        <v>195</v>
      </c>
      <c r="Y155">
        <v>5753</v>
      </c>
      <c r="Z155">
        <v>3304</v>
      </c>
      <c r="AA155">
        <v>4335342878.6737003</v>
      </c>
      <c r="AB155">
        <v>1109842122.9425597</v>
      </c>
      <c r="AC155" s="153">
        <f t="shared" si="12"/>
        <v>14927981.771661954</v>
      </c>
      <c r="AD155" s="153">
        <f t="shared" si="13"/>
        <v>5870981.771661954</v>
      </c>
      <c r="AE155" s="153">
        <f t="shared" si="14"/>
        <v>5870981.771661954</v>
      </c>
    </row>
    <row r="156" spans="1:31" x14ac:dyDescent="0.25">
      <c r="A156" t="s">
        <v>610</v>
      </c>
      <c r="B156" t="s">
        <v>392</v>
      </c>
      <c r="C156">
        <v>2395</v>
      </c>
      <c r="D156">
        <v>1411</v>
      </c>
      <c r="E156">
        <v>984</v>
      </c>
      <c r="F156">
        <v>0</v>
      </c>
      <c r="G156">
        <v>290</v>
      </c>
      <c r="H156">
        <v>175</v>
      </c>
      <c r="I156">
        <v>119</v>
      </c>
      <c r="J156">
        <v>1423</v>
      </c>
      <c r="K156">
        <v>1270</v>
      </c>
      <c r="L156">
        <v>131</v>
      </c>
      <c r="M156">
        <v>179</v>
      </c>
      <c r="N156">
        <v>461</v>
      </c>
      <c r="O156">
        <v>43</v>
      </c>
      <c r="P156">
        <v>1470000</v>
      </c>
      <c r="Q156">
        <v>1225000</v>
      </c>
      <c r="R156">
        <v>245000</v>
      </c>
      <c r="S156">
        <v>231000</v>
      </c>
      <c r="T156" s="153">
        <f t="shared" si="15"/>
        <v>3267075</v>
      </c>
      <c r="U156" s="153">
        <f t="shared" si="16"/>
        <v>1416587.5</v>
      </c>
      <c r="V156" s="153">
        <f t="shared" si="17"/>
        <v>1416587.5</v>
      </c>
      <c r="X156" t="s">
        <v>392</v>
      </c>
      <c r="Y156">
        <v>1364</v>
      </c>
      <c r="Z156">
        <v>1098</v>
      </c>
      <c r="AA156">
        <v>1228828828.8288288</v>
      </c>
      <c r="AB156">
        <v>259329239.48984411</v>
      </c>
      <c r="AC156" s="153">
        <f t="shared" si="12"/>
        <v>3979611.0956492629</v>
      </c>
      <c r="AD156" s="153">
        <f t="shared" si="13"/>
        <v>1517611.0956492629</v>
      </c>
      <c r="AE156" s="153">
        <f t="shared" si="14"/>
        <v>1517611.0956492629</v>
      </c>
    </row>
    <row r="157" spans="1:31" x14ac:dyDescent="0.25">
      <c r="A157" t="s">
        <v>603</v>
      </c>
      <c r="B157" t="s">
        <v>352</v>
      </c>
      <c r="C157">
        <v>11781</v>
      </c>
      <c r="D157">
        <v>7290</v>
      </c>
      <c r="E157">
        <v>4491</v>
      </c>
      <c r="F157">
        <v>3007</v>
      </c>
      <c r="G157">
        <v>3260</v>
      </c>
      <c r="H157">
        <v>373</v>
      </c>
      <c r="I157">
        <v>447</v>
      </c>
      <c r="J157">
        <v>4520</v>
      </c>
      <c r="K157">
        <v>6999</v>
      </c>
      <c r="L157">
        <v>1250</v>
      </c>
      <c r="M157">
        <v>275</v>
      </c>
      <c r="N157">
        <v>1225</v>
      </c>
      <c r="O157">
        <v>215</v>
      </c>
      <c r="P157">
        <v>8137000</v>
      </c>
      <c r="Q157">
        <v>6979000</v>
      </c>
      <c r="R157">
        <v>1158000</v>
      </c>
      <c r="S157">
        <v>265000</v>
      </c>
      <c r="T157" s="153">
        <f t="shared" si="15"/>
        <v>17706975</v>
      </c>
      <c r="U157" s="153">
        <f t="shared" si="16"/>
        <v>8877137.5</v>
      </c>
      <c r="V157" s="153">
        <f t="shared" si="17"/>
        <v>8877137.5</v>
      </c>
      <c r="X157" t="s">
        <v>352</v>
      </c>
      <c r="Y157">
        <v>6204</v>
      </c>
      <c r="Z157">
        <v>4276</v>
      </c>
      <c r="AA157">
        <v>6832599118.9427309</v>
      </c>
      <c r="AB157">
        <v>1114993481.0951762</v>
      </c>
      <c r="AC157" s="153">
        <f t="shared" si="12"/>
        <v>20638529.368767075</v>
      </c>
      <c r="AD157" s="153">
        <f t="shared" si="13"/>
        <v>10158529.368767075</v>
      </c>
      <c r="AE157" s="153">
        <f t="shared" si="14"/>
        <v>10158529.368767075</v>
      </c>
    </row>
    <row r="158" spans="1:31" x14ac:dyDescent="0.25">
      <c r="A158" t="s">
        <v>608</v>
      </c>
      <c r="B158" t="s">
        <v>471</v>
      </c>
      <c r="C158">
        <v>10479</v>
      </c>
      <c r="D158">
        <v>6084</v>
      </c>
      <c r="E158">
        <v>4395</v>
      </c>
      <c r="F158">
        <v>705</v>
      </c>
      <c r="G158">
        <v>91</v>
      </c>
      <c r="H158">
        <v>149</v>
      </c>
      <c r="I158">
        <v>478</v>
      </c>
      <c r="J158">
        <v>5171</v>
      </c>
      <c r="K158">
        <v>4837</v>
      </c>
      <c r="L158">
        <v>572</v>
      </c>
      <c r="M158">
        <v>45</v>
      </c>
      <c r="N158">
        <v>183</v>
      </c>
      <c r="O158">
        <v>303</v>
      </c>
      <c r="P158">
        <v>3994000</v>
      </c>
      <c r="Q158">
        <v>3164000</v>
      </c>
      <c r="R158">
        <v>830000</v>
      </c>
      <c r="S158">
        <v>135000</v>
      </c>
      <c r="T158" s="153">
        <f t="shared" si="15"/>
        <v>9189720</v>
      </c>
      <c r="U158" s="153">
        <f t="shared" si="16"/>
        <v>242340</v>
      </c>
      <c r="V158" s="153">
        <f t="shared" si="17"/>
        <v>242340</v>
      </c>
      <c r="X158" t="s">
        <v>471</v>
      </c>
      <c r="Y158">
        <v>6084</v>
      </c>
      <c r="Z158">
        <v>4371</v>
      </c>
      <c r="AA158">
        <v>3123203285.4209442</v>
      </c>
      <c r="AB158">
        <v>617547329.7541678</v>
      </c>
      <c r="AC158" s="153">
        <f t="shared" si="12"/>
        <v>9925297.1865856126</v>
      </c>
      <c r="AD158" s="153">
        <f t="shared" si="13"/>
        <v>-529702.8134143874</v>
      </c>
      <c r="AE158" s="153">
        <f t="shared" si="14"/>
        <v>0</v>
      </c>
    </row>
    <row r="159" spans="1:31" x14ac:dyDescent="0.25">
      <c r="A159" t="s">
        <v>600</v>
      </c>
      <c r="B159" t="s">
        <v>311</v>
      </c>
      <c r="C159">
        <v>2736</v>
      </c>
      <c r="D159">
        <v>1821</v>
      </c>
      <c r="E159">
        <v>915</v>
      </c>
      <c r="F159">
        <v>0</v>
      </c>
      <c r="G159">
        <v>0</v>
      </c>
      <c r="H159">
        <v>0</v>
      </c>
      <c r="I159">
        <v>125</v>
      </c>
      <c r="J159">
        <v>1403</v>
      </c>
      <c r="K159">
        <v>2999</v>
      </c>
      <c r="L159">
        <v>175</v>
      </c>
      <c r="M159">
        <v>35</v>
      </c>
      <c r="N159">
        <v>423</v>
      </c>
      <c r="O159">
        <v>6</v>
      </c>
      <c r="P159">
        <v>2595000</v>
      </c>
      <c r="Q159">
        <v>2157000</v>
      </c>
      <c r="R159">
        <v>438000</v>
      </c>
      <c r="S159">
        <v>242000</v>
      </c>
      <c r="T159" s="153">
        <f t="shared" si="15"/>
        <v>5777865</v>
      </c>
      <c r="U159" s="153">
        <f t="shared" si="16"/>
        <v>4004842.5</v>
      </c>
      <c r="V159" s="153">
        <f t="shared" si="17"/>
        <v>4004842.5</v>
      </c>
      <c r="X159" t="s">
        <v>311</v>
      </c>
      <c r="Y159">
        <v>1811</v>
      </c>
      <c r="Z159">
        <v>984</v>
      </c>
      <c r="AA159">
        <v>2158522050.0595946</v>
      </c>
      <c r="AB159">
        <v>428571428.57142854</v>
      </c>
      <c r="AC159" s="153">
        <f t="shared" si="12"/>
        <v>6867674.2153357165</v>
      </c>
      <c r="AD159" s="153">
        <f t="shared" si="13"/>
        <v>4072674.2153357165</v>
      </c>
      <c r="AE159" s="153">
        <f t="shared" si="14"/>
        <v>4072674.2153357165</v>
      </c>
    </row>
    <row r="160" spans="1:31" x14ac:dyDescent="0.25">
      <c r="A160" t="s">
        <v>603</v>
      </c>
      <c r="B160" t="s">
        <v>354</v>
      </c>
      <c r="C160">
        <v>5950</v>
      </c>
      <c r="D160">
        <v>3737</v>
      </c>
      <c r="E160">
        <v>2213</v>
      </c>
      <c r="F160">
        <v>13</v>
      </c>
      <c r="G160">
        <v>0</v>
      </c>
      <c r="H160">
        <v>0</v>
      </c>
      <c r="I160">
        <v>0</v>
      </c>
      <c r="J160">
        <v>3154</v>
      </c>
      <c r="K160">
        <v>3354</v>
      </c>
      <c r="L160">
        <v>306</v>
      </c>
      <c r="M160">
        <v>393</v>
      </c>
      <c r="N160">
        <v>741</v>
      </c>
      <c r="O160">
        <v>119</v>
      </c>
      <c r="P160">
        <v>3301000</v>
      </c>
      <c r="Q160">
        <v>2849000</v>
      </c>
      <c r="R160">
        <v>452000</v>
      </c>
      <c r="S160">
        <v>228000</v>
      </c>
      <c r="T160" s="153">
        <f t="shared" si="15"/>
        <v>7149465</v>
      </c>
      <c r="U160" s="153">
        <f t="shared" si="16"/>
        <v>2391042.5</v>
      </c>
      <c r="V160" s="153">
        <f t="shared" si="17"/>
        <v>2391042.5</v>
      </c>
      <c r="X160" t="s">
        <v>354</v>
      </c>
      <c r="Y160">
        <v>3691</v>
      </c>
      <c r="Z160">
        <v>2324</v>
      </c>
      <c r="AA160">
        <v>2888106416.2754302</v>
      </c>
      <c r="AB160">
        <v>458111571.06248772</v>
      </c>
      <c r="AC160" s="153">
        <f t="shared" si="12"/>
        <v>8663726.5143305231</v>
      </c>
      <c r="AD160" s="153">
        <f t="shared" si="13"/>
        <v>2648726.5143305231</v>
      </c>
      <c r="AE160" s="153">
        <f t="shared" si="14"/>
        <v>2648726.5143305231</v>
      </c>
    </row>
    <row r="161" spans="1:31" x14ac:dyDescent="0.25">
      <c r="A161" t="s">
        <v>603</v>
      </c>
      <c r="B161" t="s">
        <v>549</v>
      </c>
      <c r="C161">
        <v>11349</v>
      </c>
      <c r="D161">
        <v>7159</v>
      </c>
      <c r="E161">
        <v>4190</v>
      </c>
      <c r="F161">
        <v>13</v>
      </c>
      <c r="G161">
        <v>0</v>
      </c>
      <c r="H161">
        <v>264</v>
      </c>
      <c r="I161">
        <v>281</v>
      </c>
      <c r="J161">
        <v>6503</v>
      </c>
      <c r="K161">
        <v>5028</v>
      </c>
      <c r="L161">
        <v>638</v>
      </c>
      <c r="M161">
        <v>864</v>
      </c>
      <c r="N161">
        <v>1395</v>
      </c>
      <c r="O161">
        <v>295</v>
      </c>
      <c r="P161">
        <v>6654000</v>
      </c>
      <c r="Q161">
        <v>5656000</v>
      </c>
      <c r="R161">
        <v>998000</v>
      </c>
      <c r="S161">
        <v>242000</v>
      </c>
      <c r="T161" s="153">
        <f t="shared" si="15"/>
        <v>14577060</v>
      </c>
      <c r="U161" s="153">
        <f t="shared" si="16"/>
        <v>5657570</v>
      </c>
      <c r="V161" s="153">
        <f t="shared" si="17"/>
        <v>5657570</v>
      </c>
      <c r="X161" t="s">
        <v>549</v>
      </c>
      <c r="Y161">
        <v>7106</v>
      </c>
      <c r="Z161">
        <v>4663</v>
      </c>
      <c r="AA161">
        <v>5730645161.2903223</v>
      </c>
      <c r="AB161">
        <v>986252115.05922174</v>
      </c>
      <c r="AC161" s="153">
        <f t="shared" si="12"/>
        <v>17542638.880701561</v>
      </c>
      <c r="AD161" s="153">
        <f t="shared" si="13"/>
        <v>5773638.8807015605</v>
      </c>
      <c r="AE161" s="153">
        <f t="shared" si="14"/>
        <v>5773638.8807015605</v>
      </c>
    </row>
    <row r="162" spans="1:31" x14ac:dyDescent="0.25">
      <c r="A162" t="s">
        <v>599</v>
      </c>
      <c r="B162" t="s">
        <v>435</v>
      </c>
      <c r="C162">
        <v>4243</v>
      </c>
      <c r="D162">
        <v>2637</v>
      </c>
      <c r="E162">
        <v>1606</v>
      </c>
      <c r="F162">
        <v>0</v>
      </c>
      <c r="G162">
        <v>0</v>
      </c>
      <c r="H162">
        <v>0</v>
      </c>
      <c r="I162">
        <v>17</v>
      </c>
      <c r="J162">
        <v>1737</v>
      </c>
      <c r="K162">
        <v>1382</v>
      </c>
      <c r="L162">
        <v>286</v>
      </c>
      <c r="M162">
        <v>0</v>
      </c>
      <c r="N162">
        <v>800</v>
      </c>
      <c r="O162">
        <v>34</v>
      </c>
      <c r="P162">
        <v>2778000</v>
      </c>
      <c r="Q162">
        <v>2275000</v>
      </c>
      <c r="R162">
        <v>503000</v>
      </c>
      <c r="S162">
        <v>250000</v>
      </c>
      <c r="T162" s="153">
        <f t="shared" si="15"/>
        <v>6250305</v>
      </c>
      <c r="U162" s="153">
        <f t="shared" si="16"/>
        <v>3049022.5</v>
      </c>
      <c r="V162" s="153">
        <f t="shared" si="17"/>
        <v>3049022.5</v>
      </c>
      <c r="X162" t="s">
        <v>435</v>
      </c>
      <c r="Y162">
        <v>2549</v>
      </c>
      <c r="Z162">
        <v>1554</v>
      </c>
      <c r="AA162">
        <v>2268802848.2421002</v>
      </c>
      <c r="AB162">
        <v>463756005.84917486</v>
      </c>
      <c r="AC162" s="153">
        <f t="shared" si="12"/>
        <v>7279074.3743710518</v>
      </c>
      <c r="AD162" s="153">
        <f t="shared" si="13"/>
        <v>3176074.3743710518</v>
      </c>
      <c r="AE162" s="153">
        <f t="shared" si="14"/>
        <v>3176074.3743710518</v>
      </c>
    </row>
    <row r="163" spans="1:31" x14ac:dyDescent="0.25">
      <c r="A163" t="s">
        <v>599</v>
      </c>
      <c r="B163" t="s">
        <v>436</v>
      </c>
      <c r="C163">
        <v>3270</v>
      </c>
      <c r="D163">
        <v>1818</v>
      </c>
      <c r="E163">
        <v>1452</v>
      </c>
      <c r="F163">
        <v>0</v>
      </c>
      <c r="G163">
        <v>7</v>
      </c>
      <c r="H163">
        <v>341</v>
      </c>
      <c r="I163">
        <v>32</v>
      </c>
      <c r="J163">
        <v>1101</v>
      </c>
      <c r="K163">
        <v>1360</v>
      </c>
      <c r="L163">
        <v>148</v>
      </c>
      <c r="M163">
        <v>30</v>
      </c>
      <c r="N163">
        <v>868</v>
      </c>
      <c r="O163">
        <v>50</v>
      </c>
      <c r="P163">
        <v>2013000</v>
      </c>
      <c r="Q163">
        <v>1702000</v>
      </c>
      <c r="R163">
        <v>311000</v>
      </c>
      <c r="S163">
        <v>288000</v>
      </c>
      <c r="T163" s="153">
        <f t="shared" si="15"/>
        <v>4427220</v>
      </c>
      <c r="U163" s="153">
        <f t="shared" si="16"/>
        <v>1895090</v>
      </c>
      <c r="V163" s="153">
        <f t="shared" si="17"/>
        <v>1895090</v>
      </c>
      <c r="X163" t="s">
        <v>436</v>
      </c>
      <c r="Y163">
        <v>1743</v>
      </c>
      <c r="Z163">
        <v>1501</v>
      </c>
      <c r="AA163">
        <v>1728823646.1019638</v>
      </c>
      <c r="AB163">
        <v>301326962.84102541</v>
      </c>
      <c r="AC163" s="153">
        <f t="shared" si="12"/>
        <v>5309551.5901427958</v>
      </c>
      <c r="AD163" s="153">
        <f t="shared" si="13"/>
        <v>2065551.5901427958</v>
      </c>
      <c r="AE163" s="153">
        <f t="shared" si="14"/>
        <v>2065551.5901427958</v>
      </c>
    </row>
    <row r="164" spans="1:31" x14ac:dyDescent="0.25">
      <c r="A164" t="s">
        <v>608</v>
      </c>
      <c r="B164" t="s">
        <v>472</v>
      </c>
      <c r="C164">
        <v>7422</v>
      </c>
      <c r="D164">
        <v>5331</v>
      </c>
      <c r="E164">
        <v>2091</v>
      </c>
      <c r="F164">
        <v>13</v>
      </c>
      <c r="G164">
        <v>28</v>
      </c>
      <c r="H164">
        <v>101</v>
      </c>
      <c r="I164">
        <v>387</v>
      </c>
      <c r="J164">
        <v>4669</v>
      </c>
      <c r="K164">
        <v>3159</v>
      </c>
      <c r="L164">
        <v>350</v>
      </c>
      <c r="M164">
        <v>20</v>
      </c>
      <c r="N164">
        <v>283</v>
      </c>
      <c r="O164">
        <v>56</v>
      </c>
      <c r="P164">
        <v>3343000</v>
      </c>
      <c r="Q164">
        <v>2863000</v>
      </c>
      <c r="R164">
        <v>480000</v>
      </c>
      <c r="S164">
        <v>161000</v>
      </c>
      <c r="T164" s="153">
        <f t="shared" si="15"/>
        <v>7282815</v>
      </c>
      <c r="U164" s="153">
        <f t="shared" si="16"/>
        <v>1074617.5</v>
      </c>
      <c r="V164" s="153">
        <f t="shared" si="17"/>
        <v>1074617.5</v>
      </c>
      <c r="X164" t="s">
        <v>472</v>
      </c>
      <c r="Y164">
        <v>5105</v>
      </c>
      <c r="Z164">
        <v>2299</v>
      </c>
      <c r="AA164">
        <v>2850872294.3239441</v>
      </c>
      <c r="AB164">
        <v>474468673.51024264</v>
      </c>
      <c r="AC164" s="153">
        <f t="shared" si="12"/>
        <v>8653433.1565550473</v>
      </c>
      <c r="AD164" s="153">
        <f t="shared" si="13"/>
        <v>1249433.1565550473</v>
      </c>
      <c r="AE164" s="153">
        <f t="shared" si="14"/>
        <v>1249433.1565550473</v>
      </c>
    </row>
    <row r="165" spans="1:31" x14ac:dyDescent="0.25">
      <c r="A165" t="s">
        <v>600</v>
      </c>
      <c r="B165" t="s">
        <v>312</v>
      </c>
      <c r="C165">
        <v>2268</v>
      </c>
      <c r="D165">
        <v>1744</v>
      </c>
      <c r="E165">
        <v>524</v>
      </c>
      <c r="F165">
        <v>0</v>
      </c>
      <c r="G165">
        <v>20</v>
      </c>
      <c r="H165">
        <v>15</v>
      </c>
      <c r="I165">
        <v>3</v>
      </c>
      <c r="J165">
        <v>1121</v>
      </c>
      <c r="K165">
        <v>1237</v>
      </c>
      <c r="L165">
        <v>167</v>
      </c>
      <c r="M165">
        <v>116</v>
      </c>
      <c r="N165">
        <v>381</v>
      </c>
      <c r="O165">
        <v>110</v>
      </c>
      <c r="P165">
        <v>1798000</v>
      </c>
      <c r="Q165">
        <v>1672000</v>
      </c>
      <c r="R165">
        <v>126000</v>
      </c>
      <c r="S165">
        <v>351000</v>
      </c>
      <c r="T165" s="153">
        <f t="shared" si="15"/>
        <v>3665220</v>
      </c>
      <c r="U165" s="153">
        <f t="shared" si="16"/>
        <v>2008090</v>
      </c>
      <c r="V165" s="153">
        <f t="shared" si="17"/>
        <v>2008090</v>
      </c>
      <c r="X165" t="s">
        <v>312</v>
      </c>
      <c r="Y165">
        <v>1659</v>
      </c>
      <c r="Z165">
        <v>470</v>
      </c>
      <c r="AA165">
        <v>1638842240.4425564</v>
      </c>
      <c r="AB165">
        <v>94777172.817100227</v>
      </c>
      <c r="AC165" s="153">
        <f t="shared" si="12"/>
        <v>4163868.4920254676</v>
      </c>
      <c r="AD165" s="153">
        <f t="shared" si="13"/>
        <v>2034868.4920254676</v>
      </c>
      <c r="AE165" s="153">
        <f t="shared" si="14"/>
        <v>2034868.4920254676</v>
      </c>
    </row>
    <row r="166" spans="1:31" x14ac:dyDescent="0.25">
      <c r="A166" t="s">
        <v>600</v>
      </c>
      <c r="B166" t="s">
        <v>313</v>
      </c>
      <c r="C166">
        <v>4856</v>
      </c>
      <c r="D166">
        <v>3348</v>
      </c>
      <c r="E166">
        <v>1508</v>
      </c>
      <c r="F166">
        <v>0</v>
      </c>
      <c r="G166">
        <v>1691</v>
      </c>
      <c r="H166">
        <v>66</v>
      </c>
      <c r="I166">
        <v>22</v>
      </c>
      <c r="J166">
        <v>3992</v>
      </c>
      <c r="K166">
        <v>2480</v>
      </c>
      <c r="L166">
        <v>486</v>
      </c>
      <c r="M166">
        <v>243</v>
      </c>
      <c r="N166">
        <v>634</v>
      </c>
      <c r="O166">
        <v>47</v>
      </c>
      <c r="P166">
        <v>3337000</v>
      </c>
      <c r="Q166">
        <v>2906000</v>
      </c>
      <c r="R166">
        <v>431000</v>
      </c>
      <c r="S166">
        <v>253000</v>
      </c>
      <c r="T166" s="153">
        <f t="shared" si="15"/>
        <v>7178040</v>
      </c>
      <c r="U166" s="153">
        <f t="shared" si="16"/>
        <v>3518380</v>
      </c>
      <c r="V166" s="153">
        <f t="shared" si="17"/>
        <v>3518380</v>
      </c>
      <c r="X166" t="s">
        <v>313</v>
      </c>
      <c r="Y166">
        <v>3275</v>
      </c>
      <c r="Z166">
        <v>1687</v>
      </c>
      <c r="AA166">
        <v>2883430181.3699598</v>
      </c>
      <c r="AB166">
        <v>431038888.03720164</v>
      </c>
      <c r="AC166" s="153">
        <f t="shared" si="12"/>
        <v>8529770.1217532959</v>
      </c>
      <c r="AD166" s="153">
        <f t="shared" si="13"/>
        <v>3567770.1217532959</v>
      </c>
      <c r="AE166" s="153">
        <f t="shared" si="14"/>
        <v>3567770.1217532959</v>
      </c>
    </row>
    <row r="167" spans="1:31" x14ac:dyDescent="0.25">
      <c r="A167" t="s">
        <v>603</v>
      </c>
      <c r="B167" t="s">
        <v>355</v>
      </c>
      <c r="C167">
        <v>14606</v>
      </c>
      <c r="D167">
        <v>8667</v>
      </c>
      <c r="E167">
        <v>5939</v>
      </c>
      <c r="F167">
        <v>0</v>
      </c>
      <c r="G167">
        <v>245</v>
      </c>
      <c r="H167">
        <v>0</v>
      </c>
      <c r="I167">
        <v>404</v>
      </c>
      <c r="J167">
        <v>6421</v>
      </c>
      <c r="K167">
        <v>5314</v>
      </c>
      <c r="L167">
        <v>732</v>
      </c>
      <c r="M167">
        <v>202</v>
      </c>
      <c r="N167">
        <v>2500</v>
      </c>
      <c r="O167">
        <v>182</v>
      </c>
      <c r="P167">
        <v>8452000</v>
      </c>
      <c r="Q167">
        <v>6729000</v>
      </c>
      <c r="R167">
        <v>1723000</v>
      </c>
      <c r="S167">
        <v>287000</v>
      </c>
      <c r="T167" s="153">
        <f t="shared" si="15"/>
        <v>19383375</v>
      </c>
      <c r="U167" s="153">
        <f t="shared" si="16"/>
        <v>8007937.5</v>
      </c>
      <c r="V167" s="153">
        <f t="shared" si="17"/>
        <v>8007937.5</v>
      </c>
      <c r="X167" t="s">
        <v>355</v>
      </c>
      <c r="Y167">
        <v>8804</v>
      </c>
      <c r="Z167">
        <v>7438</v>
      </c>
      <c r="AA167">
        <v>6674753601.2130413</v>
      </c>
      <c r="AB167">
        <v>1670334605.8836739</v>
      </c>
      <c r="AC167" s="153">
        <f t="shared" si="12"/>
        <v>22808456.21942734</v>
      </c>
      <c r="AD167" s="153">
        <f t="shared" si="13"/>
        <v>6566456.2194273397</v>
      </c>
      <c r="AE167" s="153">
        <f t="shared" si="14"/>
        <v>6566456.2194273397</v>
      </c>
    </row>
    <row r="168" spans="1:31" x14ac:dyDescent="0.25">
      <c r="A168" t="s">
        <v>600</v>
      </c>
      <c r="B168" t="s">
        <v>314</v>
      </c>
      <c r="C168">
        <v>4246</v>
      </c>
      <c r="D168">
        <v>3293</v>
      </c>
      <c r="E168">
        <v>953</v>
      </c>
      <c r="F168">
        <v>0</v>
      </c>
      <c r="G168">
        <v>860</v>
      </c>
      <c r="H168">
        <v>0</v>
      </c>
      <c r="I168">
        <v>74</v>
      </c>
      <c r="J168">
        <v>1076</v>
      </c>
      <c r="K168">
        <v>1205</v>
      </c>
      <c r="L168">
        <v>146</v>
      </c>
      <c r="M168">
        <v>156</v>
      </c>
      <c r="N168">
        <v>436</v>
      </c>
      <c r="O168">
        <v>107</v>
      </c>
      <c r="P168">
        <v>3248000</v>
      </c>
      <c r="Q168">
        <v>3001000</v>
      </c>
      <c r="R168">
        <v>247000</v>
      </c>
      <c r="T168" s="153">
        <f t="shared" si="15"/>
        <v>6657975</v>
      </c>
      <c r="U168" s="153">
        <f t="shared" si="16"/>
        <v>3521637.5</v>
      </c>
      <c r="V168" s="153">
        <f t="shared" si="17"/>
        <v>3521637.5</v>
      </c>
      <c r="X168" t="s">
        <v>314</v>
      </c>
      <c r="Y168">
        <v>3304</v>
      </c>
      <c r="Z168">
        <v>925</v>
      </c>
      <c r="AA168">
        <v>3033976124.8852162</v>
      </c>
      <c r="AB168">
        <v>287803360.29869318</v>
      </c>
      <c r="AC168" s="153">
        <f t="shared" si="12"/>
        <v>8220223.3334457139</v>
      </c>
      <c r="AD168" s="153">
        <f t="shared" si="13"/>
        <v>3991223.3334457139</v>
      </c>
      <c r="AE168" s="153">
        <f t="shared" si="14"/>
        <v>3991223.3334457139</v>
      </c>
    </row>
    <row r="169" spans="1:31" x14ac:dyDescent="0.25">
      <c r="A169" t="s">
        <v>602</v>
      </c>
      <c r="B169" t="s">
        <v>173</v>
      </c>
      <c r="C169">
        <v>31748</v>
      </c>
      <c r="D169">
        <v>13827</v>
      </c>
      <c r="E169">
        <v>17921</v>
      </c>
      <c r="F169">
        <v>3887</v>
      </c>
      <c r="G169">
        <v>335</v>
      </c>
      <c r="H169">
        <v>350</v>
      </c>
      <c r="I169">
        <v>546</v>
      </c>
      <c r="J169">
        <v>12253</v>
      </c>
      <c r="K169">
        <v>15314</v>
      </c>
      <c r="L169">
        <v>1397</v>
      </c>
      <c r="M169">
        <v>797</v>
      </c>
      <c r="N169">
        <v>3634</v>
      </c>
      <c r="O169">
        <v>615</v>
      </c>
      <c r="P169">
        <v>11517000</v>
      </c>
      <c r="Q169">
        <v>8870000</v>
      </c>
      <c r="R169">
        <v>2647000</v>
      </c>
      <c r="S169">
        <v>143000</v>
      </c>
      <c r="T169" s="153">
        <f t="shared" si="15"/>
        <v>26982420</v>
      </c>
      <c r="U169" s="153">
        <f t="shared" si="16"/>
        <v>-268510</v>
      </c>
      <c r="V169" s="153">
        <f t="shared" si="17"/>
        <v>0</v>
      </c>
      <c r="X169" t="s">
        <v>173</v>
      </c>
      <c r="Y169">
        <v>14154</v>
      </c>
      <c r="Z169">
        <v>21637</v>
      </c>
      <c r="AA169">
        <v>9266121112.9296227</v>
      </c>
      <c r="AB169">
        <v>2766596767.5941081</v>
      </c>
      <c r="AC169" s="153">
        <f t="shared" si="12"/>
        <v>33702972.558647029</v>
      </c>
      <c r="AD169" s="153">
        <f t="shared" si="13"/>
        <v>-2088027.4413529709</v>
      </c>
      <c r="AE169" s="153">
        <f t="shared" si="14"/>
        <v>0</v>
      </c>
    </row>
    <row r="170" spans="1:31" x14ac:dyDescent="0.25">
      <c r="A170" t="s">
        <v>603</v>
      </c>
      <c r="B170" t="s">
        <v>357</v>
      </c>
      <c r="C170">
        <v>51509</v>
      </c>
      <c r="D170">
        <v>21871</v>
      </c>
      <c r="E170">
        <v>29638</v>
      </c>
      <c r="F170">
        <v>12996</v>
      </c>
      <c r="G170">
        <v>8250</v>
      </c>
      <c r="H170">
        <v>797</v>
      </c>
      <c r="I170">
        <v>0</v>
      </c>
      <c r="J170">
        <v>7136</v>
      </c>
      <c r="K170">
        <v>13587</v>
      </c>
      <c r="L170">
        <v>1676</v>
      </c>
      <c r="M170">
        <v>0</v>
      </c>
      <c r="N170">
        <v>3012</v>
      </c>
      <c r="O170">
        <v>1273</v>
      </c>
      <c r="P170">
        <v>16800000</v>
      </c>
      <c r="Q170">
        <v>13705000</v>
      </c>
      <c r="R170">
        <v>3095000</v>
      </c>
      <c r="S170">
        <v>234000</v>
      </c>
      <c r="T170" s="153">
        <f t="shared" si="15"/>
        <v>37899975</v>
      </c>
      <c r="U170" s="153">
        <f t="shared" si="16"/>
        <v>-7292362.5</v>
      </c>
      <c r="V170" s="153">
        <f t="shared" si="17"/>
        <v>0</v>
      </c>
      <c r="X170" t="s">
        <v>357</v>
      </c>
      <c r="Y170">
        <v>20967</v>
      </c>
      <c r="Z170">
        <v>27022</v>
      </c>
      <c r="AA170">
        <v>14086938994.893847</v>
      </c>
      <c r="AB170">
        <v>2908687742.8660617</v>
      </c>
      <c r="AC170" s="153">
        <f t="shared" si="12"/>
        <v>45328758.84387888</v>
      </c>
      <c r="AD170" s="153">
        <f t="shared" si="13"/>
        <v>-2660241.1561211199</v>
      </c>
      <c r="AE170" s="153">
        <f t="shared" si="14"/>
        <v>0</v>
      </c>
    </row>
    <row r="171" spans="1:31" x14ac:dyDescent="0.25">
      <c r="A171" t="s">
        <v>603</v>
      </c>
      <c r="B171" t="s">
        <v>358</v>
      </c>
      <c r="C171">
        <v>7271</v>
      </c>
      <c r="D171">
        <v>5171</v>
      </c>
      <c r="E171">
        <v>2100</v>
      </c>
      <c r="F171">
        <v>21</v>
      </c>
      <c r="G171">
        <v>594</v>
      </c>
      <c r="H171">
        <v>54</v>
      </c>
      <c r="I171">
        <v>68</v>
      </c>
      <c r="J171">
        <v>1606</v>
      </c>
      <c r="K171">
        <v>3712</v>
      </c>
      <c r="L171">
        <v>326</v>
      </c>
      <c r="M171">
        <v>413</v>
      </c>
      <c r="N171">
        <v>411</v>
      </c>
      <c r="O171">
        <v>40</v>
      </c>
      <c r="P171">
        <v>3646000</v>
      </c>
      <c r="Q171">
        <v>3198000</v>
      </c>
      <c r="R171">
        <v>448000</v>
      </c>
      <c r="S171">
        <v>258000</v>
      </c>
      <c r="T171" s="153">
        <f t="shared" si="15"/>
        <v>7799070</v>
      </c>
      <c r="U171" s="153">
        <f t="shared" si="16"/>
        <v>1827915</v>
      </c>
      <c r="V171" s="153">
        <f t="shared" si="17"/>
        <v>1827915</v>
      </c>
      <c r="X171" t="s">
        <v>358</v>
      </c>
      <c r="Y171">
        <v>4913</v>
      </c>
      <c r="Z171">
        <v>2619</v>
      </c>
      <c r="AA171">
        <v>3129299363.0573249</v>
      </c>
      <c r="AB171">
        <v>430119888.32320577</v>
      </c>
      <c r="AC171" s="153">
        <f t="shared" si="12"/>
        <v>9085510.4674853086</v>
      </c>
      <c r="AD171" s="153">
        <f t="shared" si="13"/>
        <v>1553510.4674853086</v>
      </c>
      <c r="AE171" s="153">
        <f t="shared" si="14"/>
        <v>1553510.4674853086</v>
      </c>
    </row>
    <row r="172" spans="1:31" x14ac:dyDescent="0.25">
      <c r="A172" t="s">
        <v>603</v>
      </c>
      <c r="B172" t="s">
        <v>359</v>
      </c>
      <c r="C172">
        <v>11451</v>
      </c>
      <c r="D172">
        <v>8548</v>
      </c>
      <c r="E172">
        <v>2903</v>
      </c>
      <c r="F172">
        <v>226</v>
      </c>
      <c r="G172">
        <v>368</v>
      </c>
      <c r="H172">
        <v>147</v>
      </c>
      <c r="I172">
        <v>408</v>
      </c>
      <c r="J172">
        <v>5420</v>
      </c>
      <c r="K172">
        <v>11361</v>
      </c>
      <c r="L172">
        <v>1281</v>
      </c>
      <c r="M172">
        <v>942</v>
      </c>
      <c r="N172">
        <v>1725</v>
      </c>
      <c r="O172">
        <v>135</v>
      </c>
      <c r="P172">
        <v>10094000</v>
      </c>
      <c r="Q172">
        <v>9267000</v>
      </c>
      <c r="R172">
        <v>827000</v>
      </c>
      <c r="S172">
        <v>248000</v>
      </c>
      <c r="T172" s="153">
        <f t="shared" si="15"/>
        <v>20804505</v>
      </c>
      <c r="U172" s="153">
        <f t="shared" si="16"/>
        <v>12820922.5</v>
      </c>
      <c r="V172" s="153">
        <f t="shared" si="17"/>
        <v>12820922.5</v>
      </c>
      <c r="X172" t="s">
        <v>359</v>
      </c>
      <c r="Y172">
        <v>8168</v>
      </c>
      <c r="Z172">
        <v>2798</v>
      </c>
      <c r="AA172">
        <v>9324200913.2420101</v>
      </c>
      <c r="AB172">
        <v>806805074.97116494</v>
      </c>
      <c r="AC172" s="153">
        <f t="shared" si="12"/>
        <v>24909041.727891799</v>
      </c>
      <c r="AD172" s="153">
        <f t="shared" si="13"/>
        <v>13943041.727891799</v>
      </c>
      <c r="AE172" s="153">
        <f t="shared" si="14"/>
        <v>13943041.727891799</v>
      </c>
    </row>
    <row r="173" spans="1:31" x14ac:dyDescent="0.25">
      <c r="A173" t="s">
        <v>605</v>
      </c>
      <c r="B173" t="s">
        <v>496</v>
      </c>
      <c r="C173">
        <v>22877</v>
      </c>
      <c r="D173">
        <v>11165</v>
      </c>
      <c r="E173">
        <v>11712</v>
      </c>
      <c r="F173">
        <v>2190</v>
      </c>
      <c r="G173">
        <v>1760</v>
      </c>
      <c r="H173">
        <v>0</v>
      </c>
      <c r="I173">
        <v>696</v>
      </c>
      <c r="J173">
        <v>5481</v>
      </c>
      <c r="K173">
        <v>8645</v>
      </c>
      <c r="L173">
        <v>895</v>
      </c>
      <c r="M173">
        <v>439</v>
      </c>
      <c r="N173">
        <v>1500</v>
      </c>
      <c r="O173">
        <v>197</v>
      </c>
      <c r="P173">
        <v>7153000</v>
      </c>
      <c r="Q173">
        <v>5446000</v>
      </c>
      <c r="R173">
        <v>1707000</v>
      </c>
      <c r="S173">
        <v>169000</v>
      </c>
      <c r="T173" s="153">
        <f t="shared" si="15"/>
        <v>16878300</v>
      </c>
      <c r="U173" s="153">
        <f t="shared" si="16"/>
        <v>-3185650</v>
      </c>
      <c r="V173" s="153">
        <f t="shared" si="17"/>
        <v>0</v>
      </c>
      <c r="X173" t="s">
        <v>496</v>
      </c>
      <c r="Y173">
        <v>10429</v>
      </c>
      <c r="Z173">
        <v>12086</v>
      </c>
      <c r="AA173">
        <v>5423296931.8772755</v>
      </c>
      <c r="AB173">
        <v>1719937384.3745551</v>
      </c>
      <c r="AC173" s="153">
        <f t="shared" si="12"/>
        <v>20184396.352893159</v>
      </c>
      <c r="AD173" s="153">
        <f t="shared" si="13"/>
        <v>-2330603.6471068412</v>
      </c>
      <c r="AE173" s="153">
        <f t="shared" si="14"/>
        <v>0</v>
      </c>
    </row>
    <row r="174" spans="1:31" x14ac:dyDescent="0.25">
      <c r="A174" t="s">
        <v>608</v>
      </c>
      <c r="B174" t="s">
        <v>473</v>
      </c>
      <c r="C174">
        <v>5757</v>
      </c>
      <c r="D174">
        <v>3976</v>
      </c>
      <c r="E174">
        <v>1781</v>
      </c>
      <c r="F174">
        <v>0</v>
      </c>
      <c r="G174">
        <v>0</v>
      </c>
      <c r="H174">
        <v>897</v>
      </c>
      <c r="I174">
        <v>277</v>
      </c>
      <c r="J174">
        <v>4818</v>
      </c>
      <c r="K174">
        <v>2527</v>
      </c>
      <c r="L174">
        <v>509</v>
      </c>
      <c r="M174">
        <v>7</v>
      </c>
      <c r="N174">
        <v>743</v>
      </c>
      <c r="O174">
        <v>23</v>
      </c>
      <c r="P174">
        <v>4234000</v>
      </c>
      <c r="Q174">
        <v>3363000</v>
      </c>
      <c r="R174">
        <v>871000</v>
      </c>
      <c r="S174">
        <v>221000</v>
      </c>
      <c r="T174" s="153">
        <f t="shared" si="15"/>
        <v>9725025</v>
      </c>
      <c r="U174" s="153">
        <f t="shared" si="16"/>
        <v>5588862.5</v>
      </c>
      <c r="V174" s="153">
        <f t="shared" si="17"/>
        <v>5588862.5</v>
      </c>
      <c r="X174" t="s">
        <v>473</v>
      </c>
      <c r="Y174">
        <v>3801</v>
      </c>
      <c r="Z174">
        <v>2441</v>
      </c>
      <c r="AA174">
        <v>3325459317.5853019</v>
      </c>
      <c r="AB174">
        <v>881864161.84971094</v>
      </c>
      <c r="AC174" s="153">
        <f t="shared" si="12"/>
        <v>11589776.655085742</v>
      </c>
      <c r="AD174" s="153">
        <f t="shared" si="13"/>
        <v>5347776.6550857425</v>
      </c>
      <c r="AE174" s="153">
        <f t="shared" si="14"/>
        <v>5347776.6550857425</v>
      </c>
    </row>
    <row r="175" spans="1:31" x14ac:dyDescent="0.25">
      <c r="A175" t="s">
        <v>606</v>
      </c>
      <c r="B175" t="s">
        <v>271</v>
      </c>
      <c r="C175">
        <v>6890</v>
      </c>
      <c r="D175">
        <v>4342</v>
      </c>
      <c r="E175">
        <v>2548</v>
      </c>
      <c r="F175">
        <v>10</v>
      </c>
      <c r="G175">
        <v>22</v>
      </c>
      <c r="H175">
        <v>164</v>
      </c>
      <c r="I175">
        <v>177</v>
      </c>
      <c r="J175">
        <v>1565</v>
      </c>
      <c r="K175">
        <v>2372</v>
      </c>
      <c r="L175">
        <v>459</v>
      </c>
      <c r="M175">
        <v>35</v>
      </c>
      <c r="N175">
        <v>407</v>
      </c>
      <c r="O175">
        <v>96</v>
      </c>
      <c r="P175">
        <v>4250000</v>
      </c>
      <c r="Q175">
        <v>3685000</v>
      </c>
      <c r="R175">
        <v>565000</v>
      </c>
      <c r="S175">
        <v>292000</v>
      </c>
      <c r="T175" s="153">
        <f t="shared" si="15"/>
        <v>9172575</v>
      </c>
      <c r="U175" s="153">
        <f t="shared" si="16"/>
        <v>3811337.5</v>
      </c>
      <c r="V175" s="153">
        <f t="shared" si="17"/>
        <v>3811337.5</v>
      </c>
      <c r="X175" t="s">
        <v>271</v>
      </c>
      <c r="Y175">
        <v>4041</v>
      </c>
      <c r="Z175">
        <v>2520</v>
      </c>
      <c r="AA175">
        <v>3660326086.956522</v>
      </c>
      <c r="AB175">
        <v>535259133.38997447</v>
      </c>
      <c r="AC175" s="153">
        <f t="shared" si="12"/>
        <v>10773709.541575857</v>
      </c>
      <c r="AD175" s="153">
        <f t="shared" si="13"/>
        <v>4212709.5415758565</v>
      </c>
      <c r="AE175" s="153">
        <f t="shared" si="14"/>
        <v>4212709.5415758565</v>
      </c>
    </row>
    <row r="176" spans="1:31" x14ac:dyDescent="0.25">
      <c r="A176" t="s">
        <v>601</v>
      </c>
      <c r="B176" t="s">
        <v>233</v>
      </c>
      <c r="C176">
        <v>11227</v>
      </c>
      <c r="D176">
        <v>8636</v>
      </c>
      <c r="E176">
        <v>2591</v>
      </c>
      <c r="F176">
        <v>0</v>
      </c>
      <c r="G176">
        <v>4426</v>
      </c>
      <c r="H176">
        <v>93</v>
      </c>
      <c r="I176">
        <v>312</v>
      </c>
      <c r="J176">
        <v>4600</v>
      </c>
      <c r="K176">
        <v>3106</v>
      </c>
      <c r="L176">
        <v>611</v>
      </c>
      <c r="M176">
        <v>200</v>
      </c>
      <c r="N176">
        <v>888</v>
      </c>
      <c r="O176">
        <v>172</v>
      </c>
      <c r="P176">
        <v>5180000</v>
      </c>
      <c r="Q176">
        <v>4666000</v>
      </c>
      <c r="R176">
        <v>514000</v>
      </c>
      <c r="S176">
        <v>240000</v>
      </c>
      <c r="T176" s="153">
        <f t="shared" si="15"/>
        <v>10847070</v>
      </c>
      <c r="U176" s="153">
        <f t="shared" si="16"/>
        <v>1427915</v>
      </c>
      <c r="V176" s="153">
        <f t="shared" si="17"/>
        <v>1427915</v>
      </c>
      <c r="X176" t="s">
        <v>233</v>
      </c>
      <c r="Y176">
        <v>8439</v>
      </c>
      <c r="Z176">
        <v>2939</v>
      </c>
      <c r="AA176">
        <v>4626644736.8421049</v>
      </c>
      <c r="AB176">
        <v>528597122.30215818</v>
      </c>
      <c r="AC176" s="153">
        <f t="shared" si="12"/>
        <v>12943995.973747315</v>
      </c>
      <c r="AD176" s="153">
        <f t="shared" si="13"/>
        <v>1565995.9737473149</v>
      </c>
      <c r="AE176" s="153">
        <f t="shared" si="14"/>
        <v>1565995.9737473149</v>
      </c>
    </row>
    <row r="177" spans="1:31" x14ac:dyDescent="0.25">
      <c r="A177" t="s">
        <v>600</v>
      </c>
      <c r="B177" t="s">
        <v>360</v>
      </c>
      <c r="C177">
        <v>4293</v>
      </c>
      <c r="D177">
        <v>2447</v>
      </c>
      <c r="E177">
        <v>1846</v>
      </c>
      <c r="F177">
        <v>4</v>
      </c>
      <c r="G177">
        <v>2158</v>
      </c>
      <c r="H177">
        <v>122</v>
      </c>
      <c r="I177">
        <v>103</v>
      </c>
      <c r="J177">
        <v>2790</v>
      </c>
      <c r="K177">
        <v>2469</v>
      </c>
      <c r="L177">
        <v>429</v>
      </c>
      <c r="M177">
        <v>0</v>
      </c>
      <c r="N177">
        <v>1056</v>
      </c>
      <c r="O177">
        <v>15</v>
      </c>
      <c r="P177">
        <v>3188000</v>
      </c>
      <c r="Q177">
        <v>2623000</v>
      </c>
      <c r="R177">
        <v>565000</v>
      </c>
      <c r="S177">
        <v>258000</v>
      </c>
      <c r="T177" s="153">
        <f t="shared" si="15"/>
        <v>7149465</v>
      </c>
      <c r="U177" s="153">
        <f t="shared" si="16"/>
        <v>4048042.5</v>
      </c>
      <c r="V177" s="153">
        <f t="shared" si="17"/>
        <v>4048042.5</v>
      </c>
      <c r="X177" t="s">
        <v>360</v>
      </c>
      <c r="Y177">
        <v>2394</v>
      </c>
      <c r="Z177">
        <v>1967</v>
      </c>
      <c r="AA177">
        <v>2588108108.108108</v>
      </c>
      <c r="AB177">
        <v>556435643.56435633</v>
      </c>
      <c r="AC177" s="153">
        <f t="shared" si="12"/>
        <v>8428363.7427526526</v>
      </c>
      <c r="AD177" s="153">
        <f t="shared" si="13"/>
        <v>4067363.7427526526</v>
      </c>
      <c r="AE177" s="153">
        <f t="shared" si="14"/>
        <v>4067363.7427526526</v>
      </c>
    </row>
    <row r="178" spans="1:31" x14ac:dyDescent="0.25">
      <c r="A178" t="s">
        <v>601</v>
      </c>
      <c r="B178" t="s">
        <v>234</v>
      </c>
      <c r="C178">
        <v>5260</v>
      </c>
      <c r="D178">
        <v>3812</v>
      </c>
      <c r="E178">
        <v>1448</v>
      </c>
      <c r="F178">
        <v>15</v>
      </c>
      <c r="G178">
        <v>0</v>
      </c>
      <c r="H178">
        <v>541</v>
      </c>
      <c r="I178">
        <v>197</v>
      </c>
      <c r="J178">
        <v>5161</v>
      </c>
      <c r="K178">
        <v>2802</v>
      </c>
      <c r="L178">
        <v>399</v>
      </c>
      <c r="M178">
        <v>348</v>
      </c>
      <c r="N178">
        <v>794</v>
      </c>
      <c r="O178">
        <v>265</v>
      </c>
      <c r="P178">
        <v>4912000</v>
      </c>
      <c r="Q178">
        <v>4136000</v>
      </c>
      <c r="R178">
        <v>776000</v>
      </c>
      <c r="S178">
        <v>283000</v>
      </c>
      <c r="T178" s="153">
        <f t="shared" si="15"/>
        <v>10835640</v>
      </c>
      <c r="U178" s="153">
        <f t="shared" si="16"/>
        <v>7381580</v>
      </c>
      <c r="V178" s="153">
        <f t="shared" si="17"/>
        <v>7381580</v>
      </c>
      <c r="X178" t="s">
        <v>234</v>
      </c>
      <c r="Y178">
        <v>3778</v>
      </c>
      <c r="Z178">
        <v>1668</v>
      </c>
      <c r="AA178">
        <v>4115468409.5860562</v>
      </c>
      <c r="AB178">
        <v>765137614.67889905</v>
      </c>
      <c r="AC178" s="153">
        <f t="shared" si="12"/>
        <v>12857240.18042147</v>
      </c>
      <c r="AD178" s="153">
        <f t="shared" si="13"/>
        <v>7411240.1804214697</v>
      </c>
      <c r="AE178" s="153">
        <f t="shared" si="14"/>
        <v>7411240.1804214697</v>
      </c>
    </row>
    <row r="179" spans="1:31" x14ac:dyDescent="0.25">
      <c r="A179" t="s">
        <v>599</v>
      </c>
      <c r="B179" t="s">
        <v>437</v>
      </c>
      <c r="C179">
        <v>5089</v>
      </c>
      <c r="D179">
        <v>3288</v>
      </c>
      <c r="E179">
        <v>1801</v>
      </c>
      <c r="F179">
        <v>0</v>
      </c>
      <c r="G179">
        <v>0</v>
      </c>
      <c r="H179">
        <v>930</v>
      </c>
      <c r="I179">
        <v>250</v>
      </c>
      <c r="J179">
        <v>2609</v>
      </c>
      <c r="K179">
        <v>2012</v>
      </c>
      <c r="L179">
        <v>471</v>
      </c>
      <c r="M179">
        <v>0</v>
      </c>
      <c r="N179">
        <v>326</v>
      </c>
      <c r="O179">
        <v>77</v>
      </c>
      <c r="P179">
        <v>2898000</v>
      </c>
      <c r="Q179">
        <v>2388000</v>
      </c>
      <c r="R179">
        <v>510000</v>
      </c>
      <c r="S179">
        <v>247000</v>
      </c>
      <c r="T179" s="153">
        <f t="shared" si="15"/>
        <v>6492240</v>
      </c>
      <c r="U179" s="153">
        <f t="shared" si="16"/>
        <v>2485280</v>
      </c>
      <c r="V179" s="153">
        <f t="shared" si="17"/>
        <v>2485280</v>
      </c>
      <c r="X179" t="s">
        <v>437</v>
      </c>
      <c r="Y179">
        <v>3372</v>
      </c>
      <c r="Z179">
        <v>2081</v>
      </c>
      <c r="AA179">
        <v>2443478260.869565</v>
      </c>
      <c r="AB179">
        <v>515099009.90099007</v>
      </c>
      <c r="AC179" s="153">
        <f t="shared" si="12"/>
        <v>7910718.7831826657</v>
      </c>
      <c r="AD179" s="153">
        <f t="shared" si="13"/>
        <v>2457718.7831826657</v>
      </c>
      <c r="AE179" s="153">
        <f t="shared" si="14"/>
        <v>2457718.7831826657</v>
      </c>
    </row>
    <row r="180" spans="1:31" x14ac:dyDescent="0.25">
      <c r="A180" t="s">
        <v>601</v>
      </c>
      <c r="B180" t="s">
        <v>272</v>
      </c>
      <c r="C180">
        <v>2679</v>
      </c>
      <c r="D180">
        <v>2141</v>
      </c>
      <c r="E180">
        <v>538</v>
      </c>
      <c r="F180">
        <v>0</v>
      </c>
      <c r="G180">
        <v>18</v>
      </c>
      <c r="H180">
        <v>38</v>
      </c>
      <c r="I180">
        <v>62</v>
      </c>
      <c r="J180">
        <v>1452</v>
      </c>
      <c r="K180">
        <v>1126</v>
      </c>
      <c r="L180">
        <v>202</v>
      </c>
      <c r="M180">
        <v>77</v>
      </c>
      <c r="N180">
        <v>450</v>
      </c>
      <c r="O180">
        <v>8</v>
      </c>
      <c r="P180">
        <v>1742000</v>
      </c>
      <c r="Q180">
        <v>1442000</v>
      </c>
      <c r="R180">
        <v>300000</v>
      </c>
      <c r="S180">
        <v>274000</v>
      </c>
      <c r="T180" s="153">
        <f t="shared" si="15"/>
        <v>3890010</v>
      </c>
      <c r="U180" s="153">
        <f t="shared" si="16"/>
        <v>1859345</v>
      </c>
      <c r="V180" s="153">
        <f t="shared" si="17"/>
        <v>1859345</v>
      </c>
      <c r="X180" t="s">
        <v>272</v>
      </c>
      <c r="Y180">
        <v>1990</v>
      </c>
      <c r="Z180">
        <v>646</v>
      </c>
      <c r="AA180">
        <v>1394533987.3861248</v>
      </c>
      <c r="AB180">
        <v>260588947.1561113</v>
      </c>
      <c r="AC180" s="153">
        <f t="shared" si="12"/>
        <v>4362714.5252543697</v>
      </c>
      <c r="AD180" s="153">
        <f t="shared" si="13"/>
        <v>1726714.5252543697</v>
      </c>
      <c r="AE180" s="153">
        <f t="shared" si="14"/>
        <v>1726714.5252543697</v>
      </c>
    </row>
    <row r="181" spans="1:31" x14ac:dyDescent="0.25">
      <c r="A181" t="s">
        <v>607</v>
      </c>
      <c r="B181" t="s">
        <v>153</v>
      </c>
      <c r="C181">
        <v>1791</v>
      </c>
      <c r="D181">
        <v>1193</v>
      </c>
      <c r="E181">
        <v>598</v>
      </c>
      <c r="F181">
        <v>0</v>
      </c>
      <c r="G181">
        <v>0</v>
      </c>
      <c r="H181">
        <v>0</v>
      </c>
      <c r="I181">
        <v>109</v>
      </c>
      <c r="J181">
        <v>1517</v>
      </c>
      <c r="K181">
        <v>990</v>
      </c>
      <c r="L181">
        <v>184</v>
      </c>
      <c r="M181">
        <v>73</v>
      </c>
      <c r="N181">
        <v>727</v>
      </c>
      <c r="O181">
        <v>16</v>
      </c>
      <c r="P181">
        <v>848000</v>
      </c>
      <c r="Q181">
        <v>630000</v>
      </c>
      <c r="R181">
        <v>218000</v>
      </c>
      <c r="S181">
        <v>149000</v>
      </c>
      <c r="T181" s="153">
        <f t="shared" si="15"/>
        <v>2030730</v>
      </c>
      <c r="U181" s="153">
        <f t="shared" si="16"/>
        <v>578185</v>
      </c>
      <c r="V181" s="153">
        <f t="shared" si="17"/>
        <v>578185</v>
      </c>
      <c r="X181" t="s">
        <v>153</v>
      </c>
      <c r="Y181">
        <v>1172</v>
      </c>
      <c r="Z181">
        <v>881</v>
      </c>
      <c r="AA181">
        <v>631465517.24137938</v>
      </c>
      <c r="AB181">
        <v>221970269.5893172</v>
      </c>
      <c r="AC181" s="153">
        <f t="shared" ref="AC181:AC239" si="18">SUM(0.001952*AA181,2*0.001952*AB181)*140/120</f>
        <v>2449058.0591538451</v>
      </c>
      <c r="AD181" s="153">
        <f t="shared" ref="AD181:AD239" si="19">SUM(AC181,-Y181*1000,-Z181*1000)</f>
        <v>396058.05915384507</v>
      </c>
      <c r="AE181" s="153">
        <f t="shared" ref="AE181:AE239" si="20">IF(AD181&gt;0,AD181,0)</f>
        <v>396058.05915384507</v>
      </c>
    </row>
    <row r="182" spans="1:31" x14ac:dyDescent="0.25">
      <c r="A182" t="s">
        <v>604</v>
      </c>
      <c r="B182" t="s">
        <v>196</v>
      </c>
      <c r="C182">
        <v>4808</v>
      </c>
      <c r="D182">
        <v>3334</v>
      </c>
      <c r="E182">
        <v>1474</v>
      </c>
      <c r="F182">
        <v>0</v>
      </c>
      <c r="G182">
        <v>0</v>
      </c>
      <c r="H182">
        <v>220</v>
      </c>
      <c r="I182">
        <v>335</v>
      </c>
      <c r="J182">
        <v>2646</v>
      </c>
      <c r="K182">
        <v>1737</v>
      </c>
      <c r="L182">
        <v>333</v>
      </c>
      <c r="M182">
        <v>1</v>
      </c>
      <c r="N182">
        <v>411</v>
      </c>
      <c r="O182">
        <v>45</v>
      </c>
      <c r="P182">
        <v>2394000</v>
      </c>
      <c r="Q182">
        <v>1996000</v>
      </c>
      <c r="R182">
        <v>398000</v>
      </c>
      <c r="S182">
        <v>216000</v>
      </c>
      <c r="T182" s="153">
        <f t="shared" si="15"/>
        <v>5318760</v>
      </c>
      <c r="U182" s="153">
        <f t="shared" si="16"/>
        <v>1397220</v>
      </c>
      <c r="V182" s="153">
        <f t="shared" si="17"/>
        <v>1397220</v>
      </c>
      <c r="X182" t="s">
        <v>196</v>
      </c>
      <c r="Y182">
        <v>3207</v>
      </c>
      <c r="Z182">
        <v>1775</v>
      </c>
      <c r="AA182">
        <v>1985758513.9318883</v>
      </c>
      <c r="AB182">
        <v>382049074.47266465</v>
      </c>
      <c r="AC182" s="153">
        <f t="shared" si="18"/>
        <v>6262340.2402590504</v>
      </c>
      <c r="AD182" s="153">
        <f t="shared" si="19"/>
        <v>1280340.2402590504</v>
      </c>
      <c r="AE182" s="153">
        <f t="shared" si="20"/>
        <v>1280340.2402590504</v>
      </c>
    </row>
    <row r="183" spans="1:31" x14ac:dyDescent="0.25">
      <c r="A183" t="s">
        <v>601</v>
      </c>
      <c r="B183" t="s">
        <v>235</v>
      </c>
      <c r="C183">
        <v>4924</v>
      </c>
      <c r="D183">
        <v>2933</v>
      </c>
      <c r="E183">
        <v>1991</v>
      </c>
      <c r="F183">
        <v>0</v>
      </c>
      <c r="G183">
        <v>1810</v>
      </c>
      <c r="H183">
        <v>173</v>
      </c>
      <c r="I183">
        <v>139</v>
      </c>
      <c r="J183">
        <v>2612</v>
      </c>
      <c r="K183">
        <v>0</v>
      </c>
      <c r="L183">
        <v>317</v>
      </c>
      <c r="M183">
        <v>63</v>
      </c>
      <c r="N183">
        <v>780</v>
      </c>
      <c r="O183">
        <v>244</v>
      </c>
      <c r="P183">
        <v>2973000</v>
      </c>
      <c r="Q183">
        <v>2440000</v>
      </c>
      <c r="R183">
        <v>533000</v>
      </c>
      <c r="S183">
        <v>260000</v>
      </c>
      <c r="T183" s="153">
        <f t="shared" si="15"/>
        <v>6678930</v>
      </c>
      <c r="U183" s="153">
        <f t="shared" si="16"/>
        <v>2868085</v>
      </c>
      <c r="V183" s="153">
        <f t="shared" si="17"/>
        <v>2868085</v>
      </c>
      <c r="X183" t="s">
        <v>235</v>
      </c>
      <c r="Y183">
        <v>2792</v>
      </c>
      <c r="Z183">
        <v>2585</v>
      </c>
      <c r="AA183">
        <v>2376170212.7659578</v>
      </c>
      <c r="AB183">
        <v>524234435.20584065</v>
      </c>
      <c r="AC183" s="153">
        <f t="shared" si="18"/>
        <v>7799044.738756543</v>
      </c>
      <c r="AD183" s="153">
        <f t="shared" si="19"/>
        <v>2422044.738756543</v>
      </c>
      <c r="AE183" s="153">
        <f t="shared" si="20"/>
        <v>2422044.738756543</v>
      </c>
    </row>
    <row r="184" spans="1:31" x14ac:dyDescent="0.25">
      <c r="A184" t="s">
        <v>608</v>
      </c>
      <c r="B184" t="s">
        <v>474</v>
      </c>
      <c r="C184">
        <v>3850</v>
      </c>
      <c r="D184">
        <v>2520</v>
      </c>
      <c r="E184">
        <v>1330</v>
      </c>
      <c r="F184">
        <v>75</v>
      </c>
      <c r="G184">
        <v>0</v>
      </c>
      <c r="H184">
        <v>202</v>
      </c>
      <c r="I184">
        <v>277</v>
      </c>
      <c r="J184">
        <v>2786</v>
      </c>
      <c r="K184">
        <v>1969</v>
      </c>
      <c r="L184">
        <v>399</v>
      </c>
      <c r="M184">
        <v>83</v>
      </c>
      <c r="N184">
        <v>253</v>
      </c>
      <c r="O184">
        <v>89</v>
      </c>
      <c r="P184">
        <v>2655000</v>
      </c>
      <c r="Q184">
        <v>2196000</v>
      </c>
      <c r="R184">
        <v>459000</v>
      </c>
      <c r="S184">
        <v>207000</v>
      </c>
      <c r="T184" s="153">
        <f t="shared" si="15"/>
        <v>5932170</v>
      </c>
      <c r="U184" s="153">
        <f t="shared" si="16"/>
        <v>3070865</v>
      </c>
      <c r="V184" s="153">
        <f t="shared" si="17"/>
        <v>3070865</v>
      </c>
      <c r="X184" t="s">
        <v>474</v>
      </c>
      <c r="Y184">
        <v>2416</v>
      </c>
      <c r="Z184">
        <v>1782</v>
      </c>
      <c r="AA184">
        <v>2172661870.5035973</v>
      </c>
      <c r="AB184">
        <v>454128440.36697251</v>
      </c>
      <c r="AC184" s="153">
        <f t="shared" si="18"/>
        <v>7016278.9694849635</v>
      </c>
      <c r="AD184" s="153">
        <f t="shared" si="19"/>
        <v>2818278.9694849635</v>
      </c>
      <c r="AE184" s="153">
        <f t="shared" si="20"/>
        <v>2818278.9694849635</v>
      </c>
    </row>
    <row r="185" spans="1:31" x14ac:dyDescent="0.25">
      <c r="A185" t="s">
        <v>603</v>
      </c>
      <c r="B185" t="s">
        <v>361</v>
      </c>
      <c r="C185">
        <v>6180</v>
      </c>
      <c r="D185">
        <v>4303</v>
      </c>
      <c r="E185">
        <v>1877</v>
      </c>
      <c r="F185">
        <v>0</v>
      </c>
      <c r="G185">
        <v>325</v>
      </c>
      <c r="H185">
        <v>0</v>
      </c>
      <c r="I185">
        <v>40</v>
      </c>
      <c r="J185">
        <v>2714</v>
      </c>
      <c r="K185">
        <v>4949</v>
      </c>
      <c r="L185">
        <v>637</v>
      </c>
      <c r="M185">
        <v>458</v>
      </c>
      <c r="N185">
        <v>338</v>
      </c>
      <c r="O185">
        <v>216</v>
      </c>
      <c r="P185">
        <v>3385000</v>
      </c>
      <c r="Q185">
        <v>2958000</v>
      </c>
      <c r="R185">
        <v>427000</v>
      </c>
      <c r="S185">
        <v>198000</v>
      </c>
      <c r="T185" s="153">
        <f t="shared" si="15"/>
        <v>7261860</v>
      </c>
      <c r="U185" s="153">
        <f t="shared" si="16"/>
        <v>2292170</v>
      </c>
      <c r="V185" s="153">
        <f t="shared" si="17"/>
        <v>2292170</v>
      </c>
      <c r="X185" t="s">
        <v>361</v>
      </c>
      <c r="Y185">
        <v>4065</v>
      </c>
      <c r="Z185">
        <v>1841</v>
      </c>
      <c r="AA185">
        <v>2832752613.2404184</v>
      </c>
      <c r="AB185">
        <v>382505713.6920839</v>
      </c>
      <c r="AC185" s="153">
        <f t="shared" si="18"/>
        <v>8193307.9751823898</v>
      </c>
      <c r="AD185" s="153">
        <f t="shared" si="19"/>
        <v>2287307.9751823898</v>
      </c>
      <c r="AE185" s="153">
        <f t="shared" si="20"/>
        <v>2287307.9751823898</v>
      </c>
    </row>
    <row r="186" spans="1:31" x14ac:dyDescent="0.25">
      <c r="A186" s="116" t="s">
        <v>608</v>
      </c>
      <c r="B186" t="s">
        <v>475</v>
      </c>
      <c r="C186">
        <v>32075</v>
      </c>
      <c r="D186">
        <v>15380</v>
      </c>
      <c r="E186">
        <v>16695</v>
      </c>
      <c r="F186">
        <v>12201</v>
      </c>
      <c r="G186">
        <v>719</v>
      </c>
      <c r="H186">
        <v>4616</v>
      </c>
      <c r="I186">
        <v>1521</v>
      </c>
      <c r="J186">
        <v>13647</v>
      </c>
      <c r="K186">
        <v>17231</v>
      </c>
      <c r="L186">
        <v>1897</v>
      </c>
      <c r="M186">
        <v>583</v>
      </c>
      <c r="N186">
        <v>4852</v>
      </c>
      <c r="O186">
        <v>659</v>
      </c>
      <c r="P186">
        <v>15389000</v>
      </c>
      <c r="Q186">
        <v>11620000</v>
      </c>
      <c r="R186">
        <v>3769000</v>
      </c>
      <c r="S186">
        <v>196000</v>
      </c>
      <c r="T186" s="153">
        <f t="shared" si="15"/>
        <v>36495990</v>
      </c>
      <c r="U186" s="153">
        <f t="shared" si="16"/>
        <v>10503655</v>
      </c>
      <c r="V186" s="153">
        <f t="shared" si="17"/>
        <v>10503655</v>
      </c>
      <c r="X186" t="s">
        <v>475</v>
      </c>
      <c r="Y186">
        <v>14567</v>
      </c>
      <c r="Z186">
        <v>16287</v>
      </c>
      <c r="AA186">
        <v>11470078740.15748</v>
      </c>
      <c r="AB186">
        <v>3199803536.3457761</v>
      </c>
      <c r="AC186" s="153">
        <f t="shared" si="18"/>
        <v>40695231.157794863</v>
      </c>
      <c r="AD186" s="153">
        <f t="shared" si="19"/>
        <v>9841231.157794863</v>
      </c>
      <c r="AE186" s="153">
        <f t="shared" si="20"/>
        <v>9841231.157794863</v>
      </c>
    </row>
    <row r="187" spans="1:31" x14ac:dyDescent="0.25">
      <c r="A187" t="s">
        <v>600</v>
      </c>
      <c r="B187" t="s">
        <v>315</v>
      </c>
      <c r="C187">
        <v>6324</v>
      </c>
      <c r="D187">
        <v>3869</v>
      </c>
      <c r="E187">
        <v>2455</v>
      </c>
      <c r="F187">
        <v>0</v>
      </c>
      <c r="G187">
        <v>0</v>
      </c>
      <c r="H187">
        <v>489</v>
      </c>
      <c r="I187">
        <v>334</v>
      </c>
      <c r="J187">
        <v>4193</v>
      </c>
      <c r="K187">
        <v>6291</v>
      </c>
      <c r="L187">
        <v>518</v>
      </c>
      <c r="M187">
        <v>360</v>
      </c>
      <c r="N187">
        <v>894</v>
      </c>
      <c r="O187">
        <v>232</v>
      </c>
      <c r="P187">
        <v>5078000</v>
      </c>
      <c r="Q187">
        <v>4075000</v>
      </c>
      <c r="R187">
        <v>1003000</v>
      </c>
      <c r="S187">
        <v>221000</v>
      </c>
      <c r="T187" s="153">
        <f t="shared" si="15"/>
        <v>11584305</v>
      </c>
      <c r="U187" s="153">
        <f t="shared" si="16"/>
        <v>7191022.5</v>
      </c>
      <c r="V187" s="153">
        <f t="shared" si="17"/>
        <v>7191022.5</v>
      </c>
      <c r="X187" t="s">
        <v>315</v>
      </c>
      <c r="Y187">
        <v>3786</v>
      </c>
      <c r="Z187">
        <v>2307</v>
      </c>
      <c r="AA187">
        <v>4075349838.5360608</v>
      </c>
      <c r="AB187">
        <v>859538002.98062599</v>
      </c>
      <c r="AC187" s="153">
        <f t="shared" si="18"/>
        <v>13195839.123201881</v>
      </c>
      <c r="AD187" s="153">
        <f t="shared" si="19"/>
        <v>7102839.1232018806</v>
      </c>
      <c r="AE187" s="153">
        <f t="shared" si="20"/>
        <v>7102839.1232018806</v>
      </c>
    </row>
    <row r="188" spans="1:31" x14ac:dyDescent="0.25">
      <c r="A188" t="s">
        <v>608</v>
      </c>
      <c r="B188" t="s">
        <v>476</v>
      </c>
      <c r="C188">
        <v>4586</v>
      </c>
      <c r="D188">
        <v>3756</v>
      </c>
      <c r="E188">
        <v>830</v>
      </c>
      <c r="F188">
        <v>234</v>
      </c>
      <c r="G188">
        <v>0</v>
      </c>
      <c r="H188">
        <v>80</v>
      </c>
      <c r="I188">
        <v>150</v>
      </c>
      <c r="J188">
        <v>2823</v>
      </c>
      <c r="K188">
        <v>1636</v>
      </c>
      <c r="L188">
        <v>151</v>
      </c>
      <c r="M188">
        <v>148</v>
      </c>
      <c r="N188">
        <v>295</v>
      </c>
      <c r="O188">
        <v>45</v>
      </c>
      <c r="P188">
        <v>2217000</v>
      </c>
      <c r="Q188">
        <v>2007000</v>
      </c>
      <c r="R188">
        <v>210000</v>
      </c>
      <c r="S188">
        <v>238000</v>
      </c>
      <c r="T188" s="153">
        <f t="shared" si="15"/>
        <v>4623435</v>
      </c>
      <c r="U188" s="153">
        <f t="shared" si="16"/>
        <v>808007.5</v>
      </c>
      <c r="V188" s="153">
        <f t="shared" si="17"/>
        <v>808007.5</v>
      </c>
      <c r="X188" t="s">
        <v>476</v>
      </c>
      <c r="Y188">
        <v>3775</v>
      </c>
      <c r="Z188">
        <v>1069</v>
      </c>
      <c r="AA188">
        <v>1997354497.3544974</v>
      </c>
      <c r="AB188">
        <v>213842768.55371073</v>
      </c>
      <c r="AC188" s="153">
        <f t="shared" si="18"/>
        <v>5522624.5051479442</v>
      </c>
      <c r="AD188" s="153">
        <f t="shared" si="19"/>
        <v>678624.5051479442</v>
      </c>
      <c r="AE188" s="153">
        <f t="shared" si="20"/>
        <v>678624.5051479442</v>
      </c>
    </row>
    <row r="189" spans="1:31" x14ac:dyDescent="0.25">
      <c r="A189" t="s">
        <v>599</v>
      </c>
      <c r="B189" t="s">
        <v>698</v>
      </c>
      <c r="C189">
        <v>18225</v>
      </c>
      <c r="D189">
        <v>10516</v>
      </c>
      <c r="E189">
        <v>7709</v>
      </c>
      <c r="F189">
        <v>42</v>
      </c>
      <c r="G189">
        <v>79</v>
      </c>
      <c r="H189">
        <v>187</v>
      </c>
      <c r="I189">
        <v>281</v>
      </c>
      <c r="J189">
        <v>6853</v>
      </c>
      <c r="K189">
        <v>6151</v>
      </c>
      <c r="L189">
        <v>1044</v>
      </c>
      <c r="M189">
        <v>107</v>
      </c>
      <c r="N189">
        <v>2553</v>
      </c>
      <c r="O189">
        <v>400</v>
      </c>
      <c r="P189">
        <v>10761000</v>
      </c>
      <c r="Q189">
        <v>8544000</v>
      </c>
      <c r="R189">
        <v>2217000</v>
      </c>
      <c r="S189">
        <v>260000</v>
      </c>
      <c r="T189" s="153">
        <f t="shared" si="15"/>
        <v>24723090</v>
      </c>
      <c r="U189" s="153">
        <f t="shared" si="16"/>
        <v>10618605</v>
      </c>
      <c r="V189" s="153">
        <f t="shared" si="17"/>
        <v>10618605</v>
      </c>
      <c r="X189" t="s">
        <v>698</v>
      </c>
      <c r="Y189">
        <v>10110</v>
      </c>
      <c r="Z189">
        <v>7412</v>
      </c>
      <c r="AA189">
        <v>8546069315.3000841</v>
      </c>
      <c r="AB189">
        <v>2083017171.1210411</v>
      </c>
      <c r="AC189" s="153">
        <f t="shared" si="18"/>
        <v>28949697.396109357</v>
      </c>
      <c r="AD189" s="153">
        <f t="shared" si="19"/>
        <v>11427697.396109357</v>
      </c>
      <c r="AE189" s="153">
        <f t="shared" si="20"/>
        <v>11427697.396109357</v>
      </c>
    </row>
    <row r="190" spans="1:31" x14ac:dyDescent="0.25">
      <c r="A190" t="s">
        <v>598</v>
      </c>
      <c r="B190" t="s">
        <v>135</v>
      </c>
      <c r="C190">
        <v>7951</v>
      </c>
      <c r="D190">
        <v>3893</v>
      </c>
      <c r="E190">
        <v>4058</v>
      </c>
      <c r="F190">
        <v>1614</v>
      </c>
      <c r="G190">
        <v>40</v>
      </c>
      <c r="H190">
        <v>0</v>
      </c>
      <c r="I190">
        <v>0</v>
      </c>
      <c r="J190">
        <v>2715</v>
      </c>
      <c r="K190">
        <v>2693</v>
      </c>
      <c r="L190">
        <v>519</v>
      </c>
      <c r="M190">
        <v>247</v>
      </c>
      <c r="N190">
        <v>930</v>
      </c>
      <c r="O190">
        <v>362</v>
      </c>
      <c r="P190">
        <v>3580000</v>
      </c>
      <c r="Q190">
        <v>2827000</v>
      </c>
      <c r="R190">
        <v>753000</v>
      </c>
      <c r="S190">
        <v>190000</v>
      </c>
      <c r="T190" s="153">
        <f t="shared" si="15"/>
        <v>8254365</v>
      </c>
      <c r="U190" s="153">
        <f t="shared" si="16"/>
        <v>1679092.5</v>
      </c>
      <c r="V190" s="153">
        <f t="shared" si="17"/>
        <v>1679092.5</v>
      </c>
      <c r="X190" t="s">
        <v>135</v>
      </c>
      <c r="Y190">
        <v>3741</v>
      </c>
      <c r="Z190">
        <v>4406</v>
      </c>
      <c r="AA190">
        <v>2855725190.8396945</v>
      </c>
      <c r="AB190">
        <v>770279720.27972019</v>
      </c>
      <c r="AC190" s="153">
        <f t="shared" si="18"/>
        <v>10011805.533906294</v>
      </c>
      <c r="AD190" s="153">
        <f t="shared" si="19"/>
        <v>1864805.533906294</v>
      </c>
      <c r="AE190" s="153">
        <f t="shared" si="20"/>
        <v>1864805.533906294</v>
      </c>
    </row>
    <row r="191" spans="1:31" x14ac:dyDescent="0.25">
      <c r="A191" t="s">
        <v>610</v>
      </c>
      <c r="B191" t="s">
        <v>393</v>
      </c>
      <c r="C191">
        <v>10673</v>
      </c>
      <c r="D191">
        <v>5646</v>
      </c>
      <c r="E191">
        <v>5027</v>
      </c>
      <c r="F191">
        <v>5296</v>
      </c>
      <c r="G191">
        <v>1165</v>
      </c>
      <c r="H191">
        <v>632</v>
      </c>
      <c r="I191">
        <v>473</v>
      </c>
      <c r="J191">
        <v>5006</v>
      </c>
      <c r="K191">
        <v>6052</v>
      </c>
      <c r="L191">
        <v>966</v>
      </c>
      <c r="M191">
        <v>1883</v>
      </c>
      <c r="N191">
        <v>891</v>
      </c>
      <c r="O191">
        <v>605</v>
      </c>
      <c r="P191">
        <v>5285000</v>
      </c>
      <c r="Q191">
        <v>4275000</v>
      </c>
      <c r="R191">
        <v>1010000</v>
      </c>
      <c r="S191">
        <v>181000</v>
      </c>
      <c r="T191" s="153">
        <f t="shared" si="15"/>
        <v>11991975</v>
      </c>
      <c r="U191" s="153">
        <f t="shared" si="16"/>
        <v>3317637.5</v>
      </c>
      <c r="V191" s="153">
        <f t="shared" si="17"/>
        <v>3317637.5</v>
      </c>
      <c r="X191" t="s">
        <v>393</v>
      </c>
      <c r="Y191">
        <v>4901</v>
      </c>
      <c r="Z191">
        <v>5451</v>
      </c>
      <c r="AA191">
        <v>4210481099.6563568</v>
      </c>
      <c r="AB191">
        <v>1100545124.1671715</v>
      </c>
      <c r="AC191" s="153">
        <f t="shared" si="18"/>
        <v>14601285.149824152</v>
      </c>
      <c r="AD191" s="153">
        <f t="shared" si="19"/>
        <v>4249285.1498241518</v>
      </c>
      <c r="AE191" s="153">
        <f t="shared" si="20"/>
        <v>4249285.1498241518</v>
      </c>
    </row>
    <row r="192" spans="1:31" x14ac:dyDescent="0.25">
      <c r="A192" t="s">
        <v>598</v>
      </c>
      <c r="B192" t="s">
        <v>362</v>
      </c>
      <c r="C192">
        <v>4412</v>
      </c>
      <c r="D192">
        <v>3020</v>
      </c>
      <c r="E192">
        <v>1392</v>
      </c>
      <c r="F192">
        <v>0</v>
      </c>
      <c r="G192">
        <v>0</v>
      </c>
      <c r="H192">
        <v>0</v>
      </c>
      <c r="I192">
        <v>0</v>
      </c>
      <c r="J192">
        <v>1830</v>
      </c>
      <c r="K192">
        <v>2404</v>
      </c>
      <c r="L192">
        <v>252</v>
      </c>
      <c r="M192">
        <v>131</v>
      </c>
      <c r="N192">
        <v>538</v>
      </c>
      <c r="O192">
        <v>38</v>
      </c>
      <c r="P192">
        <v>2779000</v>
      </c>
      <c r="Q192">
        <v>2352000</v>
      </c>
      <c r="R192">
        <v>427000</v>
      </c>
      <c r="S192">
        <v>304000</v>
      </c>
      <c r="T192" s="153">
        <f t="shared" si="15"/>
        <v>6107430</v>
      </c>
      <c r="U192" s="153">
        <f t="shared" si="16"/>
        <v>2713335</v>
      </c>
      <c r="V192" s="153">
        <f t="shared" si="17"/>
        <v>2713335</v>
      </c>
      <c r="X192" t="s">
        <v>362</v>
      </c>
      <c r="Y192">
        <v>2777</v>
      </c>
      <c r="Z192">
        <v>1747</v>
      </c>
      <c r="AA192">
        <v>2304564315.3526974</v>
      </c>
      <c r="AB192">
        <v>448638931.6897791</v>
      </c>
      <c r="AC192" s="153">
        <f t="shared" si="18"/>
        <v>7291661.9216995891</v>
      </c>
      <c r="AD192" s="153">
        <f t="shared" si="19"/>
        <v>2767661.9216995891</v>
      </c>
      <c r="AE192" s="153">
        <f t="shared" si="20"/>
        <v>2767661.9216995891</v>
      </c>
    </row>
    <row r="193" spans="1:31" x14ac:dyDescent="0.25">
      <c r="A193" t="s">
        <v>603</v>
      </c>
      <c r="B193" t="s">
        <v>136</v>
      </c>
      <c r="C193">
        <v>6200</v>
      </c>
      <c r="D193">
        <v>3460</v>
      </c>
      <c r="E193">
        <v>2740</v>
      </c>
      <c r="F193">
        <v>10</v>
      </c>
      <c r="G193">
        <v>0</v>
      </c>
      <c r="H193">
        <v>962</v>
      </c>
      <c r="I193">
        <v>244</v>
      </c>
      <c r="J193">
        <v>3905</v>
      </c>
      <c r="K193">
        <v>3179</v>
      </c>
      <c r="L193">
        <v>380</v>
      </c>
      <c r="M193">
        <v>440</v>
      </c>
      <c r="N193">
        <v>685</v>
      </c>
      <c r="O193">
        <v>86</v>
      </c>
      <c r="P193">
        <v>3710000</v>
      </c>
      <c r="Q193">
        <v>2899000</v>
      </c>
      <c r="R193">
        <v>811000</v>
      </c>
      <c r="S193">
        <v>201000</v>
      </c>
      <c r="T193" s="153">
        <f t="shared" si="15"/>
        <v>8612505</v>
      </c>
      <c r="U193" s="153">
        <f t="shared" si="16"/>
        <v>3847922.5</v>
      </c>
      <c r="V193" s="153">
        <f t="shared" si="17"/>
        <v>3847922.5</v>
      </c>
      <c r="X193" t="s">
        <v>136</v>
      </c>
      <c r="Y193">
        <v>3346</v>
      </c>
      <c r="Z193">
        <v>3064</v>
      </c>
      <c r="AA193">
        <v>2872103004.2918453</v>
      </c>
      <c r="AB193">
        <v>826321467.09816599</v>
      </c>
      <c r="AC193" s="153">
        <f t="shared" si="18"/>
        <v>10304354.750583742</v>
      </c>
      <c r="AD193" s="153">
        <f t="shared" si="19"/>
        <v>3894354.7505837418</v>
      </c>
      <c r="AE193" s="153">
        <f t="shared" si="20"/>
        <v>3894354.7505837418</v>
      </c>
    </row>
    <row r="194" spans="1:31" x14ac:dyDescent="0.25">
      <c r="A194" t="s">
        <v>607</v>
      </c>
      <c r="B194" t="s">
        <v>749</v>
      </c>
      <c r="C194">
        <v>15480</v>
      </c>
      <c r="D194">
        <v>8217</v>
      </c>
      <c r="E194">
        <v>7263</v>
      </c>
      <c r="F194">
        <v>140</v>
      </c>
      <c r="G194">
        <v>0</v>
      </c>
      <c r="H194">
        <v>250</v>
      </c>
      <c r="I194">
        <v>0</v>
      </c>
      <c r="J194">
        <v>5441</v>
      </c>
      <c r="K194">
        <v>6369</v>
      </c>
      <c r="L194">
        <v>1135</v>
      </c>
      <c r="M194">
        <v>310</v>
      </c>
      <c r="N194">
        <v>1275</v>
      </c>
      <c r="O194">
        <v>75</v>
      </c>
      <c r="P194">
        <v>5366000</v>
      </c>
      <c r="Q194">
        <v>4225000</v>
      </c>
      <c r="R194">
        <v>1141000</v>
      </c>
      <c r="S194">
        <v>153000</v>
      </c>
      <c r="T194" s="153">
        <f t="shared" ref="T194:T257" si="21">0.1905*SUM(Q194,R194,R194)*10</f>
        <v>12395835</v>
      </c>
      <c r="U194" s="153">
        <f t="shared" ref="U194:U257" si="22">SUM(T194*140/120,-C194*1000)</f>
        <v>-1018192.5</v>
      </c>
      <c r="V194" s="153">
        <f t="shared" ref="V194:V257" si="23">IF(U194&gt;0,U194,0)</f>
        <v>0</v>
      </c>
      <c r="X194" t="s">
        <v>749</v>
      </c>
      <c r="Y194">
        <v>5059.5720000000001</v>
      </c>
      <c r="Z194">
        <v>5464.9130000000005</v>
      </c>
      <c r="AA194">
        <v>2814000000</v>
      </c>
      <c r="AB194">
        <v>817000000</v>
      </c>
      <c r="AC194" s="153">
        <f t="shared" si="18"/>
        <v>10129578.666666666</v>
      </c>
      <c r="AD194" s="153">
        <f t="shared" si="19"/>
        <v>-394906.33333333395</v>
      </c>
      <c r="AE194" s="153">
        <f t="shared" si="20"/>
        <v>0</v>
      </c>
    </row>
    <row r="195" spans="1:31" x14ac:dyDescent="0.25">
      <c r="A195" t="s">
        <v>608</v>
      </c>
      <c r="B195" t="s">
        <v>438</v>
      </c>
      <c r="C195">
        <v>2847</v>
      </c>
      <c r="D195">
        <v>1740</v>
      </c>
      <c r="E195">
        <v>1107</v>
      </c>
      <c r="F195">
        <v>0</v>
      </c>
      <c r="G195">
        <v>0</v>
      </c>
      <c r="H195">
        <v>38</v>
      </c>
      <c r="I195">
        <v>0</v>
      </c>
      <c r="J195">
        <v>1083</v>
      </c>
      <c r="K195">
        <v>714</v>
      </c>
      <c r="L195">
        <v>131</v>
      </c>
      <c r="M195">
        <v>0</v>
      </c>
      <c r="N195">
        <v>472</v>
      </c>
      <c r="O195">
        <v>20</v>
      </c>
      <c r="P195">
        <v>1321000</v>
      </c>
      <c r="Q195">
        <v>1091000</v>
      </c>
      <c r="R195">
        <v>230000</v>
      </c>
      <c r="S195">
        <v>249000</v>
      </c>
      <c r="T195" s="153">
        <f t="shared" si="21"/>
        <v>2954655</v>
      </c>
      <c r="U195" s="153">
        <f t="shared" si="22"/>
        <v>600097.5</v>
      </c>
      <c r="V195" s="153">
        <f t="shared" si="23"/>
        <v>600097.5</v>
      </c>
      <c r="X195" t="s">
        <v>438</v>
      </c>
      <c r="Y195">
        <v>1662</v>
      </c>
      <c r="Z195">
        <v>1213</v>
      </c>
      <c r="AA195">
        <v>1076424870.4663212</v>
      </c>
      <c r="AB195">
        <v>235396856.2002717</v>
      </c>
      <c r="AC195" s="153">
        <f t="shared" si="18"/>
        <v>3523532.4527154728</v>
      </c>
      <c r="AD195" s="153">
        <f t="shared" si="19"/>
        <v>648532.45271547278</v>
      </c>
      <c r="AE195" s="153">
        <f t="shared" si="20"/>
        <v>648532.45271547278</v>
      </c>
    </row>
    <row r="196" spans="1:31" x14ac:dyDescent="0.25">
      <c r="A196" t="s">
        <v>599</v>
      </c>
      <c r="B196" t="s">
        <v>439</v>
      </c>
      <c r="C196">
        <v>16743</v>
      </c>
      <c r="D196">
        <v>3447</v>
      </c>
      <c r="E196">
        <v>13296</v>
      </c>
      <c r="F196">
        <v>13</v>
      </c>
      <c r="G196">
        <v>0</v>
      </c>
      <c r="H196">
        <v>195</v>
      </c>
      <c r="I196">
        <v>0</v>
      </c>
      <c r="J196">
        <v>5197</v>
      </c>
      <c r="K196">
        <v>3376</v>
      </c>
      <c r="L196">
        <v>435</v>
      </c>
      <c r="M196">
        <v>105</v>
      </c>
      <c r="N196">
        <v>1250</v>
      </c>
      <c r="O196">
        <v>177</v>
      </c>
      <c r="P196">
        <v>6212000</v>
      </c>
      <c r="Q196">
        <v>3535000</v>
      </c>
      <c r="R196">
        <v>2677000</v>
      </c>
      <c r="S196">
        <v>219000</v>
      </c>
      <c r="T196" s="153">
        <f t="shared" si="21"/>
        <v>16933545</v>
      </c>
      <c r="U196" s="153">
        <f t="shared" si="22"/>
        <v>3012802.5</v>
      </c>
      <c r="V196" s="153">
        <f t="shared" si="23"/>
        <v>3012802.5</v>
      </c>
      <c r="X196" t="s">
        <v>439</v>
      </c>
      <c r="Y196">
        <v>3328</v>
      </c>
      <c r="Z196">
        <v>14510</v>
      </c>
      <c r="AA196">
        <v>3521693121.6931219</v>
      </c>
      <c r="AB196">
        <v>2699032738.0952382</v>
      </c>
      <c r="AC196" s="153">
        <f t="shared" si="18"/>
        <v>20313263.580246914</v>
      </c>
      <c r="AD196" s="153">
        <f t="shared" si="19"/>
        <v>2475263.5802469142</v>
      </c>
      <c r="AE196" s="153">
        <f t="shared" si="20"/>
        <v>2475263.5802469142</v>
      </c>
    </row>
    <row r="197" spans="1:31" x14ac:dyDescent="0.25">
      <c r="A197" t="s">
        <v>603</v>
      </c>
      <c r="B197" t="s">
        <v>750</v>
      </c>
      <c r="C197">
        <v>7634</v>
      </c>
      <c r="D197">
        <v>4884</v>
      </c>
      <c r="E197">
        <v>2750</v>
      </c>
      <c r="F197">
        <v>0</v>
      </c>
      <c r="G197">
        <v>1825</v>
      </c>
      <c r="H197">
        <v>58</v>
      </c>
      <c r="I197">
        <v>197</v>
      </c>
      <c r="J197">
        <v>5134</v>
      </c>
      <c r="K197">
        <v>3250</v>
      </c>
      <c r="L197">
        <v>758</v>
      </c>
      <c r="M197">
        <v>886</v>
      </c>
      <c r="N197">
        <v>1652</v>
      </c>
      <c r="O197">
        <v>184</v>
      </c>
      <c r="P197">
        <v>5264000</v>
      </c>
      <c r="Q197">
        <v>4394000</v>
      </c>
      <c r="R197">
        <v>870000</v>
      </c>
      <c r="S197">
        <v>267500</v>
      </c>
      <c r="T197" s="153">
        <f t="shared" si="21"/>
        <v>11685270</v>
      </c>
      <c r="U197" s="153">
        <f t="shared" si="22"/>
        <v>5998815</v>
      </c>
      <c r="V197" s="153">
        <f t="shared" si="23"/>
        <v>5998815</v>
      </c>
      <c r="X197" t="s">
        <v>750</v>
      </c>
      <c r="Y197">
        <v>4876</v>
      </c>
      <c r="Z197">
        <v>3065</v>
      </c>
      <c r="AA197">
        <v>4401628546.3130035</v>
      </c>
      <c r="AB197">
        <v>870783116.29872215</v>
      </c>
      <c r="AC197">
        <v>13990102.243172059</v>
      </c>
      <c r="AD197">
        <v>6049102.2431720588</v>
      </c>
      <c r="AE197">
        <v>6049102.2431720588</v>
      </c>
    </row>
    <row r="198" spans="1:31" x14ac:dyDescent="0.25">
      <c r="A198" t="s">
        <v>601</v>
      </c>
      <c r="B198" t="s">
        <v>236</v>
      </c>
      <c r="C198">
        <v>6844</v>
      </c>
      <c r="D198">
        <v>4656</v>
      </c>
      <c r="E198">
        <v>2188</v>
      </c>
      <c r="F198">
        <v>17</v>
      </c>
      <c r="G198">
        <v>0</v>
      </c>
      <c r="H198">
        <v>385</v>
      </c>
      <c r="I198">
        <v>305</v>
      </c>
      <c r="J198">
        <v>4112</v>
      </c>
      <c r="K198">
        <v>2828</v>
      </c>
      <c r="L198">
        <v>608</v>
      </c>
      <c r="M198">
        <v>108</v>
      </c>
      <c r="N198">
        <v>1344</v>
      </c>
      <c r="O198">
        <v>59</v>
      </c>
      <c r="P198">
        <v>3731000</v>
      </c>
      <c r="Q198">
        <v>3129000</v>
      </c>
      <c r="R198">
        <v>602000</v>
      </c>
      <c r="S198">
        <v>202000</v>
      </c>
      <c r="T198" s="153">
        <f t="shared" si="21"/>
        <v>8254365</v>
      </c>
      <c r="U198" s="153">
        <f t="shared" si="22"/>
        <v>2786092.5</v>
      </c>
      <c r="V198" s="153">
        <f t="shared" si="23"/>
        <v>2786092.5</v>
      </c>
      <c r="X198" t="s">
        <v>236</v>
      </c>
      <c r="Y198">
        <v>4548</v>
      </c>
      <c r="Z198">
        <v>2258</v>
      </c>
      <c r="AA198">
        <v>3115068493.1506853</v>
      </c>
      <c r="AB198">
        <v>577937036.0890708</v>
      </c>
      <c r="AC198" s="153">
        <f t="shared" si="18"/>
        <v>9726359.8687755149</v>
      </c>
      <c r="AD198" s="153">
        <f t="shared" si="19"/>
        <v>2920359.8687755149</v>
      </c>
      <c r="AE198" s="153">
        <f t="shared" si="20"/>
        <v>2920359.8687755149</v>
      </c>
    </row>
    <row r="199" spans="1:31" x14ac:dyDescent="0.25">
      <c r="A199" t="s">
        <v>606</v>
      </c>
      <c r="B199" t="s">
        <v>506</v>
      </c>
      <c r="C199">
        <v>3596</v>
      </c>
      <c r="D199">
        <v>2179</v>
      </c>
      <c r="E199">
        <v>1417</v>
      </c>
      <c r="F199">
        <v>0</v>
      </c>
      <c r="G199">
        <v>0</v>
      </c>
      <c r="H199">
        <v>0</v>
      </c>
      <c r="I199">
        <v>0</v>
      </c>
      <c r="J199">
        <v>1337</v>
      </c>
      <c r="K199">
        <v>1164</v>
      </c>
      <c r="L199">
        <v>266</v>
      </c>
      <c r="M199">
        <v>83</v>
      </c>
      <c r="N199">
        <v>398</v>
      </c>
      <c r="O199">
        <v>34</v>
      </c>
      <c r="P199">
        <v>1759000</v>
      </c>
      <c r="Q199">
        <v>1499000</v>
      </c>
      <c r="R199">
        <v>260000</v>
      </c>
      <c r="S199">
        <v>272000</v>
      </c>
      <c r="T199" s="153">
        <f t="shared" si="21"/>
        <v>3846195</v>
      </c>
      <c r="U199" s="153">
        <f t="shared" si="22"/>
        <v>891227.5</v>
      </c>
      <c r="V199" s="153">
        <f t="shared" si="23"/>
        <v>891227.5</v>
      </c>
      <c r="X199" t="s">
        <v>506</v>
      </c>
      <c r="Y199">
        <v>2002</v>
      </c>
      <c r="Z199">
        <v>1297</v>
      </c>
      <c r="AA199">
        <v>1426942266.5716321</v>
      </c>
      <c r="AB199">
        <v>204638687.28305462</v>
      </c>
      <c r="AC199" s="153">
        <f t="shared" si="18"/>
        <v>4181684.1960843494</v>
      </c>
      <c r="AD199" s="153">
        <f t="shared" si="19"/>
        <v>882684.19608434942</v>
      </c>
      <c r="AE199" s="153">
        <f t="shared" si="20"/>
        <v>882684.19608434942</v>
      </c>
    </row>
    <row r="200" spans="1:31" x14ac:dyDescent="0.25">
      <c r="A200" t="s">
        <v>608</v>
      </c>
      <c r="B200" t="s">
        <v>477</v>
      </c>
      <c r="C200">
        <v>1572</v>
      </c>
      <c r="D200">
        <v>1231</v>
      </c>
      <c r="E200">
        <v>341</v>
      </c>
      <c r="F200">
        <v>0</v>
      </c>
      <c r="G200">
        <v>0</v>
      </c>
      <c r="H200">
        <v>77</v>
      </c>
      <c r="I200">
        <v>86</v>
      </c>
      <c r="J200">
        <v>897</v>
      </c>
      <c r="K200">
        <v>763</v>
      </c>
      <c r="L200">
        <v>124</v>
      </c>
      <c r="M200">
        <v>0</v>
      </c>
      <c r="N200">
        <v>132</v>
      </c>
      <c r="O200">
        <v>30</v>
      </c>
      <c r="P200">
        <v>1043000</v>
      </c>
      <c r="Q200">
        <v>961000</v>
      </c>
      <c r="R200">
        <v>82000</v>
      </c>
      <c r="S200">
        <v>277000</v>
      </c>
      <c r="T200" s="153">
        <f t="shared" si="21"/>
        <v>2143125</v>
      </c>
      <c r="U200" s="153">
        <f t="shared" si="22"/>
        <v>928312.5</v>
      </c>
      <c r="V200" s="153">
        <f t="shared" si="23"/>
        <v>928312.5</v>
      </c>
      <c r="X200" t="s">
        <v>477</v>
      </c>
      <c r="Y200">
        <v>1231</v>
      </c>
      <c r="Z200">
        <v>341</v>
      </c>
      <c r="AA200">
        <v>927656367.7467972</v>
      </c>
      <c r="AB200">
        <v>88341968.91191709</v>
      </c>
      <c r="AC200" s="153">
        <f t="shared" si="18"/>
        <v>2514950.9892195174</v>
      </c>
      <c r="AD200" s="153">
        <f t="shared" si="19"/>
        <v>942950.98921951745</v>
      </c>
      <c r="AE200" s="153">
        <f t="shared" si="20"/>
        <v>942950.98921951745</v>
      </c>
    </row>
    <row r="201" spans="1:31" x14ac:dyDescent="0.25">
      <c r="A201" t="s">
        <v>601</v>
      </c>
      <c r="B201" t="s">
        <v>237</v>
      </c>
      <c r="C201">
        <v>4863</v>
      </c>
      <c r="D201">
        <v>3348</v>
      </c>
      <c r="E201">
        <v>1515</v>
      </c>
      <c r="F201">
        <v>0</v>
      </c>
      <c r="G201">
        <v>1348</v>
      </c>
      <c r="H201">
        <v>50</v>
      </c>
      <c r="I201">
        <v>143</v>
      </c>
      <c r="J201">
        <v>2074</v>
      </c>
      <c r="K201">
        <v>0</v>
      </c>
      <c r="L201">
        <v>338</v>
      </c>
      <c r="M201">
        <v>277</v>
      </c>
      <c r="N201">
        <v>1103</v>
      </c>
      <c r="O201">
        <v>249</v>
      </c>
      <c r="P201">
        <v>2374000</v>
      </c>
      <c r="Q201">
        <v>1989000</v>
      </c>
      <c r="R201">
        <v>385000</v>
      </c>
      <c r="S201">
        <v>232000</v>
      </c>
      <c r="T201" s="153">
        <f t="shared" si="21"/>
        <v>5255895</v>
      </c>
      <c r="U201" s="153">
        <f t="shared" si="22"/>
        <v>1268877.5</v>
      </c>
      <c r="V201" s="153">
        <f t="shared" si="23"/>
        <v>1268877.5</v>
      </c>
      <c r="X201" t="s">
        <v>237</v>
      </c>
      <c r="Y201">
        <v>3399</v>
      </c>
      <c r="Z201">
        <v>1681</v>
      </c>
      <c r="AA201">
        <v>1975014526.4381173</v>
      </c>
      <c r="AB201">
        <v>393400421.24970746</v>
      </c>
      <c r="AC201" s="153">
        <f t="shared" si="18"/>
        <v>6289574.2001937395</v>
      </c>
      <c r="AD201" s="153">
        <f t="shared" si="19"/>
        <v>1209574.2001937395</v>
      </c>
      <c r="AE201" s="153">
        <f t="shared" si="20"/>
        <v>1209574.2001937395</v>
      </c>
    </row>
    <row r="202" spans="1:31" x14ac:dyDescent="0.25">
      <c r="A202" t="s">
        <v>608</v>
      </c>
      <c r="B202" t="s">
        <v>478</v>
      </c>
      <c r="C202">
        <v>4070</v>
      </c>
      <c r="D202">
        <v>2451</v>
      </c>
      <c r="E202">
        <v>1619</v>
      </c>
      <c r="F202">
        <v>0</v>
      </c>
      <c r="G202">
        <v>0</v>
      </c>
      <c r="H202">
        <v>19</v>
      </c>
      <c r="I202">
        <v>55</v>
      </c>
      <c r="J202">
        <v>1986</v>
      </c>
      <c r="K202">
        <v>984</v>
      </c>
      <c r="L202">
        <v>165</v>
      </c>
      <c r="M202">
        <v>20</v>
      </c>
      <c r="N202">
        <v>309</v>
      </c>
      <c r="O202">
        <v>23</v>
      </c>
      <c r="P202">
        <v>2193000</v>
      </c>
      <c r="Q202">
        <v>1749000</v>
      </c>
      <c r="R202">
        <v>444000</v>
      </c>
      <c r="S202">
        <v>247000</v>
      </c>
      <c r="T202" s="153">
        <f t="shared" si="21"/>
        <v>5023485</v>
      </c>
      <c r="U202" s="153">
        <f t="shared" si="22"/>
        <v>1790732.5</v>
      </c>
      <c r="V202" s="153">
        <f t="shared" si="23"/>
        <v>1790732.5</v>
      </c>
      <c r="X202" t="s">
        <v>478</v>
      </c>
      <c r="Y202">
        <v>2360</v>
      </c>
      <c r="Z202">
        <v>1855</v>
      </c>
      <c r="AA202">
        <v>1710144927.5362318</v>
      </c>
      <c r="AB202">
        <v>403260869.56521738</v>
      </c>
      <c r="AC202" s="153">
        <f t="shared" si="18"/>
        <v>5731288.888888889</v>
      </c>
      <c r="AD202" s="153">
        <f t="shared" si="19"/>
        <v>1516288.888888889</v>
      </c>
      <c r="AE202" s="153">
        <f t="shared" si="20"/>
        <v>1516288.888888889</v>
      </c>
    </row>
    <row r="203" spans="1:31" x14ac:dyDescent="0.25">
      <c r="A203" t="s">
        <v>606</v>
      </c>
      <c r="B203" t="s">
        <v>273</v>
      </c>
      <c r="C203">
        <v>15833</v>
      </c>
      <c r="D203">
        <v>6648</v>
      </c>
      <c r="E203">
        <v>9185</v>
      </c>
      <c r="F203">
        <v>5786</v>
      </c>
      <c r="G203">
        <v>175</v>
      </c>
      <c r="H203">
        <v>52</v>
      </c>
      <c r="I203">
        <v>10</v>
      </c>
      <c r="J203">
        <v>4918</v>
      </c>
      <c r="K203">
        <v>6128</v>
      </c>
      <c r="L203">
        <v>1122</v>
      </c>
      <c r="M203">
        <v>377</v>
      </c>
      <c r="N203">
        <v>1598</v>
      </c>
      <c r="O203">
        <v>202</v>
      </c>
      <c r="P203">
        <v>7716000</v>
      </c>
      <c r="Q203">
        <v>6071000</v>
      </c>
      <c r="R203">
        <v>1645000</v>
      </c>
      <c r="S203">
        <v>214000</v>
      </c>
      <c r="T203" s="153">
        <f t="shared" si="21"/>
        <v>17832705</v>
      </c>
      <c r="U203" s="153">
        <f t="shared" si="22"/>
        <v>4971822.5</v>
      </c>
      <c r="V203" s="153">
        <f t="shared" si="23"/>
        <v>4971822.5</v>
      </c>
      <c r="X203" t="s">
        <v>273</v>
      </c>
      <c r="Y203">
        <v>6327</v>
      </c>
      <c r="Z203">
        <v>10001</v>
      </c>
      <c r="AA203">
        <v>6025714285.7142859</v>
      </c>
      <c r="AB203">
        <v>1623012009.0879586</v>
      </c>
      <c r="AC203" s="153">
        <f t="shared" si="18"/>
        <v>21114838.697392624</v>
      </c>
      <c r="AD203" s="153">
        <f t="shared" si="19"/>
        <v>4786838.6973926239</v>
      </c>
      <c r="AE203" s="153">
        <f t="shared" si="20"/>
        <v>4786838.6973926239</v>
      </c>
    </row>
    <row r="204" spans="1:31" x14ac:dyDescent="0.25">
      <c r="A204" t="s">
        <v>606</v>
      </c>
      <c r="B204" t="s">
        <v>364</v>
      </c>
      <c r="C204">
        <v>7369</v>
      </c>
      <c r="D204">
        <v>4643</v>
      </c>
      <c r="E204">
        <v>2726</v>
      </c>
      <c r="F204">
        <v>0</v>
      </c>
      <c r="G204">
        <v>535</v>
      </c>
      <c r="H204">
        <v>0</v>
      </c>
      <c r="I204">
        <v>188</v>
      </c>
      <c r="J204">
        <v>2486</v>
      </c>
      <c r="K204">
        <v>3265</v>
      </c>
      <c r="L204">
        <v>275</v>
      </c>
      <c r="M204">
        <v>153</v>
      </c>
      <c r="N204">
        <v>1099</v>
      </c>
      <c r="O204">
        <v>429</v>
      </c>
      <c r="P204">
        <v>3770000</v>
      </c>
      <c r="Q204">
        <v>3213000</v>
      </c>
      <c r="R204">
        <v>557000</v>
      </c>
      <c r="S204">
        <v>282000</v>
      </c>
      <c r="T204" s="153">
        <f t="shared" si="21"/>
        <v>8242935</v>
      </c>
      <c r="U204" s="153">
        <f t="shared" si="22"/>
        <v>2247757.5</v>
      </c>
      <c r="V204" s="153">
        <f t="shared" si="23"/>
        <v>2247757.5</v>
      </c>
      <c r="X204" t="s">
        <v>364</v>
      </c>
      <c r="Y204">
        <v>4505</v>
      </c>
      <c r="Z204">
        <v>2705</v>
      </c>
      <c r="AA204">
        <v>3190509915.0141644</v>
      </c>
      <c r="AB204">
        <v>479100247.96315974</v>
      </c>
      <c r="AC204" s="153">
        <f t="shared" si="18"/>
        <v>9447996.5091817956</v>
      </c>
      <c r="AD204" s="153">
        <f t="shared" si="19"/>
        <v>2237996.5091817956</v>
      </c>
      <c r="AE204" s="153">
        <f t="shared" si="20"/>
        <v>2237996.5091817956</v>
      </c>
    </row>
    <row r="205" spans="1:31" x14ac:dyDescent="0.25">
      <c r="A205" t="s">
        <v>601</v>
      </c>
      <c r="B205" t="s">
        <v>239</v>
      </c>
      <c r="C205">
        <v>8340</v>
      </c>
      <c r="D205">
        <v>4817</v>
      </c>
      <c r="E205">
        <v>3523</v>
      </c>
      <c r="F205">
        <v>573</v>
      </c>
      <c r="G205">
        <v>1810</v>
      </c>
      <c r="H205">
        <v>150</v>
      </c>
      <c r="I205">
        <v>302</v>
      </c>
      <c r="J205">
        <v>2376</v>
      </c>
      <c r="K205">
        <v>2981</v>
      </c>
      <c r="L205">
        <v>532</v>
      </c>
      <c r="M205">
        <v>616</v>
      </c>
      <c r="N205">
        <v>1252</v>
      </c>
      <c r="O205">
        <v>230</v>
      </c>
      <c r="P205">
        <v>5856000</v>
      </c>
      <c r="Q205">
        <v>4709000</v>
      </c>
      <c r="R205">
        <v>1147000</v>
      </c>
      <c r="S205">
        <v>285000</v>
      </c>
      <c r="T205" s="153">
        <f t="shared" si="21"/>
        <v>13340715</v>
      </c>
      <c r="U205" s="153">
        <f t="shared" si="22"/>
        <v>7224167.5</v>
      </c>
      <c r="V205" s="153">
        <f t="shared" si="23"/>
        <v>7224167.5</v>
      </c>
      <c r="X205" t="s">
        <v>239</v>
      </c>
      <c r="Y205">
        <v>4790</v>
      </c>
      <c r="Z205">
        <v>3986</v>
      </c>
      <c r="AA205">
        <v>4714566929.1338587</v>
      </c>
      <c r="AB205">
        <v>1186309523.8095238</v>
      </c>
      <c r="AC205" s="153">
        <f t="shared" si="18"/>
        <v>16139884.864391953</v>
      </c>
      <c r="AD205" s="153">
        <f t="shared" si="19"/>
        <v>7363884.8643919528</v>
      </c>
      <c r="AE205" s="153">
        <f t="shared" si="20"/>
        <v>7363884.8643919528</v>
      </c>
    </row>
    <row r="206" spans="1:31" x14ac:dyDescent="0.25">
      <c r="A206" t="s">
        <v>601</v>
      </c>
      <c r="B206" t="s">
        <v>240</v>
      </c>
      <c r="C206">
        <v>83224</v>
      </c>
      <c r="D206">
        <v>43772</v>
      </c>
      <c r="E206">
        <v>39452</v>
      </c>
      <c r="F206">
        <v>17104</v>
      </c>
      <c r="G206">
        <v>376</v>
      </c>
      <c r="H206">
        <v>605</v>
      </c>
      <c r="I206">
        <v>1237</v>
      </c>
      <c r="J206">
        <v>15585</v>
      </c>
      <c r="K206">
        <v>3220</v>
      </c>
      <c r="L206">
        <v>2296</v>
      </c>
      <c r="M206">
        <v>0</v>
      </c>
      <c r="N206">
        <v>5873</v>
      </c>
      <c r="O206">
        <v>2036</v>
      </c>
      <c r="P206">
        <v>20451000</v>
      </c>
      <c r="Q206">
        <v>16271000</v>
      </c>
      <c r="R206">
        <v>4180000</v>
      </c>
      <c r="S206">
        <v>205000</v>
      </c>
      <c r="T206" s="153">
        <f t="shared" si="21"/>
        <v>46922055</v>
      </c>
      <c r="U206" s="153">
        <f t="shared" si="22"/>
        <v>-28481602.5</v>
      </c>
      <c r="V206" s="153">
        <f t="shared" si="23"/>
        <v>0</v>
      </c>
      <c r="X206" t="s">
        <v>240</v>
      </c>
      <c r="Y206">
        <v>41764</v>
      </c>
      <c r="Z206">
        <v>38106</v>
      </c>
      <c r="AA206">
        <v>15989280245.022972</v>
      </c>
      <c r="AB206">
        <v>4220400930.3355851</v>
      </c>
      <c r="AC206" s="153">
        <f t="shared" si="18"/>
        <v>55635440.315367453</v>
      </c>
      <c r="AD206" s="153">
        <f t="shared" si="19"/>
        <v>-24234559.684632547</v>
      </c>
      <c r="AE206" s="153">
        <f t="shared" si="20"/>
        <v>0</v>
      </c>
    </row>
    <row r="207" spans="1:31" x14ac:dyDescent="0.25">
      <c r="A207" t="s">
        <v>603</v>
      </c>
      <c r="B207" t="s">
        <v>550</v>
      </c>
      <c r="C207">
        <v>15418</v>
      </c>
      <c r="D207">
        <v>9517</v>
      </c>
      <c r="E207">
        <v>5901</v>
      </c>
      <c r="F207">
        <v>3312</v>
      </c>
      <c r="G207">
        <v>4578</v>
      </c>
      <c r="H207">
        <v>185</v>
      </c>
      <c r="I207">
        <v>1307</v>
      </c>
      <c r="J207">
        <v>5319</v>
      </c>
      <c r="K207">
        <v>11386</v>
      </c>
      <c r="L207">
        <v>972</v>
      </c>
      <c r="M207">
        <v>434</v>
      </c>
      <c r="N207">
        <v>413</v>
      </c>
      <c r="O207">
        <v>130</v>
      </c>
      <c r="P207">
        <v>7909000</v>
      </c>
      <c r="Q207">
        <v>6746000</v>
      </c>
      <c r="R207">
        <v>1163000</v>
      </c>
      <c r="S207">
        <v>173000</v>
      </c>
      <c r="T207" s="153">
        <f t="shared" si="21"/>
        <v>17282160</v>
      </c>
      <c r="U207" s="153">
        <f t="shared" si="22"/>
        <v>4744520</v>
      </c>
      <c r="V207" s="153">
        <f t="shared" si="23"/>
        <v>4744520</v>
      </c>
      <c r="X207" t="s">
        <v>550</v>
      </c>
      <c r="Y207">
        <v>9468</v>
      </c>
      <c r="Z207">
        <v>6312</v>
      </c>
      <c r="AA207">
        <v>6860869565.217391</v>
      </c>
      <c r="AB207">
        <v>1199088145.8966565</v>
      </c>
      <c r="AC207" s="153">
        <f t="shared" si="18"/>
        <v>21085933.765032373</v>
      </c>
      <c r="AD207" s="153">
        <f t="shared" si="19"/>
        <v>5305933.7650323734</v>
      </c>
      <c r="AE207" s="153">
        <f t="shared" si="20"/>
        <v>5305933.7650323734</v>
      </c>
    </row>
    <row r="208" spans="1:31" x14ac:dyDescent="0.25">
      <c r="A208" t="s">
        <v>602</v>
      </c>
      <c r="B208" t="s">
        <v>751</v>
      </c>
      <c r="C208">
        <v>8480</v>
      </c>
      <c r="D208">
        <v>5214</v>
      </c>
      <c r="E208">
        <v>3266</v>
      </c>
      <c r="F208">
        <v>461</v>
      </c>
      <c r="G208">
        <v>2875</v>
      </c>
      <c r="H208">
        <v>331</v>
      </c>
      <c r="I208">
        <v>253</v>
      </c>
      <c r="J208">
        <v>4628</v>
      </c>
      <c r="K208">
        <v>4334</v>
      </c>
      <c r="L208">
        <v>801</v>
      </c>
      <c r="M208">
        <v>289</v>
      </c>
      <c r="N208">
        <v>786</v>
      </c>
      <c r="O208">
        <v>74</v>
      </c>
      <c r="P208">
        <v>3992000</v>
      </c>
      <c r="Q208">
        <v>3090000</v>
      </c>
      <c r="R208">
        <v>902000</v>
      </c>
      <c r="S208" s="154">
        <v>158333.33333333334</v>
      </c>
      <c r="T208" s="153">
        <f t="shared" si="21"/>
        <v>9323070</v>
      </c>
      <c r="U208" s="153">
        <f t="shared" si="22"/>
        <v>2396915</v>
      </c>
      <c r="V208" s="153">
        <f t="shared" si="23"/>
        <v>2396915</v>
      </c>
      <c r="X208" t="s">
        <v>751</v>
      </c>
      <c r="Y208">
        <v>5224</v>
      </c>
      <c r="Z208">
        <v>3702</v>
      </c>
      <c r="AA208">
        <v>3062336210.3752761</v>
      </c>
      <c r="AB208">
        <v>852458936.48175025</v>
      </c>
      <c r="AC208" s="153">
        <v>10856626.632456841</v>
      </c>
      <c r="AD208" s="153">
        <v>1930626.6324568409</v>
      </c>
      <c r="AE208" s="153">
        <v>1930626.6324568409</v>
      </c>
    </row>
    <row r="209" spans="1:31" x14ac:dyDescent="0.25">
      <c r="A209" t="s">
        <v>610</v>
      </c>
      <c r="B209" t="s">
        <v>394</v>
      </c>
      <c r="C209">
        <v>2152</v>
      </c>
      <c r="D209">
        <v>1506</v>
      </c>
      <c r="E209">
        <v>646</v>
      </c>
      <c r="F209">
        <v>18</v>
      </c>
      <c r="G209">
        <v>244</v>
      </c>
      <c r="H209">
        <v>1687</v>
      </c>
      <c r="I209">
        <v>806</v>
      </c>
      <c r="J209">
        <v>830</v>
      </c>
      <c r="K209">
        <v>1060</v>
      </c>
      <c r="L209">
        <v>150</v>
      </c>
      <c r="M209">
        <v>60</v>
      </c>
      <c r="N209">
        <v>300</v>
      </c>
      <c r="O209">
        <v>227</v>
      </c>
      <c r="P209">
        <v>1475000</v>
      </c>
      <c r="Q209">
        <v>1190000</v>
      </c>
      <c r="R209">
        <v>285000</v>
      </c>
      <c r="S209">
        <v>201000</v>
      </c>
      <c r="T209" s="153">
        <f t="shared" si="21"/>
        <v>3352800</v>
      </c>
      <c r="U209" s="153">
        <f t="shared" si="22"/>
        <v>1759600</v>
      </c>
      <c r="V209" s="153">
        <f t="shared" si="23"/>
        <v>1759600</v>
      </c>
      <c r="X209" t="s">
        <v>394</v>
      </c>
      <c r="Y209">
        <v>1491</v>
      </c>
      <c r="Z209">
        <v>669</v>
      </c>
      <c r="AA209">
        <v>1187101910.8280256</v>
      </c>
      <c r="AB209">
        <v>272283272.28327227</v>
      </c>
      <c r="AC209" s="153">
        <f t="shared" si="18"/>
        <v>3943586.2957519013</v>
      </c>
      <c r="AD209" s="153">
        <f t="shared" si="19"/>
        <v>1783586.2957519013</v>
      </c>
      <c r="AE209" s="153">
        <f t="shared" si="20"/>
        <v>1783586.2957519013</v>
      </c>
    </row>
    <row r="210" spans="1:31" x14ac:dyDescent="0.25">
      <c r="A210" s="101" t="s">
        <v>598</v>
      </c>
      <c r="B210" t="s">
        <v>137</v>
      </c>
      <c r="C210">
        <v>5483</v>
      </c>
      <c r="D210">
        <v>3651</v>
      </c>
      <c r="E210">
        <v>1832</v>
      </c>
      <c r="F210">
        <v>0</v>
      </c>
      <c r="G210">
        <v>0</v>
      </c>
      <c r="H210">
        <v>206</v>
      </c>
      <c r="I210">
        <v>418</v>
      </c>
      <c r="J210">
        <v>3964</v>
      </c>
      <c r="K210">
        <v>2786</v>
      </c>
      <c r="L210">
        <v>408</v>
      </c>
      <c r="M210">
        <v>204</v>
      </c>
      <c r="N210">
        <v>453</v>
      </c>
      <c r="O210">
        <v>48</v>
      </c>
      <c r="P210">
        <v>3896000</v>
      </c>
      <c r="Q210">
        <v>3109000</v>
      </c>
      <c r="R210">
        <v>787000</v>
      </c>
      <c r="S210">
        <v>225000</v>
      </c>
      <c r="T210" s="153">
        <f t="shared" si="21"/>
        <v>8921115</v>
      </c>
      <c r="U210" s="153">
        <f t="shared" si="22"/>
        <v>4924967.5</v>
      </c>
      <c r="V210" s="153">
        <f t="shared" si="23"/>
        <v>4924967.5</v>
      </c>
      <c r="X210" t="s">
        <v>137</v>
      </c>
      <c r="Y210">
        <v>3602</v>
      </c>
      <c r="Z210">
        <v>1933</v>
      </c>
      <c r="AA210">
        <v>3109192921.8817434</v>
      </c>
      <c r="AB210">
        <v>786443712.11196542</v>
      </c>
      <c r="AC210" s="153">
        <f t="shared" si="18"/>
        <v>10662657.64153132</v>
      </c>
      <c r="AD210" s="153">
        <f t="shared" si="19"/>
        <v>5127657.6415313203</v>
      </c>
      <c r="AE210" s="153">
        <f t="shared" si="20"/>
        <v>5127657.6415313203</v>
      </c>
    </row>
    <row r="211" spans="1:31" x14ac:dyDescent="0.25">
      <c r="A211" t="s">
        <v>605</v>
      </c>
      <c r="B211" t="s">
        <v>497</v>
      </c>
      <c r="C211">
        <v>11562</v>
      </c>
      <c r="D211">
        <v>5478</v>
      </c>
      <c r="E211">
        <v>6084</v>
      </c>
      <c r="F211">
        <v>0</v>
      </c>
      <c r="G211">
        <v>0</v>
      </c>
      <c r="H211">
        <v>320</v>
      </c>
      <c r="I211">
        <v>80</v>
      </c>
      <c r="J211">
        <v>3128</v>
      </c>
      <c r="K211">
        <v>4745</v>
      </c>
      <c r="L211">
        <v>580</v>
      </c>
      <c r="M211">
        <v>574</v>
      </c>
      <c r="N211">
        <v>1296</v>
      </c>
      <c r="O211">
        <v>233</v>
      </c>
      <c r="P211">
        <v>5348000</v>
      </c>
      <c r="Q211">
        <v>3420000</v>
      </c>
      <c r="R211">
        <v>1928000</v>
      </c>
      <c r="S211">
        <v>186000</v>
      </c>
      <c r="T211" s="153">
        <f t="shared" si="21"/>
        <v>13860780</v>
      </c>
      <c r="U211" s="153">
        <f t="shared" si="22"/>
        <v>4608910</v>
      </c>
      <c r="V211" s="153">
        <f t="shared" si="23"/>
        <v>4608910</v>
      </c>
      <c r="X211" t="s">
        <v>497</v>
      </c>
      <c r="Y211">
        <v>5120</v>
      </c>
      <c r="Z211">
        <v>7031</v>
      </c>
      <c r="AA211">
        <v>3397478433.9747839</v>
      </c>
      <c r="AB211">
        <v>1926301369.8630137</v>
      </c>
      <c r="AC211" s="153">
        <f t="shared" si="18"/>
        <v>16510851.526241314</v>
      </c>
      <c r="AD211" s="153">
        <f t="shared" si="19"/>
        <v>4359851.5262413137</v>
      </c>
      <c r="AE211" s="153">
        <f t="shared" si="20"/>
        <v>4359851.5262413137</v>
      </c>
    </row>
    <row r="212" spans="1:31" x14ac:dyDescent="0.25">
      <c r="A212" t="s">
        <v>603</v>
      </c>
      <c r="B212" t="s">
        <v>365</v>
      </c>
      <c r="C212">
        <v>10152</v>
      </c>
      <c r="D212">
        <v>6750</v>
      </c>
      <c r="E212">
        <v>3402</v>
      </c>
      <c r="F212">
        <v>3106</v>
      </c>
      <c r="G212">
        <v>4701</v>
      </c>
      <c r="H212">
        <v>2294</v>
      </c>
      <c r="I212">
        <v>1311</v>
      </c>
      <c r="J212">
        <v>4585</v>
      </c>
      <c r="K212">
        <v>4837</v>
      </c>
      <c r="L212">
        <v>742</v>
      </c>
      <c r="M212">
        <v>179</v>
      </c>
      <c r="N212">
        <v>1147</v>
      </c>
      <c r="O212">
        <v>137</v>
      </c>
      <c r="P212">
        <v>7455000</v>
      </c>
      <c r="Q212">
        <v>6281000</v>
      </c>
      <c r="R212">
        <v>1174000</v>
      </c>
      <c r="S212" s="154">
        <v>309500</v>
      </c>
      <c r="T212" s="153">
        <f t="shared" si="21"/>
        <v>16438245</v>
      </c>
      <c r="U212" s="153">
        <f t="shared" si="22"/>
        <v>9025952.5</v>
      </c>
      <c r="V212" s="153">
        <f t="shared" si="23"/>
        <v>9025952.5</v>
      </c>
      <c r="X212" t="s">
        <v>365</v>
      </c>
      <c r="Y212">
        <v>6760</v>
      </c>
      <c r="Z212">
        <v>3716</v>
      </c>
      <c r="AA212">
        <v>6285590042.8282566</v>
      </c>
      <c r="AB212">
        <v>1188916035.5725574</v>
      </c>
      <c r="AC212">
        <v>19729499.960888695</v>
      </c>
      <c r="AD212">
        <v>9253499.960888695</v>
      </c>
      <c r="AE212">
        <v>9253499.960888695</v>
      </c>
    </row>
    <row r="213" spans="1:31" x14ac:dyDescent="0.25">
      <c r="A213" t="s">
        <v>599</v>
      </c>
      <c r="B213" t="s">
        <v>501</v>
      </c>
      <c r="C213">
        <v>5857</v>
      </c>
      <c r="D213">
        <v>4546</v>
      </c>
      <c r="E213">
        <v>1311</v>
      </c>
      <c r="F213">
        <v>0</v>
      </c>
      <c r="G213">
        <v>0</v>
      </c>
      <c r="H213">
        <v>24</v>
      </c>
      <c r="I213">
        <v>78</v>
      </c>
      <c r="J213">
        <v>2289</v>
      </c>
      <c r="K213">
        <v>1831</v>
      </c>
      <c r="L213">
        <v>345</v>
      </c>
      <c r="M213">
        <v>93</v>
      </c>
      <c r="N213">
        <v>780</v>
      </c>
      <c r="O213">
        <v>65</v>
      </c>
      <c r="P213">
        <v>3356000</v>
      </c>
      <c r="Q213">
        <v>3018000</v>
      </c>
      <c r="R213">
        <v>338000</v>
      </c>
      <c r="S213">
        <v>302000</v>
      </c>
      <c r="T213" s="153">
        <f t="shared" si="21"/>
        <v>7037070</v>
      </c>
      <c r="U213" s="153">
        <f t="shared" si="22"/>
        <v>2352915</v>
      </c>
      <c r="V213" s="153">
        <f t="shared" si="23"/>
        <v>2352915</v>
      </c>
      <c r="X213" t="s">
        <v>501</v>
      </c>
      <c r="Y213">
        <v>4459</v>
      </c>
      <c r="Z213">
        <v>1305</v>
      </c>
      <c r="AA213">
        <v>2978623914.4956579</v>
      </c>
      <c r="AB213">
        <v>312051649.92826396</v>
      </c>
      <c r="AC213" s="153">
        <f t="shared" si="18"/>
        <v>8204610.7761513777</v>
      </c>
      <c r="AD213" s="153">
        <f t="shared" si="19"/>
        <v>2440610.7761513777</v>
      </c>
      <c r="AE213" s="153">
        <f t="shared" si="20"/>
        <v>2440610.7761513777</v>
      </c>
    </row>
    <row r="214" spans="1:31" x14ac:dyDescent="0.25">
      <c r="A214" t="s">
        <v>601</v>
      </c>
      <c r="B214" t="s">
        <v>241</v>
      </c>
      <c r="C214">
        <v>4248</v>
      </c>
      <c r="D214">
        <v>2796</v>
      </c>
      <c r="E214">
        <v>1452</v>
      </c>
      <c r="F214">
        <v>0</v>
      </c>
      <c r="G214">
        <v>1500</v>
      </c>
      <c r="H214">
        <v>658</v>
      </c>
      <c r="I214">
        <v>715</v>
      </c>
      <c r="J214">
        <v>1938</v>
      </c>
      <c r="K214">
        <v>2018</v>
      </c>
      <c r="L214">
        <v>500</v>
      </c>
      <c r="M214">
        <v>391</v>
      </c>
      <c r="N214">
        <v>842</v>
      </c>
      <c r="O214">
        <v>101</v>
      </c>
      <c r="P214">
        <v>3420000</v>
      </c>
      <c r="Q214">
        <v>2896000</v>
      </c>
      <c r="R214">
        <v>524000</v>
      </c>
      <c r="S214">
        <v>270000</v>
      </c>
      <c r="T214" s="153">
        <f t="shared" si="21"/>
        <v>7513320</v>
      </c>
      <c r="U214" s="153">
        <f t="shared" si="22"/>
        <v>4517540</v>
      </c>
      <c r="V214" s="153">
        <f t="shared" si="23"/>
        <v>4517540</v>
      </c>
      <c r="X214" t="s">
        <v>241</v>
      </c>
      <c r="Y214">
        <v>2741</v>
      </c>
      <c r="Z214">
        <v>1430</v>
      </c>
      <c r="AA214">
        <v>3012087912.0879121</v>
      </c>
      <c r="AB214">
        <v>471947194.71947187</v>
      </c>
      <c r="AC214" s="153">
        <f t="shared" si="18"/>
        <v>9009090.3613438271</v>
      </c>
      <c r="AD214" s="153">
        <f t="shared" si="19"/>
        <v>4838090.3613438271</v>
      </c>
      <c r="AE214" s="153">
        <f t="shared" si="20"/>
        <v>4838090.3613438271</v>
      </c>
    </row>
    <row r="215" spans="1:31" x14ac:dyDescent="0.25">
      <c r="A215" t="s">
        <v>603</v>
      </c>
      <c r="B215" t="s">
        <v>367</v>
      </c>
      <c r="C215">
        <v>6511</v>
      </c>
      <c r="D215">
        <v>4807</v>
      </c>
      <c r="E215">
        <v>1704</v>
      </c>
      <c r="F215">
        <v>0</v>
      </c>
      <c r="G215">
        <v>1742</v>
      </c>
      <c r="H215">
        <v>201</v>
      </c>
      <c r="I215">
        <v>106</v>
      </c>
      <c r="J215">
        <v>2346</v>
      </c>
      <c r="K215">
        <v>2699</v>
      </c>
      <c r="L215">
        <v>195</v>
      </c>
      <c r="M215">
        <v>0</v>
      </c>
      <c r="N215">
        <v>1038</v>
      </c>
      <c r="O215">
        <v>55</v>
      </c>
      <c r="P215">
        <v>4271000</v>
      </c>
      <c r="Q215">
        <v>3791000</v>
      </c>
      <c r="R215">
        <v>480000</v>
      </c>
      <c r="S215">
        <v>351000</v>
      </c>
      <c r="T215" s="153">
        <f t="shared" si="21"/>
        <v>9050655</v>
      </c>
      <c r="U215" s="153">
        <f t="shared" si="22"/>
        <v>4048097.5</v>
      </c>
      <c r="V215" s="153">
        <f t="shared" si="23"/>
        <v>4048097.5</v>
      </c>
      <c r="X215" t="s">
        <v>367</v>
      </c>
      <c r="Y215">
        <v>4560</v>
      </c>
      <c r="Z215">
        <v>1706</v>
      </c>
      <c r="AA215">
        <v>3768595041.3223143</v>
      </c>
      <c r="AB215">
        <v>354530340.81463009</v>
      </c>
      <c r="AC215" s="153">
        <f t="shared" si="18"/>
        <v>10197114.633068386</v>
      </c>
      <c r="AD215" s="153">
        <f t="shared" si="19"/>
        <v>3931114.6330683865</v>
      </c>
      <c r="AE215" s="153">
        <f t="shared" si="20"/>
        <v>3931114.6330683865</v>
      </c>
    </row>
    <row r="216" spans="1:31" x14ac:dyDescent="0.25">
      <c r="A216" t="s">
        <v>599</v>
      </c>
      <c r="B216" t="s">
        <v>440</v>
      </c>
      <c r="C216">
        <v>6023</v>
      </c>
      <c r="D216">
        <v>3228</v>
      </c>
      <c r="E216">
        <v>2795</v>
      </c>
      <c r="F216">
        <v>0</v>
      </c>
      <c r="G216">
        <v>0</v>
      </c>
      <c r="H216">
        <v>262</v>
      </c>
      <c r="I216">
        <v>72</v>
      </c>
      <c r="J216">
        <v>1486</v>
      </c>
      <c r="K216">
        <v>1488</v>
      </c>
      <c r="L216">
        <v>226</v>
      </c>
      <c r="M216">
        <v>0</v>
      </c>
      <c r="N216">
        <v>467</v>
      </c>
      <c r="O216">
        <v>83</v>
      </c>
      <c r="P216">
        <v>2926000</v>
      </c>
      <c r="Q216">
        <v>2307000</v>
      </c>
      <c r="R216">
        <v>619000</v>
      </c>
      <c r="S216">
        <v>318000</v>
      </c>
      <c r="T216" s="153">
        <f t="shared" si="21"/>
        <v>6753225</v>
      </c>
      <c r="U216" s="153">
        <f t="shared" si="22"/>
        <v>1855762.5</v>
      </c>
      <c r="V216" s="153">
        <f t="shared" si="23"/>
        <v>1855762.5</v>
      </c>
      <c r="X216" t="s">
        <v>440</v>
      </c>
      <c r="Y216">
        <v>3120</v>
      </c>
      <c r="Z216">
        <v>2590</v>
      </c>
      <c r="AA216">
        <v>2280701754.3859649</v>
      </c>
      <c r="AB216">
        <v>553537080.57277191</v>
      </c>
      <c r="AC216" s="153">
        <f t="shared" si="18"/>
        <v>7715095.0183037547</v>
      </c>
      <c r="AD216" s="153">
        <f t="shared" si="19"/>
        <v>2005095.0183037547</v>
      </c>
      <c r="AE216" s="153">
        <f t="shared" si="20"/>
        <v>2005095.0183037547</v>
      </c>
    </row>
    <row r="217" spans="1:31" x14ac:dyDescent="0.25">
      <c r="A217" t="s">
        <v>599</v>
      </c>
      <c r="B217" t="s">
        <v>441</v>
      </c>
      <c r="C217">
        <v>6024</v>
      </c>
      <c r="D217">
        <v>4160</v>
      </c>
      <c r="E217">
        <v>1864</v>
      </c>
      <c r="F217">
        <v>976</v>
      </c>
      <c r="G217">
        <v>1401</v>
      </c>
      <c r="H217">
        <v>677</v>
      </c>
      <c r="I217">
        <v>236</v>
      </c>
      <c r="J217">
        <v>2572</v>
      </c>
      <c r="K217">
        <v>2022</v>
      </c>
      <c r="L217">
        <v>355</v>
      </c>
      <c r="M217">
        <v>0</v>
      </c>
      <c r="N217">
        <v>741</v>
      </c>
      <c r="O217">
        <v>83</v>
      </c>
      <c r="P217">
        <v>4143000</v>
      </c>
      <c r="Q217">
        <v>3541000</v>
      </c>
      <c r="R217">
        <v>602000</v>
      </c>
      <c r="S217">
        <v>314000</v>
      </c>
      <c r="T217" s="153">
        <f t="shared" si="21"/>
        <v>9039225</v>
      </c>
      <c r="U217" s="153">
        <f t="shared" si="22"/>
        <v>4521762.5</v>
      </c>
      <c r="V217" s="153">
        <f t="shared" si="23"/>
        <v>4521762.5</v>
      </c>
      <c r="X217" t="s">
        <v>441</v>
      </c>
      <c r="Y217">
        <v>4063</v>
      </c>
      <c r="Z217">
        <v>1820</v>
      </c>
      <c r="AA217">
        <v>3414285714.2857146</v>
      </c>
      <c r="AB217">
        <v>564691281.41483092</v>
      </c>
      <c r="AC217" s="153">
        <f t="shared" si="18"/>
        <v>10347447.223084083</v>
      </c>
      <c r="AD217" s="153">
        <f t="shared" si="19"/>
        <v>4464447.2230840828</v>
      </c>
      <c r="AE217" s="153">
        <f t="shared" si="20"/>
        <v>4464447.2230840828</v>
      </c>
    </row>
    <row r="218" spans="1:31" x14ac:dyDescent="0.25">
      <c r="A218" t="s">
        <v>607</v>
      </c>
      <c r="B218" t="s">
        <v>156</v>
      </c>
      <c r="C218">
        <v>12519</v>
      </c>
      <c r="D218">
        <v>6362</v>
      </c>
      <c r="E218">
        <v>6157</v>
      </c>
      <c r="F218">
        <v>0</v>
      </c>
      <c r="G218">
        <v>919</v>
      </c>
      <c r="H218">
        <v>75</v>
      </c>
      <c r="I218">
        <v>260</v>
      </c>
      <c r="J218">
        <v>4650</v>
      </c>
      <c r="K218">
        <v>3504</v>
      </c>
      <c r="L218">
        <v>894</v>
      </c>
      <c r="M218">
        <v>155</v>
      </c>
      <c r="N218">
        <v>431</v>
      </c>
      <c r="O218">
        <v>75</v>
      </c>
      <c r="P218">
        <v>3220000</v>
      </c>
      <c r="Q218">
        <v>2392000</v>
      </c>
      <c r="R218">
        <v>828000</v>
      </c>
      <c r="S218">
        <v>134000</v>
      </c>
      <c r="T218" s="153">
        <f t="shared" si="21"/>
        <v>7711440</v>
      </c>
      <c r="U218" s="153">
        <f t="shared" si="22"/>
        <v>-3522320</v>
      </c>
      <c r="V218" s="153">
        <f t="shared" si="23"/>
        <v>0</v>
      </c>
      <c r="X218" t="s">
        <v>156</v>
      </c>
      <c r="Y218">
        <v>6025</v>
      </c>
      <c r="Z218">
        <v>6504</v>
      </c>
      <c r="AA218">
        <v>2386138613.8613863</v>
      </c>
      <c r="AB218">
        <v>783331326.02673733</v>
      </c>
      <c r="AC218" s="153">
        <f t="shared" si="18"/>
        <v>9001846.0829101112</v>
      </c>
      <c r="AD218" s="153">
        <f t="shared" si="19"/>
        <v>-3527153.9170898888</v>
      </c>
      <c r="AE218" s="153">
        <f t="shared" si="20"/>
        <v>0</v>
      </c>
    </row>
    <row r="219" spans="1:31" x14ac:dyDescent="0.25">
      <c r="A219" t="s">
        <v>601</v>
      </c>
      <c r="B219" t="s">
        <v>242</v>
      </c>
      <c r="C219">
        <v>4753</v>
      </c>
      <c r="D219">
        <v>3022</v>
      </c>
      <c r="E219">
        <v>1731</v>
      </c>
      <c r="F219">
        <v>0</v>
      </c>
      <c r="G219">
        <v>1833</v>
      </c>
      <c r="H219">
        <v>523</v>
      </c>
      <c r="I219">
        <v>34</v>
      </c>
      <c r="J219">
        <v>1528</v>
      </c>
      <c r="K219">
        <v>2158</v>
      </c>
      <c r="L219">
        <v>290</v>
      </c>
      <c r="M219">
        <v>530</v>
      </c>
      <c r="N219">
        <v>682</v>
      </c>
      <c r="O219">
        <v>43</v>
      </c>
      <c r="P219">
        <v>2688000</v>
      </c>
      <c r="Q219">
        <v>2278000</v>
      </c>
      <c r="R219">
        <v>410000</v>
      </c>
      <c r="S219">
        <v>246000</v>
      </c>
      <c r="T219" s="153">
        <f t="shared" si="21"/>
        <v>5901690</v>
      </c>
      <c r="U219" s="153">
        <f t="shared" si="22"/>
        <v>2132305</v>
      </c>
      <c r="V219" s="153">
        <f t="shared" si="23"/>
        <v>2132305</v>
      </c>
      <c r="X219" t="s">
        <v>242</v>
      </c>
      <c r="Y219">
        <v>2841</v>
      </c>
      <c r="Z219">
        <v>2080</v>
      </c>
      <c r="AA219">
        <v>2256552819.698173</v>
      </c>
      <c r="AB219">
        <v>456741326.30654371</v>
      </c>
      <c r="AC219" s="153">
        <f t="shared" si="18"/>
        <v>7219227.4489435107</v>
      </c>
      <c r="AD219" s="153">
        <f t="shared" si="19"/>
        <v>2298227.4489435107</v>
      </c>
      <c r="AE219" s="153">
        <f t="shared" si="20"/>
        <v>2298227.4489435107</v>
      </c>
    </row>
    <row r="220" spans="1:31" x14ac:dyDescent="0.25">
      <c r="A220" t="s">
        <v>604</v>
      </c>
      <c r="B220" t="s">
        <v>197</v>
      </c>
      <c r="C220">
        <v>7269</v>
      </c>
      <c r="D220">
        <v>3801</v>
      </c>
      <c r="E220">
        <v>3468</v>
      </c>
      <c r="F220">
        <v>811</v>
      </c>
      <c r="G220">
        <v>21</v>
      </c>
      <c r="H220">
        <v>47</v>
      </c>
      <c r="I220">
        <v>264</v>
      </c>
      <c r="J220">
        <v>2942</v>
      </c>
      <c r="K220">
        <v>2954</v>
      </c>
      <c r="L220">
        <v>552</v>
      </c>
      <c r="M220">
        <v>203</v>
      </c>
      <c r="N220">
        <v>719</v>
      </c>
      <c r="O220">
        <v>71</v>
      </c>
      <c r="P220">
        <v>3829000</v>
      </c>
      <c r="Q220">
        <v>3054000</v>
      </c>
      <c r="R220">
        <v>775000</v>
      </c>
      <c r="S220">
        <v>216000</v>
      </c>
      <c r="T220" s="153">
        <f t="shared" si="21"/>
        <v>8770620</v>
      </c>
      <c r="U220" s="153">
        <f t="shared" si="22"/>
        <v>2963390</v>
      </c>
      <c r="V220" s="153">
        <f t="shared" si="23"/>
        <v>2963390</v>
      </c>
      <c r="X220" t="s">
        <v>197</v>
      </c>
      <c r="Y220">
        <v>3638</v>
      </c>
      <c r="Z220">
        <v>3614</v>
      </c>
      <c r="AA220">
        <v>3034195162.6355295</v>
      </c>
      <c r="AB220">
        <v>726432160.80402005</v>
      </c>
      <c r="AC220" s="153">
        <f t="shared" si="18"/>
        <v>10218530.132117355</v>
      </c>
      <c r="AD220" s="153">
        <f t="shared" si="19"/>
        <v>2966530.1321173552</v>
      </c>
      <c r="AE220" s="153">
        <f t="shared" si="20"/>
        <v>2966530.1321173552</v>
      </c>
    </row>
    <row r="221" spans="1:31" x14ac:dyDescent="0.25">
      <c r="A221" t="s">
        <v>604</v>
      </c>
      <c r="B221" t="s">
        <v>198</v>
      </c>
      <c r="C221">
        <v>4215</v>
      </c>
      <c r="D221">
        <v>2958</v>
      </c>
      <c r="E221">
        <v>1257</v>
      </c>
      <c r="F221">
        <v>0</v>
      </c>
      <c r="G221">
        <v>0</v>
      </c>
      <c r="H221">
        <v>71</v>
      </c>
      <c r="I221">
        <v>35</v>
      </c>
      <c r="J221">
        <v>1726</v>
      </c>
      <c r="K221">
        <v>1299</v>
      </c>
      <c r="L221">
        <v>182</v>
      </c>
      <c r="M221">
        <v>58</v>
      </c>
      <c r="N221">
        <v>275</v>
      </c>
      <c r="O221">
        <v>31</v>
      </c>
      <c r="P221">
        <v>1987000</v>
      </c>
      <c r="Q221">
        <v>1694000</v>
      </c>
      <c r="R221">
        <v>293000</v>
      </c>
      <c r="S221">
        <v>229000</v>
      </c>
      <c r="T221" s="153">
        <f t="shared" si="21"/>
        <v>4343400</v>
      </c>
      <c r="U221" s="153">
        <f t="shared" si="22"/>
        <v>852300</v>
      </c>
      <c r="V221" s="153">
        <f t="shared" si="23"/>
        <v>852300</v>
      </c>
      <c r="X221" t="s">
        <v>198</v>
      </c>
      <c r="Y221">
        <v>2822</v>
      </c>
      <c r="Z221">
        <v>1599</v>
      </c>
      <c r="AA221">
        <v>1650292397.6608186</v>
      </c>
      <c r="AB221">
        <v>315571343.99052697</v>
      </c>
      <c r="AC221" s="153">
        <f t="shared" si="18"/>
        <v>5195588.1683684243</v>
      </c>
      <c r="AD221" s="153">
        <f t="shared" si="19"/>
        <v>774588.16836842429</v>
      </c>
      <c r="AE221" s="153">
        <f t="shared" si="20"/>
        <v>774588.16836842429</v>
      </c>
    </row>
    <row r="222" spans="1:31" x14ac:dyDescent="0.25">
      <c r="A222" t="s">
        <v>604</v>
      </c>
      <c r="B222" t="s">
        <v>199</v>
      </c>
      <c r="C222">
        <v>3871</v>
      </c>
      <c r="D222">
        <v>2226</v>
      </c>
      <c r="E222">
        <v>1645</v>
      </c>
      <c r="F222">
        <v>0</v>
      </c>
      <c r="G222">
        <v>31</v>
      </c>
      <c r="H222">
        <v>700</v>
      </c>
      <c r="I222">
        <v>911</v>
      </c>
      <c r="J222">
        <v>1660</v>
      </c>
      <c r="K222">
        <v>1708</v>
      </c>
      <c r="L222">
        <v>210</v>
      </c>
      <c r="M222">
        <v>312</v>
      </c>
      <c r="N222">
        <v>529</v>
      </c>
      <c r="O222">
        <v>59</v>
      </c>
      <c r="P222">
        <v>2284000</v>
      </c>
      <c r="Q222">
        <v>1765000</v>
      </c>
      <c r="R222">
        <v>519000</v>
      </c>
      <c r="S222">
        <v>242000</v>
      </c>
      <c r="T222" s="153">
        <f t="shared" si="21"/>
        <v>5339715</v>
      </c>
      <c r="U222" s="153">
        <f t="shared" si="22"/>
        <v>2358667.5</v>
      </c>
      <c r="V222" s="153">
        <f t="shared" si="23"/>
        <v>2358667.5</v>
      </c>
      <c r="X222" t="s">
        <v>199</v>
      </c>
      <c r="Y222">
        <v>2037</v>
      </c>
      <c r="Z222">
        <v>1881</v>
      </c>
      <c r="AA222">
        <v>1746998284.734134</v>
      </c>
      <c r="AB222">
        <v>545691906.00522196</v>
      </c>
      <c r="AC222" s="153">
        <f t="shared" si="18"/>
        <v>6463942.1616529841</v>
      </c>
      <c r="AD222" s="153">
        <f t="shared" si="19"/>
        <v>2545942.1616529841</v>
      </c>
      <c r="AE222" s="153">
        <f t="shared" si="20"/>
        <v>2545942.1616529841</v>
      </c>
    </row>
    <row r="223" spans="1:31" x14ac:dyDescent="0.25">
      <c r="A223" t="s">
        <v>601</v>
      </c>
      <c r="B223" t="s">
        <v>243</v>
      </c>
      <c r="C223">
        <v>5736</v>
      </c>
      <c r="D223">
        <v>3521</v>
      </c>
      <c r="E223">
        <v>2215</v>
      </c>
      <c r="F223">
        <v>0</v>
      </c>
      <c r="G223">
        <v>16</v>
      </c>
      <c r="H223">
        <v>606</v>
      </c>
      <c r="I223">
        <v>174</v>
      </c>
      <c r="J223">
        <v>2538</v>
      </c>
      <c r="K223">
        <v>1865</v>
      </c>
      <c r="L223">
        <v>546</v>
      </c>
      <c r="M223">
        <v>0</v>
      </c>
      <c r="N223">
        <v>482</v>
      </c>
      <c r="O223">
        <v>66</v>
      </c>
      <c r="P223">
        <v>3316000</v>
      </c>
      <c r="Q223">
        <v>2546000</v>
      </c>
      <c r="R223">
        <v>770000</v>
      </c>
      <c r="S223">
        <v>204000</v>
      </c>
      <c r="T223" s="153">
        <f t="shared" si="21"/>
        <v>7783830</v>
      </c>
      <c r="U223" s="153">
        <f t="shared" si="22"/>
        <v>3345135</v>
      </c>
      <c r="V223" s="153">
        <f t="shared" si="23"/>
        <v>3345135</v>
      </c>
      <c r="X223" t="s">
        <v>243</v>
      </c>
      <c r="Y223">
        <v>3430</v>
      </c>
      <c r="Z223">
        <v>2662</v>
      </c>
      <c r="AA223">
        <v>2565445026.1780105</v>
      </c>
      <c r="AB223">
        <v>756250000.00000012</v>
      </c>
      <c r="AC223" s="153">
        <f t="shared" si="18"/>
        <v>9286840.1396160554</v>
      </c>
      <c r="AD223" s="153">
        <f t="shared" si="19"/>
        <v>3194840.1396160554</v>
      </c>
      <c r="AE223" s="153">
        <f t="shared" si="20"/>
        <v>3194840.1396160554</v>
      </c>
    </row>
    <row r="224" spans="1:31" x14ac:dyDescent="0.25">
      <c r="A224" t="s">
        <v>599</v>
      </c>
      <c r="B224" t="s">
        <v>442</v>
      </c>
      <c r="C224">
        <v>11655</v>
      </c>
      <c r="D224">
        <v>6351</v>
      </c>
      <c r="E224">
        <v>5304</v>
      </c>
      <c r="F224">
        <v>1731</v>
      </c>
      <c r="G224">
        <v>86</v>
      </c>
      <c r="H224">
        <v>360</v>
      </c>
      <c r="I224">
        <v>285</v>
      </c>
      <c r="J224">
        <v>5599</v>
      </c>
      <c r="K224">
        <v>5368</v>
      </c>
      <c r="L224">
        <v>843</v>
      </c>
      <c r="M224">
        <v>0</v>
      </c>
      <c r="N224">
        <v>1283</v>
      </c>
      <c r="O224">
        <v>243</v>
      </c>
      <c r="P224">
        <v>7269000</v>
      </c>
      <c r="Q224">
        <v>5675000</v>
      </c>
      <c r="R224">
        <v>1594000</v>
      </c>
      <c r="S224">
        <v>230000</v>
      </c>
      <c r="T224" s="153">
        <f t="shared" si="21"/>
        <v>16884015</v>
      </c>
      <c r="U224" s="153">
        <f t="shared" si="22"/>
        <v>8043017.5</v>
      </c>
      <c r="V224" s="153">
        <f t="shared" si="23"/>
        <v>8043017.5</v>
      </c>
      <c r="X224" t="s">
        <v>442</v>
      </c>
      <c r="Y224">
        <v>6342</v>
      </c>
      <c r="Z224">
        <v>6269</v>
      </c>
      <c r="AA224">
        <v>5486159169.5501738</v>
      </c>
      <c r="AB224">
        <v>1659343568.0254102</v>
      </c>
      <c r="AC224" s="153">
        <f t="shared" si="18"/>
        <v>20051569.986621995</v>
      </c>
      <c r="AD224" s="153">
        <f t="shared" si="19"/>
        <v>7440569.9866219945</v>
      </c>
      <c r="AE224" s="153">
        <f t="shared" si="20"/>
        <v>7440569.9866219945</v>
      </c>
    </row>
    <row r="225" spans="1:31" x14ac:dyDescent="0.25">
      <c r="A225" t="s">
        <v>602</v>
      </c>
      <c r="B225" t="s">
        <v>177</v>
      </c>
      <c r="C225">
        <v>2784</v>
      </c>
      <c r="D225">
        <v>2203</v>
      </c>
      <c r="E225">
        <v>581</v>
      </c>
      <c r="F225">
        <v>0</v>
      </c>
      <c r="G225">
        <v>1327</v>
      </c>
      <c r="H225">
        <v>253</v>
      </c>
      <c r="I225">
        <v>122</v>
      </c>
      <c r="J225">
        <v>2771</v>
      </c>
      <c r="K225">
        <v>2289</v>
      </c>
      <c r="L225">
        <v>296</v>
      </c>
      <c r="M225">
        <v>0</v>
      </c>
      <c r="N225">
        <v>425</v>
      </c>
      <c r="O225">
        <v>3</v>
      </c>
      <c r="P225">
        <v>2593000</v>
      </c>
      <c r="Q225">
        <v>2148000</v>
      </c>
      <c r="R225">
        <v>445000</v>
      </c>
      <c r="S225">
        <v>191000</v>
      </c>
      <c r="T225" s="153">
        <f t="shared" si="21"/>
        <v>5787390</v>
      </c>
      <c r="U225" s="153">
        <f t="shared" si="22"/>
        <v>3967955</v>
      </c>
      <c r="V225" s="153">
        <f t="shared" si="23"/>
        <v>3967955</v>
      </c>
      <c r="X225" t="s">
        <v>177</v>
      </c>
      <c r="Y225">
        <v>2377</v>
      </c>
      <c r="Z225">
        <v>721</v>
      </c>
      <c r="AA225">
        <v>2192804428.0442805</v>
      </c>
      <c r="AB225">
        <v>470626631.85378593</v>
      </c>
      <c r="AC225" s="153">
        <f t="shared" si="18"/>
        <v>7137294.0500162188</v>
      </c>
      <c r="AD225" s="153">
        <f t="shared" si="19"/>
        <v>4039294.0500162188</v>
      </c>
      <c r="AE225" s="153">
        <f t="shared" si="20"/>
        <v>4039294.0500162188</v>
      </c>
    </row>
    <row r="226" spans="1:31" x14ac:dyDescent="0.25">
      <c r="A226" t="s">
        <v>600</v>
      </c>
      <c r="B226" t="s">
        <v>316</v>
      </c>
      <c r="C226">
        <v>1996</v>
      </c>
      <c r="D226">
        <v>1451</v>
      </c>
      <c r="E226">
        <v>545</v>
      </c>
      <c r="F226">
        <v>0</v>
      </c>
      <c r="G226">
        <v>487</v>
      </c>
      <c r="H226">
        <v>169</v>
      </c>
      <c r="I226">
        <v>38</v>
      </c>
      <c r="J226">
        <v>1315</v>
      </c>
      <c r="K226">
        <v>1182</v>
      </c>
      <c r="L226">
        <v>124</v>
      </c>
      <c r="M226">
        <v>125</v>
      </c>
      <c r="N226">
        <v>220</v>
      </c>
      <c r="O226">
        <v>51</v>
      </c>
      <c r="P226">
        <v>1330000</v>
      </c>
      <c r="Q226">
        <v>1159000</v>
      </c>
      <c r="R226">
        <v>171000</v>
      </c>
      <c r="S226">
        <v>284000</v>
      </c>
      <c r="T226" s="153">
        <f t="shared" si="21"/>
        <v>2859405</v>
      </c>
      <c r="U226" s="153">
        <f t="shared" si="22"/>
        <v>1339972.5</v>
      </c>
      <c r="V226" s="153">
        <f t="shared" si="23"/>
        <v>1339972.5</v>
      </c>
      <c r="X226" t="s">
        <v>316</v>
      </c>
      <c r="Y226">
        <v>1317</v>
      </c>
      <c r="Z226">
        <v>665</v>
      </c>
      <c r="AA226">
        <v>1152230971.1286089</v>
      </c>
      <c r="AB226">
        <v>169686144.4245981</v>
      </c>
      <c r="AC226" s="153">
        <f t="shared" si="18"/>
        <v>3396877.8240561215</v>
      </c>
      <c r="AD226" s="153">
        <f t="shared" si="19"/>
        <v>1414877.8240561215</v>
      </c>
      <c r="AE226" s="153">
        <f t="shared" si="20"/>
        <v>1414877.8240561215</v>
      </c>
    </row>
    <row r="227" spans="1:31" x14ac:dyDescent="0.25">
      <c r="A227" t="s">
        <v>600</v>
      </c>
      <c r="B227" t="s">
        <v>317</v>
      </c>
      <c r="C227">
        <v>1802</v>
      </c>
      <c r="D227">
        <v>1236</v>
      </c>
      <c r="E227">
        <v>566</v>
      </c>
      <c r="F227">
        <v>0</v>
      </c>
      <c r="G227">
        <v>0</v>
      </c>
      <c r="H227">
        <v>11</v>
      </c>
      <c r="I227">
        <v>73</v>
      </c>
      <c r="J227">
        <v>1133</v>
      </c>
      <c r="K227">
        <v>1581</v>
      </c>
      <c r="L227">
        <v>131</v>
      </c>
      <c r="M227">
        <v>14</v>
      </c>
      <c r="N227">
        <v>163</v>
      </c>
      <c r="O227">
        <v>24</v>
      </c>
      <c r="P227">
        <v>1353000</v>
      </c>
      <c r="Q227">
        <v>1117000</v>
      </c>
      <c r="R227">
        <v>236000</v>
      </c>
      <c r="S227">
        <v>239000</v>
      </c>
      <c r="T227" s="153">
        <f t="shared" si="21"/>
        <v>3027045</v>
      </c>
      <c r="U227" s="153">
        <f t="shared" si="22"/>
        <v>1729552.5</v>
      </c>
      <c r="V227" s="153">
        <f t="shared" si="23"/>
        <v>1729552.5</v>
      </c>
      <c r="X227" t="s">
        <v>317</v>
      </c>
      <c r="Y227">
        <v>1195</v>
      </c>
      <c r="Z227">
        <v>594</v>
      </c>
      <c r="AA227">
        <v>1108534322.8200371</v>
      </c>
      <c r="AB227">
        <v>228461538.46153846</v>
      </c>
      <c r="AC227" s="153">
        <f t="shared" si="18"/>
        <v>3565068.3183483179</v>
      </c>
      <c r="AD227" s="153">
        <f t="shared" si="19"/>
        <v>1776068.3183483179</v>
      </c>
      <c r="AE227" s="153">
        <f t="shared" si="20"/>
        <v>1776068.3183483179</v>
      </c>
    </row>
    <row r="228" spans="1:31" x14ac:dyDescent="0.25">
      <c r="A228" t="s">
        <v>602</v>
      </c>
      <c r="B228" t="s">
        <v>178</v>
      </c>
      <c r="C228">
        <v>4413</v>
      </c>
      <c r="D228">
        <v>2976</v>
      </c>
      <c r="E228">
        <v>1437</v>
      </c>
      <c r="F228">
        <v>0</v>
      </c>
      <c r="G228">
        <v>1300</v>
      </c>
      <c r="H228">
        <v>149</v>
      </c>
      <c r="I228">
        <v>0</v>
      </c>
      <c r="J228">
        <v>2763</v>
      </c>
      <c r="K228">
        <v>2746</v>
      </c>
      <c r="L228">
        <v>166</v>
      </c>
      <c r="M228">
        <v>150</v>
      </c>
      <c r="N228">
        <v>626</v>
      </c>
      <c r="O228">
        <v>48</v>
      </c>
      <c r="P228">
        <v>3119000</v>
      </c>
      <c r="Q228">
        <v>2555000</v>
      </c>
      <c r="R228">
        <v>564000</v>
      </c>
      <c r="S228">
        <v>212000</v>
      </c>
      <c r="T228" s="153">
        <f t="shared" si="21"/>
        <v>7016115</v>
      </c>
      <c r="U228" s="153">
        <f t="shared" si="22"/>
        <v>3772467.5</v>
      </c>
      <c r="V228" s="153">
        <f t="shared" si="23"/>
        <v>3772467.5</v>
      </c>
      <c r="X228" t="s">
        <v>178</v>
      </c>
      <c r="Y228">
        <v>3026</v>
      </c>
      <c r="Z228">
        <v>1743</v>
      </c>
      <c r="AA228">
        <v>2633594429.9390774</v>
      </c>
      <c r="AB228">
        <v>586868686.86868691</v>
      </c>
      <c r="AC228" s="153">
        <f t="shared" si="18"/>
        <v>8670563.6275725048</v>
      </c>
      <c r="AD228" s="153">
        <f t="shared" si="19"/>
        <v>3901563.6275725048</v>
      </c>
      <c r="AE228" s="153">
        <f t="shared" si="20"/>
        <v>3901563.6275725048</v>
      </c>
    </row>
    <row r="229" spans="1:31" x14ac:dyDescent="0.25">
      <c r="A229" t="s">
        <v>599</v>
      </c>
      <c r="B229" t="s">
        <v>443</v>
      </c>
      <c r="C229">
        <v>19208</v>
      </c>
      <c r="D229">
        <v>11961</v>
      </c>
      <c r="E229">
        <v>7247</v>
      </c>
      <c r="F229">
        <v>2570</v>
      </c>
      <c r="G229">
        <v>68</v>
      </c>
      <c r="H229">
        <v>233</v>
      </c>
      <c r="I229">
        <v>745</v>
      </c>
      <c r="J229">
        <v>8053</v>
      </c>
      <c r="K229">
        <v>8860</v>
      </c>
      <c r="L229">
        <v>1494</v>
      </c>
      <c r="M229">
        <v>240</v>
      </c>
      <c r="N229">
        <v>2800</v>
      </c>
      <c r="O229">
        <v>425</v>
      </c>
      <c r="P229">
        <v>10241000</v>
      </c>
      <c r="Q229">
        <v>8528000</v>
      </c>
      <c r="R229">
        <v>1713000</v>
      </c>
      <c r="S229">
        <v>218000</v>
      </c>
      <c r="T229" s="153">
        <f t="shared" si="21"/>
        <v>22772370</v>
      </c>
      <c r="U229" s="153">
        <f t="shared" si="22"/>
        <v>7359765</v>
      </c>
      <c r="V229" s="153">
        <f t="shared" si="23"/>
        <v>7359765</v>
      </c>
      <c r="X229" t="s">
        <v>443</v>
      </c>
      <c r="Y229">
        <v>10640</v>
      </c>
      <c r="Z229">
        <v>7762</v>
      </c>
      <c r="AA229">
        <v>8424386381.6310368</v>
      </c>
      <c r="AB229">
        <v>1749380211.854857</v>
      </c>
      <c r="AC229" s="153">
        <f t="shared" si="18"/>
        <v>27152979.658029336</v>
      </c>
      <c r="AD229" s="153">
        <f t="shared" si="19"/>
        <v>8750979.6580293365</v>
      </c>
      <c r="AE229" s="153">
        <f t="shared" si="20"/>
        <v>8750979.6580293365</v>
      </c>
    </row>
    <row r="230" spans="1:31" x14ac:dyDescent="0.25">
      <c r="A230" t="s">
        <v>601</v>
      </c>
      <c r="B230" t="s">
        <v>244</v>
      </c>
      <c r="C230">
        <v>8159</v>
      </c>
      <c r="D230">
        <v>5693</v>
      </c>
      <c r="E230">
        <v>2466</v>
      </c>
      <c r="F230">
        <v>0</v>
      </c>
      <c r="G230">
        <v>6</v>
      </c>
      <c r="H230">
        <v>147</v>
      </c>
      <c r="I230">
        <v>0</v>
      </c>
      <c r="J230">
        <v>4438</v>
      </c>
      <c r="K230">
        <v>2821</v>
      </c>
      <c r="L230">
        <v>397</v>
      </c>
      <c r="M230">
        <v>151</v>
      </c>
      <c r="N230">
        <v>469</v>
      </c>
      <c r="O230">
        <v>84</v>
      </c>
      <c r="P230">
        <v>4134000</v>
      </c>
      <c r="Q230">
        <v>3365000</v>
      </c>
      <c r="R230">
        <v>769000</v>
      </c>
      <c r="S230">
        <v>198000</v>
      </c>
      <c r="T230" s="153">
        <f t="shared" si="21"/>
        <v>9340215</v>
      </c>
      <c r="U230" s="153">
        <f t="shared" si="22"/>
        <v>2737917.5</v>
      </c>
      <c r="V230" s="153">
        <f t="shared" si="23"/>
        <v>2737917.5</v>
      </c>
      <c r="X230" t="s">
        <v>244</v>
      </c>
      <c r="Y230">
        <v>5553</v>
      </c>
      <c r="Z230">
        <v>2626</v>
      </c>
      <c r="AA230">
        <v>3341155234.6570401</v>
      </c>
      <c r="AB230">
        <v>737267673.64815545</v>
      </c>
      <c r="AC230" s="153">
        <f t="shared" si="18"/>
        <v>10966932.685301762</v>
      </c>
      <c r="AD230" s="153">
        <f t="shared" si="19"/>
        <v>2787932.6853017621</v>
      </c>
      <c r="AE230" s="153">
        <f t="shared" si="20"/>
        <v>2787932.6853017621</v>
      </c>
    </row>
    <row r="231" spans="1:31" x14ac:dyDescent="0.25">
      <c r="A231" t="s">
        <v>600</v>
      </c>
      <c r="B231" t="s">
        <v>318</v>
      </c>
      <c r="C231">
        <v>4377</v>
      </c>
      <c r="D231">
        <v>1716</v>
      </c>
      <c r="E231">
        <v>2661</v>
      </c>
      <c r="F231">
        <v>709</v>
      </c>
      <c r="G231">
        <v>0</v>
      </c>
      <c r="H231">
        <v>263</v>
      </c>
      <c r="I231">
        <v>116</v>
      </c>
      <c r="J231">
        <v>1844</v>
      </c>
      <c r="K231">
        <v>1574</v>
      </c>
      <c r="L231">
        <v>316</v>
      </c>
      <c r="M231">
        <v>204</v>
      </c>
      <c r="N231">
        <v>409</v>
      </c>
      <c r="O231">
        <v>0</v>
      </c>
      <c r="P231">
        <v>2762000</v>
      </c>
      <c r="Q231">
        <v>2151000</v>
      </c>
      <c r="R231">
        <v>611000</v>
      </c>
      <c r="S231">
        <v>358000</v>
      </c>
      <c r="T231" s="153">
        <f t="shared" si="21"/>
        <v>6425565</v>
      </c>
      <c r="U231" s="153">
        <f t="shared" si="22"/>
        <v>3119492.5</v>
      </c>
      <c r="V231" s="153">
        <f t="shared" si="23"/>
        <v>3119492.5</v>
      </c>
      <c r="X231" t="s">
        <v>318</v>
      </c>
      <c r="Y231">
        <v>1606</v>
      </c>
      <c r="Z231">
        <v>2877</v>
      </c>
      <c r="AA231">
        <v>2135638297.8723402</v>
      </c>
      <c r="AB231">
        <v>624213495.33521378</v>
      </c>
      <c r="AC231" s="153">
        <f t="shared" si="18"/>
        <v>7706644.6837747302</v>
      </c>
      <c r="AD231" s="153">
        <f t="shared" si="19"/>
        <v>3223644.6837747302</v>
      </c>
      <c r="AE231" s="153">
        <f t="shared" si="20"/>
        <v>3223644.6837747302</v>
      </c>
    </row>
    <row r="232" spans="1:31" x14ac:dyDescent="0.25">
      <c r="A232" t="s">
        <v>606</v>
      </c>
      <c r="B232" t="s">
        <v>274</v>
      </c>
      <c r="C232">
        <v>2103</v>
      </c>
      <c r="D232">
        <v>1401</v>
      </c>
      <c r="E232">
        <v>702</v>
      </c>
      <c r="F232">
        <v>0</v>
      </c>
      <c r="G232">
        <v>11</v>
      </c>
      <c r="H232">
        <v>12</v>
      </c>
      <c r="I232">
        <v>58</v>
      </c>
      <c r="J232">
        <v>1148</v>
      </c>
      <c r="K232">
        <v>788</v>
      </c>
      <c r="L232">
        <v>182</v>
      </c>
      <c r="M232">
        <v>6</v>
      </c>
      <c r="N232">
        <v>296</v>
      </c>
      <c r="O232">
        <v>54</v>
      </c>
      <c r="P232">
        <v>1388000</v>
      </c>
      <c r="Q232">
        <v>1187000</v>
      </c>
      <c r="R232">
        <v>201000</v>
      </c>
      <c r="S232">
        <v>287000</v>
      </c>
      <c r="T232" s="153">
        <f t="shared" si="21"/>
        <v>3027045</v>
      </c>
      <c r="U232" s="153">
        <f t="shared" si="22"/>
        <v>1428552.5</v>
      </c>
      <c r="V232" s="153">
        <f t="shared" si="23"/>
        <v>1428552.5</v>
      </c>
      <c r="X232" t="s">
        <v>274</v>
      </c>
      <c r="Y232">
        <v>1351</v>
      </c>
      <c r="Z232">
        <v>806</v>
      </c>
      <c r="AA232">
        <v>1185087719.2982457</v>
      </c>
      <c r="AB232">
        <v>201903807.61523047</v>
      </c>
      <c r="AC232" s="153">
        <f t="shared" si="18"/>
        <v>3618444.3085000408</v>
      </c>
      <c r="AD232" s="153">
        <f t="shared" si="19"/>
        <v>1461444.3085000408</v>
      </c>
      <c r="AE232" s="153">
        <f t="shared" si="20"/>
        <v>1461444.3085000408</v>
      </c>
    </row>
    <row r="233" spans="1:31" x14ac:dyDescent="0.25">
      <c r="A233" t="s">
        <v>601</v>
      </c>
      <c r="B233" t="s">
        <v>245</v>
      </c>
      <c r="C233">
        <v>7230</v>
      </c>
      <c r="D233">
        <v>4950</v>
      </c>
      <c r="E233">
        <v>2280</v>
      </c>
      <c r="F233">
        <v>0</v>
      </c>
      <c r="G233">
        <v>561</v>
      </c>
      <c r="H233">
        <v>0</v>
      </c>
      <c r="I233">
        <v>424</v>
      </c>
      <c r="J233">
        <v>2295</v>
      </c>
      <c r="K233">
        <v>4093</v>
      </c>
      <c r="L233">
        <v>744</v>
      </c>
      <c r="M233">
        <v>53</v>
      </c>
      <c r="N233">
        <v>1022</v>
      </c>
      <c r="O233">
        <v>160</v>
      </c>
      <c r="P233">
        <v>5403000</v>
      </c>
      <c r="Q233">
        <v>4506000</v>
      </c>
      <c r="R233">
        <v>897000</v>
      </c>
      <c r="S233">
        <v>235000</v>
      </c>
      <c r="T233" s="153">
        <f t="shared" si="21"/>
        <v>12001500</v>
      </c>
      <c r="U233" s="153">
        <f t="shared" si="22"/>
        <v>6771750</v>
      </c>
      <c r="V233" s="153">
        <f t="shared" si="23"/>
        <v>6771750</v>
      </c>
      <c r="X233" t="s">
        <v>245</v>
      </c>
      <c r="Y233">
        <v>4899</v>
      </c>
      <c r="Z233">
        <v>2416</v>
      </c>
      <c r="AA233">
        <v>4469890510.948905</v>
      </c>
      <c r="AB233">
        <v>889216047.11078405</v>
      </c>
      <c r="AC233" s="153">
        <f t="shared" si="18"/>
        <v>14229513.34617489</v>
      </c>
      <c r="AD233" s="153">
        <f t="shared" si="19"/>
        <v>6914513.3461748902</v>
      </c>
      <c r="AE233" s="153">
        <f t="shared" si="20"/>
        <v>6914513.3461748902</v>
      </c>
    </row>
    <row r="234" spans="1:31" x14ac:dyDescent="0.25">
      <c r="A234" t="s">
        <v>603</v>
      </c>
      <c r="B234" t="s">
        <v>369</v>
      </c>
      <c r="C234">
        <v>5822</v>
      </c>
      <c r="D234">
        <v>3762</v>
      </c>
      <c r="E234">
        <v>2060</v>
      </c>
      <c r="F234">
        <v>639</v>
      </c>
      <c r="G234">
        <v>1000</v>
      </c>
      <c r="H234">
        <v>36</v>
      </c>
      <c r="I234">
        <v>0</v>
      </c>
      <c r="J234">
        <v>2072</v>
      </c>
      <c r="K234">
        <v>3788</v>
      </c>
      <c r="L234">
        <v>253</v>
      </c>
      <c r="M234">
        <v>411</v>
      </c>
      <c r="N234">
        <v>549</v>
      </c>
      <c r="O234">
        <v>30</v>
      </c>
      <c r="P234">
        <v>3443000</v>
      </c>
      <c r="Q234">
        <v>2911000</v>
      </c>
      <c r="R234">
        <v>532000</v>
      </c>
      <c r="S234">
        <v>204000</v>
      </c>
      <c r="T234" s="153">
        <f t="shared" si="21"/>
        <v>7572375</v>
      </c>
      <c r="U234" s="153">
        <f t="shared" si="22"/>
        <v>3012437.5</v>
      </c>
      <c r="V234" s="153">
        <f t="shared" si="23"/>
        <v>3012437.5</v>
      </c>
      <c r="X234" t="s">
        <v>369</v>
      </c>
      <c r="Y234">
        <v>3669</v>
      </c>
      <c r="Z234">
        <v>2178</v>
      </c>
      <c r="AA234">
        <v>2909595559.0800953</v>
      </c>
      <c r="AB234">
        <v>550416982.56254745</v>
      </c>
      <c r="AC234" s="153">
        <f t="shared" si="18"/>
        <v>9133084.8364566192</v>
      </c>
      <c r="AD234" s="153">
        <f t="shared" si="19"/>
        <v>3286084.8364566192</v>
      </c>
      <c r="AE234" s="153">
        <f t="shared" si="20"/>
        <v>3286084.8364566192</v>
      </c>
    </row>
    <row r="235" spans="1:31" x14ac:dyDescent="0.25">
      <c r="A235" t="s">
        <v>608</v>
      </c>
      <c r="B235" t="s">
        <v>481</v>
      </c>
      <c r="C235">
        <v>7727</v>
      </c>
      <c r="D235">
        <v>4447</v>
      </c>
      <c r="E235">
        <v>3280</v>
      </c>
      <c r="F235">
        <v>0</v>
      </c>
      <c r="G235">
        <v>0</v>
      </c>
      <c r="H235">
        <v>762</v>
      </c>
      <c r="I235">
        <v>30</v>
      </c>
      <c r="J235">
        <v>5463</v>
      </c>
      <c r="K235">
        <v>3255</v>
      </c>
      <c r="L235">
        <v>640</v>
      </c>
      <c r="M235">
        <v>41</v>
      </c>
      <c r="N235">
        <v>802</v>
      </c>
      <c r="O235">
        <v>26</v>
      </c>
      <c r="P235">
        <v>5256000</v>
      </c>
      <c r="Q235">
        <v>4118000</v>
      </c>
      <c r="R235">
        <v>1138000</v>
      </c>
      <c r="S235">
        <v>234000</v>
      </c>
      <c r="T235" s="153">
        <f t="shared" si="21"/>
        <v>12180570</v>
      </c>
      <c r="U235" s="153">
        <f t="shared" si="22"/>
        <v>6483665</v>
      </c>
      <c r="V235" s="153">
        <f t="shared" si="23"/>
        <v>6483665</v>
      </c>
      <c r="X235" t="s">
        <v>481</v>
      </c>
      <c r="Y235">
        <v>4227</v>
      </c>
      <c r="Z235">
        <v>3216</v>
      </c>
      <c r="AA235">
        <v>4056621880.9980807</v>
      </c>
      <c r="AB235">
        <v>891599667.31355691</v>
      </c>
      <c r="AC235" s="153">
        <f t="shared" si="18"/>
        <v>13299219.515050441</v>
      </c>
      <c r="AD235" s="153">
        <f t="shared" si="19"/>
        <v>5856219.515050441</v>
      </c>
      <c r="AE235" s="153">
        <f t="shared" si="20"/>
        <v>5856219.515050441</v>
      </c>
    </row>
    <row r="236" spans="1:31" x14ac:dyDescent="0.25">
      <c r="A236" t="s">
        <v>607</v>
      </c>
      <c r="B236" t="s">
        <v>157</v>
      </c>
      <c r="C236">
        <v>2553</v>
      </c>
      <c r="D236">
        <v>1649</v>
      </c>
      <c r="E236">
        <v>904</v>
      </c>
      <c r="F236">
        <v>0</v>
      </c>
      <c r="G236">
        <v>0</v>
      </c>
      <c r="H236">
        <v>0</v>
      </c>
      <c r="I236">
        <v>108</v>
      </c>
      <c r="J236">
        <v>1140</v>
      </c>
      <c r="K236">
        <v>1272</v>
      </c>
      <c r="L236">
        <v>224</v>
      </c>
      <c r="M236">
        <v>58</v>
      </c>
      <c r="N236">
        <v>149</v>
      </c>
      <c r="O236">
        <v>13</v>
      </c>
      <c r="P236">
        <v>834000</v>
      </c>
      <c r="Q236">
        <v>700000</v>
      </c>
      <c r="R236">
        <v>134000</v>
      </c>
      <c r="S236">
        <v>127000</v>
      </c>
      <c r="T236" s="153">
        <f t="shared" si="21"/>
        <v>1844040</v>
      </c>
      <c r="U236" s="153">
        <f t="shared" si="22"/>
        <v>-401620</v>
      </c>
      <c r="V236" s="153">
        <f t="shared" si="23"/>
        <v>0</v>
      </c>
      <c r="X236" t="s">
        <v>157</v>
      </c>
      <c r="Y236">
        <v>1613</v>
      </c>
      <c r="Z236">
        <v>885</v>
      </c>
      <c r="AA236">
        <v>698268398.26839828</v>
      </c>
      <c r="AB236">
        <v>122525266.5097605</v>
      </c>
      <c r="AC236" s="153">
        <f t="shared" si="18"/>
        <v>2148251.646186355</v>
      </c>
      <c r="AD236" s="153">
        <f t="shared" si="19"/>
        <v>-349748.35381364496</v>
      </c>
      <c r="AE236" s="153">
        <f t="shared" si="20"/>
        <v>0</v>
      </c>
    </row>
    <row r="237" spans="1:31" x14ac:dyDescent="0.25">
      <c r="A237" t="s">
        <v>603</v>
      </c>
      <c r="B237" t="s">
        <v>370</v>
      </c>
      <c r="C237">
        <v>9709</v>
      </c>
      <c r="D237">
        <v>6525</v>
      </c>
      <c r="E237">
        <v>3184</v>
      </c>
      <c r="F237">
        <v>50</v>
      </c>
      <c r="G237">
        <v>0</v>
      </c>
      <c r="H237">
        <v>151</v>
      </c>
      <c r="I237">
        <v>181</v>
      </c>
      <c r="J237">
        <v>5014</v>
      </c>
      <c r="K237">
        <v>6129</v>
      </c>
      <c r="L237">
        <v>855</v>
      </c>
      <c r="M237">
        <v>0</v>
      </c>
      <c r="N237">
        <v>2387</v>
      </c>
      <c r="O237">
        <v>120</v>
      </c>
      <c r="P237">
        <v>7025000</v>
      </c>
      <c r="Q237">
        <v>6019000</v>
      </c>
      <c r="R237">
        <v>1006000</v>
      </c>
      <c r="S237">
        <v>290000</v>
      </c>
      <c r="T237" s="153">
        <f t="shared" si="21"/>
        <v>15299055</v>
      </c>
      <c r="U237" s="153">
        <f t="shared" si="22"/>
        <v>8139897.5</v>
      </c>
      <c r="V237" s="153">
        <f t="shared" si="23"/>
        <v>8139897.5</v>
      </c>
      <c r="X237" t="s">
        <v>370</v>
      </c>
      <c r="Y237">
        <v>6206</v>
      </c>
      <c r="Z237">
        <v>3659</v>
      </c>
      <c r="AA237">
        <v>6019398642.0950537</v>
      </c>
      <c r="AB237">
        <v>943527591.54203188</v>
      </c>
      <c r="AC237" s="153">
        <f t="shared" si="18"/>
        <v>18005630.844541244</v>
      </c>
      <c r="AD237" s="153">
        <f t="shared" si="19"/>
        <v>8140630.8445412442</v>
      </c>
      <c r="AE237" s="153">
        <f t="shared" si="20"/>
        <v>8140630.8445412442</v>
      </c>
    </row>
    <row r="238" spans="1:31" x14ac:dyDescent="0.25">
      <c r="A238" s="88" t="s">
        <v>600</v>
      </c>
      <c r="B238" t="s">
        <v>319</v>
      </c>
      <c r="C238">
        <v>12880</v>
      </c>
      <c r="D238">
        <v>8394</v>
      </c>
      <c r="E238">
        <v>4486</v>
      </c>
      <c r="F238">
        <v>2279</v>
      </c>
      <c r="G238">
        <v>214</v>
      </c>
      <c r="H238">
        <v>50</v>
      </c>
      <c r="I238">
        <v>567</v>
      </c>
      <c r="J238">
        <v>6657</v>
      </c>
      <c r="K238">
        <v>12400</v>
      </c>
      <c r="L238">
        <v>935</v>
      </c>
      <c r="M238">
        <v>317</v>
      </c>
      <c r="N238">
        <v>2039</v>
      </c>
      <c r="O238">
        <v>238</v>
      </c>
      <c r="P238">
        <v>8569000</v>
      </c>
      <c r="Q238">
        <v>7347000</v>
      </c>
      <c r="R238">
        <v>1222000</v>
      </c>
      <c r="S238">
        <v>209000</v>
      </c>
      <c r="T238" s="153">
        <f t="shared" si="21"/>
        <v>18651855</v>
      </c>
      <c r="U238" s="153">
        <f t="shared" si="22"/>
        <v>8880497.5</v>
      </c>
      <c r="V238" s="153">
        <f t="shared" si="23"/>
        <v>8880497.5</v>
      </c>
      <c r="X238" t="s">
        <v>319</v>
      </c>
      <c r="Y238">
        <v>8195</v>
      </c>
      <c r="Z238">
        <v>4419</v>
      </c>
      <c r="AA238">
        <v>7436479128.8566236</v>
      </c>
      <c r="AB238">
        <v>1103370786.516854</v>
      </c>
      <c r="AC238" s="153">
        <f t="shared" si="18"/>
        <v>21960827.945104916</v>
      </c>
      <c r="AD238" s="153">
        <f t="shared" si="19"/>
        <v>9346827.9451049156</v>
      </c>
      <c r="AE238" s="153">
        <f t="shared" si="20"/>
        <v>9346827.9451049156</v>
      </c>
    </row>
    <row r="239" spans="1:31" x14ac:dyDescent="0.25">
      <c r="A239" t="s">
        <v>601</v>
      </c>
      <c r="B239" t="s">
        <v>246</v>
      </c>
      <c r="C239">
        <v>3552</v>
      </c>
      <c r="D239">
        <v>2344</v>
      </c>
      <c r="E239">
        <v>1208</v>
      </c>
      <c r="F239">
        <v>17</v>
      </c>
      <c r="G239">
        <v>1225</v>
      </c>
      <c r="H239">
        <v>485</v>
      </c>
      <c r="I239">
        <v>417</v>
      </c>
      <c r="J239">
        <v>2658</v>
      </c>
      <c r="K239">
        <v>1139</v>
      </c>
      <c r="L239">
        <v>475</v>
      </c>
      <c r="M239">
        <v>518</v>
      </c>
      <c r="N239">
        <v>633</v>
      </c>
      <c r="O239">
        <v>121</v>
      </c>
      <c r="P239">
        <v>3434000</v>
      </c>
      <c r="Q239">
        <v>2967000</v>
      </c>
      <c r="R239">
        <v>467000</v>
      </c>
      <c r="S239">
        <v>312000</v>
      </c>
      <c r="T239" s="153">
        <f t="shared" si="21"/>
        <v>7431405</v>
      </c>
      <c r="U239" s="153">
        <f t="shared" si="22"/>
        <v>5117972.5</v>
      </c>
      <c r="V239" s="153">
        <f t="shared" si="23"/>
        <v>5117972.5</v>
      </c>
      <c r="X239" t="s">
        <v>246</v>
      </c>
      <c r="Y239">
        <v>2264</v>
      </c>
      <c r="Z239">
        <v>1325</v>
      </c>
      <c r="AA239">
        <v>2967234600.2621226</v>
      </c>
      <c r="AB239">
        <v>463773188.65943295</v>
      </c>
      <c r="AC239" s="153">
        <f t="shared" si="18"/>
        <v>8869714.5462777708</v>
      </c>
      <c r="AD239" s="153">
        <f t="shared" si="19"/>
        <v>5280714.5462777708</v>
      </c>
      <c r="AE239" s="153">
        <f t="shared" si="20"/>
        <v>5280714.5462777708</v>
      </c>
    </row>
    <row r="240" spans="1:31" x14ac:dyDescent="0.25">
      <c r="A240" t="s">
        <v>604</v>
      </c>
      <c r="B240" t="s">
        <v>200</v>
      </c>
      <c r="C240">
        <v>8233</v>
      </c>
      <c r="D240">
        <v>5121</v>
      </c>
      <c r="E240">
        <v>3112</v>
      </c>
      <c r="F240">
        <v>2</v>
      </c>
      <c r="G240">
        <v>52</v>
      </c>
      <c r="H240">
        <v>246</v>
      </c>
      <c r="I240">
        <v>244</v>
      </c>
      <c r="J240">
        <v>3440</v>
      </c>
      <c r="K240">
        <v>2634</v>
      </c>
      <c r="L240">
        <v>428</v>
      </c>
      <c r="M240">
        <v>184</v>
      </c>
      <c r="N240">
        <v>931</v>
      </c>
      <c r="O240">
        <v>139</v>
      </c>
      <c r="P240">
        <v>4446000</v>
      </c>
      <c r="Q240">
        <v>3595000</v>
      </c>
      <c r="R240">
        <v>851000</v>
      </c>
      <c r="S240">
        <v>233000</v>
      </c>
      <c r="T240" s="153">
        <f t="shared" si="21"/>
        <v>10090785</v>
      </c>
      <c r="U240" s="153">
        <f t="shared" si="22"/>
        <v>3539582.5</v>
      </c>
      <c r="V240" s="153">
        <f t="shared" si="23"/>
        <v>3539582.5</v>
      </c>
      <c r="X240" t="s">
        <v>200</v>
      </c>
      <c r="Y240">
        <v>4883</v>
      </c>
      <c r="Z240">
        <v>3618</v>
      </c>
      <c r="AA240">
        <v>3535843591.6002893</v>
      </c>
      <c r="AB240">
        <v>861633722.31483698</v>
      </c>
      <c r="AC240" s="153">
        <f t="shared" ref="AC240:AC300" si="24">SUM(0.001952*AA240,2*0.001952*AB240)*140/120</f>
        <v>11976748.866507702</v>
      </c>
      <c r="AD240" s="153">
        <f t="shared" ref="AD240:AD300" si="25">SUM(AC240,-Y240*1000,-Z240*1000)</f>
        <v>3475748.8665077016</v>
      </c>
      <c r="AE240" s="153">
        <f t="shared" ref="AE240:AE300" si="26">IF(AD240&gt;0,AD240,0)</f>
        <v>3475748.8665077016</v>
      </c>
    </row>
    <row r="241" spans="1:31" x14ac:dyDescent="0.25">
      <c r="A241" t="s">
        <v>610</v>
      </c>
      <c r="B241" t="s">
        <v>395</v>
      </c>
      <c r="C241">
        <v>3506</v>
      </c>
      <c r="D241">
        <v>1915</v>
      </c>
      <c r="E241">
        <v>1591</v>
      </c>
      <c r="F241">
        <v>0</v>
      </c>
      <c r="G241">
        <v>588</v>
      </c>
      <c r="H241">
        <v>30</v>
      </c>
      <c r="I241">
        <v>2</v>
      </c>
      <c r="J241">
        <v>2378</v>
      </c>
      <c r="K241">
        <v>2549</v>
      </c>
      <c r="L241">
        <v>287</v>
      </c>
      <c r="M241">
        <v>222</v>
      </c>
      <c r="N241">
        <v>759</v>
      </c>
      <c r="O241">
        <v>947</v>
      </c>
      <c r="P241">
        <v>2247000</v>
      </c>
      <c r="Q241">
        <v>1709000</v>
      </c>
      <c r="R241">
        <v>538000</v>
      </c>
      <c r="S241">
        <v>195000</v>
      </c>
      <c r="T241" s="153">
        <f t="shared" si="21"/>
        <v>5305425</v>
      </c>
      <c r="U241" s="153">
        <f t="shared" si="22"/>
        <v>2683662.5</v>
      </c>
      <c r="V241" s="153">
        <f t="shared" si="23"/>
        <v>2683662.5</v>
      </c>
      <c r="X241" t="s">
        <v>395</v>
      </c>
      <c r="Y241">
        <v>1823</v>
      </c>
      <c r="Z241">
        <v>1806</v>
      </c>
      <c r="AA241">
        <v>1713345864.6616545</v>
      </c>
      <c r="AB241">
        <v>544139801.14492321</v>
      </c>
      <c r="AC241" s="153">
        <f t="shared" si="24"/>
        <v>6380235.0634042174</v>
      </c>
      <c r="AD241" s="153">
        <f t="shared" si="25"/>
        <v>2751235.0634042174</v>
      </c>
      <c r="AE241" s="153">
        <f t="shared" si="26"/>
        <v>2751235.0634042174</v>
      </c>
    </row>
    <row r="242" spans="1:31" x14ac:dyDescent="0.25">
      <c r="A242" t="s">
        <v>601</v>
      </c>
      <c r="B242" t="s">
        <v>247</v>
      </c>
      <c r="C242">
        <v>7035</v>
      </c>
      <c r="D242">
        <v>4803</v>
      </c>
      <c r="E242">
        <v>2232</v>
      </c>
      <c r="F242">
        <v>26</v>
      </c>
      <c r="G242">
        <v>10</v>
      </c>
      <c r="H242">
        <v>456</v>
      </c>
      <c r="I242">
        <v>252</v>
      </c>
      <c r="J242">
        <v>3559</v>
      </c>
      <c r="K242">
        <v>3528</v>
      </c>
      <c r="L242">
        <v>409</v>
      </c>
      <c r="M242">
        <v>279</v>
      </c>
      <c r="N242">
        <v>546</v>
      </c>
      <c r="O242">
        <v>19</v>
      </c>
      <c r="P242">
        <v>4299000</v>
      </c>
      <c r="Q242">
        <v>3810000</v>
      </c>
      <c r="R242">
        <v>489000</v>
      </c>
      <c r="S242">
        <v>259000</v>
      </c>
      <c r="T242" s="153">
        <f t="shared" si="21"/>
        <v>9121140</v>
      </c>
      <c r="U242" s="153">
        <f t="shared" si="22"/>
        <v>3606330</v>
      </c>
      <c r="V242" s="153">
        <f t="shared" si="23"/>
        <v>3606330</v>
      </c>
      <c r="X242" t="s">
        <v>247</v>
      </c>
      <c r="Y242">
        <v>4423</v>
      </c>
      <c r="Z242">
        <v>2164</v>
      </c>
      <c r="AA242">
        <v>3732489451.4767938</v>
      </c>
      <c r="AB242">
        <v>455195624.73706347</v>
      </c>
      <c r="AC242" s="153">
        <f t="shared" si="24"/>
        <v>10573386.982965562</v>
      </c>
      <c r="AD242" s="153">
        <f t="shared" si="25"/>
        <v>3986386.9829655625</v>
      </c>
      <c r="AE242" s="153">
        <f t="shared" si="26"/>
        <v>3986386.9829655625</v>
      </c>
    </row>
    <row r="243" spans="1:31" x14ac:dyDescent="0.25">
      <c r="A243" t="s">
        <v>606</v>
      </c>
      <c r="B243" t="s">
        <v>275</v>
      </c>
      <c r="C243">
        <v>928</v>
      </c>
      <c r="D243">
        <v>492</v>
      </c>
      <c r="E243">
        <v>436</v>
      </c>
      <c r="F243">
        <v>0</v>
      </c>
      <c r="G243">
        <v>354</v>
      </c>
      <c r="H243">
        <v>43</v>
      </c>
      <c r="I243">
        <v>0</v>
      </c>
      <c r="J243">
        <v>581</v>
      </c>
      <c r="K243">
        <v>449</v>
      </c>
      <c r="L243">
        <v>106</v>
      </c>
      <c r="M243">
        <v>43</v>
      </c>
      <c r="N243">
        <v>197</v>
      </c>
      <c r="O243">
        <v>1</v>
      </c>
      <c r="P243">
        <v>723000</v>
      </c>
      <c r="Q243">
        <v>556000</v>
      </c>
      <c r="R243">
        <v>167000</v>
      </c>
      <c r="S243">
        <v>288000</v>
      </c>
      <c r="T243" s="153">
        <f t="shared" si="21"/>
        <v>1695450</v>
      </c>
      <c r="U243" s="153">
        <f t="shared" si="22"/>
        <v>1050025</v>
      </c>
      <c r="V243" s="153">
        <f t="shared" si="23"/>
        <v>1050025</v>
      </c>
      <c r="X243" t="s">
        <v>275</v>
      </c>
      <c r="Y243">
        <v>477</v>
      </c>
      <c r="Z243">
        <v>520</v>
      </c>
      <c r="AA243">
        <v>548906789.41311848</v>
      </c>
      <c r="AB243">
        <v>169602087.4103066</v>
      </c>
      <c r="AC243" s="153">
        <f t="shared" si="24"/>
        <v>2022524.7025482848</v>
      </c>
      <c r="AD243" s="153">
        <f t="shared" si="25"/>
        <v>1025524.7025482848</v>
      </c>
      <c r="AE243" s="153">
        <f t="shared" si="26"/>
        <v>1025524.7025482848</v>
      </c>
    </row>
    <row r="244" spans="1:31" x14ac:dyDescent="0.25">
      <c r="A244" t="s">
        <v>599</v>
      </c>
      <c r="B244" t="s">
        <v>444</v>
      </c>
      <c r="C244">
        <v>2550</v>
      </c>
      <c r="D244">
        <v>1630</v>
      </c>
      <c r="E244">
        <v>920</v>
      </c>
      <c r="F244">
        <v>0</v>
      </c>
      <c r="G244">
        <v>0</v>
      </c>
      <c r="H244">
        <v>199</v>
      </c>
      <c r="I244">
        <v>25</v>
      </c>
      <c r="J244">
        <v>1417</v>
      </c>
      <c r="K244">
        <v>762</v>
      </c>
      <c r="L244">
        <v>158</v>
      </c>
      <c r="M244">
        <v>0</v>
      </c>
      <c r="N244">
        <v>403</v>
      </c>
      <c r="O244">
        <v>147</v>
      </c>
      <c r="P244">
        <v>1672000</v>
      </c>
      <c r="Q244">
        <v>1394000</v>
      </c>
      <c r="R244">
        <v>278000</v>
      </c>
      <c r="S244">
        <v>271000</v>
      </c>
      <c r="T244" s="153">
        <f t="shared" si="21"/>
        <v>3714750</v>
      </c>
      <c r="U244" s="153">
        <f t="shared" si="22"/>
        <v>1783875</v>
      </c>
      <c r="V244" s="153">
        <f t="shared" si="23"/>
        <v>1783875</v>
      </c>
      <c r="X244" t="s">
        <v>444</v>
      </c>
      <c r="Y244">
        <v>1566</v>
      </c>
      <c r="Z244">
        <v>1041</v>
      </c>
      <c r="AA244">
        <v>1385840707.9646018</v>
      </c>
      <c r="AB244">
        <v>282037388.24166894</v>
      </c>
      <c r="AC244" s="153">
        <f t="shared" si="24"/>
        <v>4440607.5299161086</v>
      </c>
      <c r="AD244" s="153">
        <f t="shared" si="25"/>
        <v>1833607.5299161086</v>
      </c>
      <c r="AE244" s="153">
        <f t="shared" si="26"/>
        <v>1833607.5299161086</v>
      </c>
    </row>
    <row r="245" spans="1:31" x14ac:dyDescent="0.25">
      <c r="A245" t="s">
        <v>601</v>
      </c>
      <c r="B245" t="s">
        <v>248</v>
      </c>
      <c r="C245">
        <v>8335</v>
      </c>
      <c r="D245">
        <v>6042</v>
      </c>
      <c r="E245">
        <v>2293</v>
      </c>
      <c r="F245">
        <v>70</v>
      </c>
      <c r="G245">
        <v>0</v>
      </c>
      <c r="H245">
        <v>140</v>
      </c>
      <c r="I245">
        <v>269</v>
      </c>
      <c r="J245">
        <v>4403</v>
      </c>
      <c r="K245">
        <v>3739</v>
      </c>
      <c r="L245">
        <v>595</v>
      </c>
      <c r="M245">
        <v>504</v>
      </c>
      <c r="N245">
        <v>650</v>
      </c>
      <c r="O245">
        <v>108</v>
      </c>
      <c r="P245">
        <v>4843000</v>
      </c>
      <c r="Q245">
        <v>4282000</v>
      </c>
      <c r="R245">
        <v>561000</v>
      </c>
      <c r="S245">
        <v>210000</v>
      </c>
      <c r="T245" s="153">
        <f t="shared" si="21"/>
        <v>10294620</v>
      </c>
      <c r="U245" s="153">
        <f t="shared" si="22"/>
        <v>3675390</v>
      </c>
      <c r="V245" s="153">
        <f t="shared" si="23"/>
        <v>3675390</v>
      </c>
      <c r="X245" t="s">
        <v>248</v>
      </c>
      <c r="Y245">
        <v>5896</v>
      </c>
      <c r="Z245">
        <v>2445</v>
      </c>
      <c r="AA245">
        <v>4309941520.4678364</v>
      </c>
      <c r="AB245">
        <v>569001629.04351878</v>
      </c>
      <c r="AC245" s="153">
        <f t="shared" si="24"/>
        <v>12406786.2423623</v>
      </c>
      <c r="AD245" s="153">
        <f t="shared" si="25"/>
        <v>4065786.2423622999</v>
      </c>
      <c r="AE245" s="153">
        <f t="shared" si="26"/>
        <v>4065786.2423622999</v>
      </c>
    </row>
    <row r="246" spans="1:31" x14ac:dyDescent="0.25">
      <c r="A246" t="s">
        <v>606</v>
      </c>
      <c r="B246" t="s">
        <v>276</v>
      </c>
      <c r="C246">
        <v>4301</v>
      </c>
      <c r="D246">
        <v>3013</v>
      </c>
      <c r="E246">
        <v>1288</v>
      </c>
      <c r="F246">
        <v>20</v>
      </c>
      <c r="G246">
        <v>1034</v>
      </c>
      <c r="H246">
        <v>103</v>
      </c>
      <c r="I246">
        <v>216</v>
      </c>
      <c r="J246">
        <v>1548</v>
      </c>
      <c r="K246">
        <v>1585</v>
      </c>
      <c r="L246">
        <v>300</v>
      </c>
      <c r="M246">
        <v>470</v>
      </c>
      <c r="N246">
        <v>640</v>
      </c>
      <c r="O246">
        <v>28</v>
      </c>
      <c r="P246">
        <v>2468000</v>
      </c>
      <c r="Q246">
        <v>2142000</v>
      </c>
      <c r="R246">
        <v>326000</v>
      </c>
      <c r="S246">
        <v>265000</v>
      </c>
      <c r="T246" s="153">
        <f t="shared" si="21"/>
        <v>5322570</v>
      </c>
      <c r="U246" s="153">
        <f t="shared" si="22"/>
        <v>1908665</v>
      </c>
      <c r="V246" s="153">
        <f t="shared" si="23"/>
        <v>1908665</v>
      </c>
      <c r="X246" t="s">
        <v>276</v>
      </c>
      <c r="Y246">
        <v>2914</v>
      </c>
      <c r="Z246">
        <v>1320</v>
      </c>
      <c r="AA246">
        <v>2117732558.1395347</v>
      </c>
      <c r="AB246">
        <v>290173664.54165751</v>
      </c>
      <c r="AC246" s="153">
        <f t="shared" si="24"/>
        <v>6144427.2631688369</v>
      </c>
      <c r="AD246" s="153">
        <f t="shared" si="25"/>
        <v>1910427.2631688369</v>
      </c>
      <c r="AE246" s="153">
        <f t="shared" si="26"/>
        <v>1910427.2631688369</v>
      </c>
    </row>
    <row r="247" spans="1:31" x14ac:dyDescent="0.25">
      <c r="A247" t="s">
        <v>603</v>
      </c>
      <c r="B247" t="s">
        <v>371</v>
      </c>
      <c r="C247">
        <v>9510</v>
      </c>
      <c r="D247">
        <v>5342</v>
      </c>
      <c r="E247">
        <v>4168</v>
      </c>
      <c r="F247">
        <v>407</v>
      </c>
      <c r="G247">
        <v>95</v>
      </c>
      <c r="H247">
        <v>0</v>
      </c>
      <c r="I247">
        <v>1</v>
      </c>
      <c r="J247">
        <v>3679</v>
      </c>
      <c r="K247">
        <v>4915</v>
      </c>
      <c r="L247">
        <v>605</v>
      </c>
      <c r="M247">
        <v>710</v>
      </c>
      <c r="N247">
        <v>988</v>
      </c>
      <c r="O247">
        <v>63</v>
      </c>
      <c r="P247">
        <v>4931000</v>
      </c>
      <c r="Q247">
        <v>4059000</v>
      </c>
      <c r="R247">
        <v>872000</v>
      </c>
      <c r="S247">
        <v>195000</v>
      </c>
      <c r="T247" s="153">
        <f t="shared" si="21"/>
        <v>11054715</v>
      </c>
      <c r="U247" s="153">
        <f t="shared" si="22"/>
        <v>3387167.5</v>
      </c>
      <c r="V247" s="153">
        <f t="shared" si="23"/>
        <v>3387167.5</v>
      </c>
      <c r="X247" t="s">
        <v>371</v>
      </c>
      <c r="Y247">
        <v>5167</v>
      </c>
      <c r="Z247">
        <v>3823</v>
      </c>
      <c r="AA247">
        <v>4021011673.1517506</v>
      </c>
      <c r="AB247">
        <v>818629550.32119918</v>
      </c>
      <c r="AC247" s="153">
        <f t="shared" si="24"/>
        <v>12885768.642187208</v>
      </c>
      <c r="AD247" s="153">
        <f t="shared" si="25"/>
        <v>3895768.6421872079</v>
      </c>
      <c r="AE247" s="153">
        <f t="shared" si="26"/>
        <v>3895768.6421872079</v>
      </c>
    </row>
    <row r="248" spans="1:31" x14ac:dyDescent="0.25">
      <c r="A248" t="s">
        <v>604</v>
      </c>
      <c r="B248" t="s">
        <v>201</v>
      </c>
      <c r="C248">
        <v>6542</v>
      </c>
      <c r="D248">
        <v>3629</v>
      </c>
      <c r="E248">
        <v>2913</v>
      </c>
      <c r="F248">
        <v>1</v>
      </c>
      <c r="G248">
        <v>29</v>
      </c>
      <c r="H248">
        <v>430</v>
      </c>
      <c r="I248">
        <v>358</v>
      </c>
      <c r="J248">
        <v>3278</v>
      </c>
      <c r="K248">
        <v>2449</v>
      </c>
      <c r="L248">
        <v>377</v>
      </c>
      <c r="M248">
        <v>542</v>
      </c>
      <c r="N248">
        <v>706</v>
      </c>
      <c r="O248">
        <v>57</v>
      </c>
      <c r="P248">
        <v>4183000</v>
      </c>
      <c r="Q248">
        <v>3381000</v>
      </c>
      <c r="R248">
        <v>802000</v>
      </c>
      <c r="S248">
        <v>228000</v>
      </c>
      <c r="T248" s="153">
        <f t="shared" si="21"/>
        <v>9496425</v>
      </c>
      <c r="U248" s="153">
        <f t="shared" si="22"/>
        <v>4537162.5</v>
      </c>
      <c r="V248" s="153">
        <f t="shared" si="23"/>
        <v>4537162.5</v>
      </c>
      <c r="X248" t="s">
        <v>201</v>
      </c>
      <c r="Y248">
        <v>3484</v>
      </c>
      <c r="Z248">
        <v>3292</v>
      </c>
      <c r="AA248">
        <v>3330783938.8145313</v>
      </c>
      <c r="AB248">
        <v>835320984.52169502</v>
      </c>
      <c r="AC248" s="153">
        <f t="shared" si="24"/>
        <v>11389913.934161773</v>
      </c>
      <c r="AD248" s="153">
        <f t="shared" si="25"/>
        <v>4613913.934161773</v>
      </c>
      <c r="AE248" s="153">
        <f t="shared" si="26"/>
        <v>4613913.934161773</v>
      </c>
    </row>
    <row r="249" spans="1:31" x14ac:dyDescent="0.25">
      <c r="A249" t="s">
        <v>603</v>
      </c>
      <c r="B249" t="s">
        <v>372</v>
      </c>
      <c r="C249">
        <v>11757</v>
      </c>
      <c r="D249">
        <v>5839</v>
      </c>
      <c r="E249">
        <v>5918</v>
      </c>
      <c r="F249">
        <v>1881</v>
      </c>
      <c r="G249">
        <v>340</v>
      </c>
      <c r="H249">
        <v>253</v>
      </c>
      <c r="I249">
        <v>238</v>
      </c>
      <c r="J249">
        <v>4653</v>
      </c>
      <c r="K249">
        <v>7394</v>
      </c>
      <c r="L249">
        <v>744</v>
      </c>
      <c r="M249">
        <v>0</v>
      </c>
      <c r="N249">
        <v>1406</v>
      </c>
      <c r="O249">
        <v>134</v>
      </c>
      <c r="P249">
        <v>6613000</v>
      </c>
      <c r="Q249">
        <v>5369000</v>
      </c>
      <c r="R249">
        <v>1244000</v>
      </c>
      <c r="S249">
        <v>201000</v>
      </c>
      <c r="T249" s="153">
        <f t="shared" si="21"/>
        <v>14967585</v>
      </c>
      <c r="U249" s="153">
        <f t="shared" si="22"/>
        <v>5705182.5</v>
      </c>
      <c r="V249" s="153">
        <f t="shared" si="23"/>
        <v>5705182.5</v>
      </c>
      <c r="X249" t="s">
        <v>372</v>
      </c>
      <c r="Y249">
        <v>5489</v>
      </c>
      <c r="Z249">
        <v>6148</v>
      </c>
      <c r="AA249">
        <v>5247609942.6386232</v>
      </c>
      <c r="AB249">
        <v>1277904801.4965703</v>
      </c>
      <c r="AC249" s="153">
        <f t="shared" si="24"/>
        <v>17770987.445252072</v>
      </c>
      <c r="AD249" s="153">
        <f t="shared" si="25"/>
        <v>6133987.4452520721</v>
      </c>
      <c r="AE249" s="153">
        <f t="shared" si="26"/>
        <v>6133987.4452520721</v>
      </c>
    </row>
    <row r="250" spans="1:31" x14ac:dyDescent="0.25">
      <c r="A250" t="s">
        <v>608</v>
      </c>
      <c r="B250" t="s">
        <v>482</v>
      </c>
      <c r="C250">
        <v>3192</v>
      </c>
      <c r="D250">
        <v>2537</v>
      </c>
      <c r="E250">
        <v>655</v>
      </c>
      <c r="F250">
        <v>0</v>
      </c>
      <c r="G250">
        <v>0</v>
      </c>
      <c r="H250">
        <v>508</v>
      </c>
      <c r="I250">
        <v>133</v>
      </c>
      <c r="J250">
        <v>2169</v>
      </c>
      <c r="K250">
        <v>1788</v>
      </c>
      <c r="L250">
        <v>343</v>
      </c>
      <c r="M250">
        <v>40</v>
      </c>
      <c r="N250">
        <v>283</v>
      </c>
      <c r="O250">
        <v>6</v>
      </c>
      <c r="P250">
        <v>2247000</v>
      </c>
      <c r="Q250">
        <v>1934000</v>
      </c>
      <c r="R250">
        <v>313000</v>
      </c>
      <c r="S250">
        <v>209000</v>
      </c>
      <c r="T250" s="153">
        <f t="shared" si="21"/>
        <v>4876800</v>
      </c>
      <c r="U250" s="153">
        <f t="shared" si="22"/>
        <v>2497600</v>
      </c>
      <c r="V250" s="153">
        <f t="shared" si="23"/>
        <v>2497600</v>
      </c>
      <c r="X250" t="s">
        <v>482</v>
      </c>
      <c r="Y250">
        <v>2412</v>
      </c>
      <c r="Z250">
        <v>727</v>
      </c>
      <c r="AA250">
        <v>1917329093.7996821</v>
      </c>
      <c r="AB250">
        <v>250258175.55938041</v>
      </c>
      <c r="AC250" s="153">
        <f t="shared" si="24"/>
        <v>5506240.0265609333</v>
      </c>
      <c r="AD250" s="153">
        <f t="shared" si="25"/>
        <v>2367240.0265609333</v>
      </c>
      <c r="AE250" s="153">
        <f t="shared" si="26"/>
        <v>2367240.0265609333</v>
      </c>
    </row>
    <row r="251" spans="1:31" x14ac:dyDescent="0.25">
      <c r="A251" t="s">
        <v>608</v>
      </c>
      <c r="B251" t="s">
        <v>483</v>
      </c>
      <c r="C251">
        <v>14211</v>
      </c>
      <c r="D251">
        <v>7732</v>
      </c>
      <c r="E251">
        <v>6479</v>
      </c>
      <c r="F251">
        <v>2822</v>
      </c>
      <c r="G251">
        <v>327</v>
      </c>
      <c r="H251">
        <v>451</v>
      </c>
      <c r="I251">
        <v>1177</v>
      </c>
      <c r="J251">
        <v>5034</v>
      </c>
      <c r="K251">
        <v>5779</v>
      </c>
      <c r="L251">
        <v>719</v>
      </c>
      <c r="M251">
        <v>254</v>
      </c>
      <c r="N251">
        <v>1100</v>
      </c>
      <c r="O251">
        <v>709</v>
      </c>
      <c r="P251">
        <v>7093000</v>
      </c>
      <c r="Q251">
        <v>5110000</v>
      </c>
      <c r="R251">
        <v>1983000</v>
      </c>
      <c r="S251">
        <v>185000</v>
      </c>
      <c r="T251" s="153">
        <f t="shared" si="21"/>
        <v>17289780</v>
      </c>
      <c r="U251" s="153">
        <f t="shared" si="22"/>
        <v>5960410</v>
      </c>
      <c r="V251" s="153">
        <f t="shared" si="23"/>
        <v>5960410</v>
      </c>
      <c r="X251" t="s">
        <v>483</v>
      </c>
      <c r="Y251">
        <v>7004</v>
      </c>
      <c r="Z251">
        <v>7124</v>
      </c>
      <c r="AA251">
        <v>4928923293.4553137</v>
      </c>
      <c r="AB251">
        <v>1989388438.9835243</v>
      </c>
      <c r="AC251" s="153">
        <f t="shared" si="24"/>
        <v>20285802.523719192</v>
      </c>
      <c r="AD251" s="153">
        <f t="shared" si="25"/>
        <v>6157802.5237191916</v>
      </c>
      <c r="AE251" s="153">
        <f t="shared" si="26"/>
        <v>6157802.5237191916</v>
      </c>
    </row>
    <row r="252" spans="1:31" x14ac:dyDescent="0.25">
      <c r="A252" t="s">
        <v>599</v>
      </c>
      <c r="B252" t="s">
        <v>445</v>
      </c>
      <c r="C252">
        <v>13057</v>
      </c>
      <c r="D252">
        <v>7825</v>
      </c>
      <c r="E252">
        <v>5232</v>
      </c>
      <c r="F252">
        <v>1955</v>
      </c>
      <c r="G252">
        <v>109</v>
      </c>
      <c r="H252">
        <v>179</v>
      </c>
      <c r="I252">
        <v>600</v>
      </c>
      <c r="J252">
        <v>11632</v>
      </c>
      <c r="K252">
        <v>8208</v>
      </c>
      <c r="L252">
        <v>1046</v>
      </c>
      <c r="M252">
        <v>0</v>
      </c>
      <c r="N252">
        <v>1444</v>
      </c>
      <c r="O252">
        <v>123</v>
      </c>
      <c r="P252">
        <v>9072000</v>
      </c>
      <c r="Q252">
        <v>7100000</v>
      </c>
      <c r="R252">
        <v>1972000</v>
      </c>
      <c r="S252">
        <v>207000</v>
      </c>
      <c r="T252" s="153">
        <f t="shared" si="21"/>
        <v>21038820</v>
      </c>
      <c r="U252" s="153">
        <f t="shared" si="22"/>
        <v>11488290</v>
      </c>
      <c r="V252" s="153">
        <f t="shared" si="23"/>
        <v>11488290</v>
      </c>
      <c r="X252" t="s">
        <v>445</v>
      </c>
      <c r="Y252">
        <v>7738</v>
      </c>
      <c r="Z252">
        <v>5777</v>
      </c>
      <c r="AA252">
        <v>7060218978.10219</v>
      </c>
      <c r="AB252">
        <v>1981138545.953361</v>
      </c>
      <c r="AC252" s="153">
        <f t="shared" si="24"/>
        <v>25101897.716766961</v>
      </c>
      <c r="AD252" s="153">
        <f t="shared" si="25"/>
        <v>11586897.716766961</v>
      </c>
      <c r="AE252" s="153">
        <f t="shared" si="26"/>
        <v>11586897.716766961</v>
      </c>
    </row>
    <row r="253" spans="1:31" x14ac:dyDescent="0.25">
      <c r="A253" t="s">
        <v>603</v>
      </c>
      <c r="B253" t="s">
        <v>373</v>
      </c>
      <c r="C253">
        <v>249126</v>
      </c>
      <c r="D253">
        <v>62574</v>
      </c>
      <c r="E253">
        <v>186552</v>
      </c>
      <c r="F253">
        <v>106501</v>
      </c>
      <c r="G253">
        <v>22329</v>
      </c>
      <c r="H253">
        <v>8355</v>
      </c>
      <c r="I253">
        <v>3045</v>
      </c>
      <c r="J253">
        <v>73570</v>
      </c>
      <c r="K253">
        <v>95414</v>
      </c>
      <c r="L253">
        <v>8258</v>
      </c>
      <c r="M253">
        <v>6413</v>
      </c>
      <c r="N253">
        <v>18253</v>
      </c>
      <c r="O253">
        <v>11246</v>
      </c>
      <c r="P253">
        <v>83215000</v>
      </c>
      <c r="Q253">
        <v>51851000</v>
      </c>
      <c r="R253">
        <v>31364000</v>
      </c>
      <c r="S253">
        <v>166000</v>
      </c>
      <c r="T253" s="153">
        <f t="shared" si="21"/>
        <v>218272995</v>
      </c>
      <c r="U253" s="153">
        <f t="shared" si="22"/>
        <v>5525827.5</v>
      </c>
      <c r="V253" s="153">
        <f t="shared" si="23"/>
        <v>5525827.5</v>
      </c>
      <c r="X253" t="s">
        <v>373</v>
      </c>
      <c r="Y253">
        <v>58251</v>
      </c>
      <c r="Z253">
        <v>183988</v>
      </c>
      <c r="AA253">
        <v>50477469670.710571</v>
      </c>
      <c r="AB253">
        <v>30557714665.337978</v>
      </c>
      <c r="AC253" s="153">
        <f t="shared" si="24"/>
        <v>254134228.6591576</v>
      </c>
      <c r="AD253" s="153">
        <f t="shared" si="25"/>
        <v>11895228.659157604</v>
      </c>
      <c r="AE253" s="153">
        <f t="shared" si="26"/>
        <v>11895228.659157604</v>
      </c>
    </row>
    <row r="254" spans="1:31" x14ac:dyDescent="0.25">
      <c r="A254" t="s">
        <v>601</v>
      </c>
      <c r="B254" t="s">
        <v>250</v>
      </c>
      <c r="C254">
        <v>427</v>
      </c>
      <c r="D254">
        <v>361</v>
      </c>
      <c r="E254">
        <v>66</v>
      </c>
      <c r="F254">
        <v>0</v>
      </c>
      <c r="G254">
        <v>0</v>
      </c>
      <c r="H254">
        <v>0</v>
      </c>
      <c r="I254">
        <v>0</v>
      </c>
      <c r="J254">
        <v>154</v>
      </c>
      <c r="K254">
        <v>153</v>
      </c>
      <c r="L254">
        <v>38</v>
      </c>
      <c r="M254">
        <v>58</v>
      </c>
      <c r="N254">
        <v>50</v>
      </c>
      <c r="O254">
        <v>2</v>
      </c>
      <c r="P254">
        <v>338000</v>
      </c>
      <c r="Q254">
        <v>313000</v>
      </c>
      <c r="R254">
        <v>25000</v>
      </c>
      <c r="S254">
        <v>469000</v>
      </c>
      <c r="T254" s="153">
        <f t="shared" si="21"/>
        <v>691515</v>
      </c>
      <c r="U254" s="153">
        <f t="shared" si="22"/>
        <v>379767.5</v>
      </c>
      <c r="V254" s="153">
        <f t="shared" si="23"/>
        <v>379767.5</v>
      </c>
      <c r="X254" t="s">
        <v>250</v>
      </c>
      <c r="Y254">
        <v>333</v>
      </c>
      <c r="Z254">
        <v>70</v>
      </c>
      <c r="AA254">
        <v>309192200.55710304</v>
      </c>
      <c r="AB254">
        <v>29106029.106029104</v>
      </c>
      <c r="AC254" s="153">
        <f t="shared" si="24"/>
        <v>836701.96530363662</v>
      </c>
      <c r="AD254" s="153">
        <f t="shared" si="25"/>
        <v>433701.96530363662</v>
      </c>
      <c r="AE254" s="153">
        <f t="shared" si="26"/>
        <v>433701.96530363662</v>
      </c>
    </row>
    <row r="255" spans="1:31" x14ac:dyDescent="0.25">
      <c r="A255" t="s">
        <v>608</v>
      </c>
      <c r="B255" t="s">
        <v>446</v>
      </c>
      <c r="C255">
        <v>3686</v>
      </c>
      <c r="D255">
        <v>2706</v>
      </c>
      <c r="E255">
        <v>980</v>
      </c>
      <c r="F255">
        <v>6</v>
      </c>
      <c r="G255">
        <v>0</v>
      </c>
      <c r="H255">
        <v>110</v>
      </c>
      <c r="I255">
        <v>17</v>
      </c>
      <c r="J255">
        <v>2272</v>
      </c>
      <c r="K255">
        <v>1908</v>
      </c>
      <c r="L255">
        <v>359</v>
      </c>
      <c r="M255">
        <v>34</v>
      </c>
      <c r="N255">
        <v>424</v>
      </c>
      <c r="O255">
        <v>20</v>
      </c>
      <c r="P255">
        <v>2713000</v>
      </c>
      <c r="Q255">
        <v>2317000</v>
      </c>
      <c r="R255">
        <v>396000</v>
      </c>
      <c r="S255">
        <v>244000</v>
      </c>
      <c r="T255" s="153">
        <f t="shared" si="21"/>
        <v>5922645</v>
      </c>
      <c r="U255" s="153">
        <f t="shared" si="22"/>
        <v>3223752.5</v>
      </c>
      <c r="V255" s="153">
        <f t="shared" si="23"/>
        <v>3223752.5</v>
      </c>
      <c r="X255" t="s">
        <v>446</v>
      </c>
      <c r="Y255">
        <v>2540</v>
      </c>
      <c r="Z255">
        <v>1270</v>
      </c>
      <c r="AA255">
        <v>2230026338.8937664</v>
      </c>
      <c r="AB255">
        <v>459645313.06550854</v>
      </c>
      <c r="AC255" s="153">
        <f t="shared" si="24"/>
        <v>7172044.5016831076</v>
      </c>
      <c r="AD255" s="153">
        <f t="shared" si="25"/>
        <v>3362044.5016831076</v>
      </c>
      <c r="AE255" s="153">
        <f t="shared" si="26"/>
        <v>3362044.5016831076</v>
      </c>
    </row>
    <row r="256" spans="1:31" x14ac:dyDescent="0.25">
      <c r="A256" t="s">
        <v>600</v>
      </c>
      <c r="B256" t="s">
        <v>320</v>
      </c>
      <c r="C256">
        <v>10247</v>
      </c>
      <c r="D256">
        <v>6939</v>
      </c>
      <c r="E256">
        <v>3308</v>
      </c>
      <c r="F256">
        <v>6</v>
      </c>
      <c r="G256">
        <v>2184</v>
      </c>
      <c r="H256">
        <v>1113</v>
      </c>
      <c r="I256">
        <v>1414</v>
      </c>
      <c r="J256">
        <v>3870</v>
      </c>
      <c r="K256">
        <v>5797</v>
      </c>
      <c r="L256">
        <v>940</v>
      </c>
      <c r="M256">
        <v>288</v>
      </c>
      <c r="N256">
        <v>1200</v>
      </c>
      <c r="O256">
        <v>81</v>
      </c>
      <c r="P256">
        <v>5806000</v>
      </c>
      <c r="Q256">
        <v>4884000</v>
      </c>
      <c r="R256">
        <v>922000</v>
      </c>
      <c r="S256">
        <v>231000</v>
      </c>
      <c r="T256" s="153">
        <f t="shared" si="21"/>
        <v>12816840</v>
      </c>
      <c r="U256" s="153">
        <f t="shared" si="22"/>
        <v>4705980</v>
      </c>
      <c r="V256" s="153">
        <f t="shared" si="23"/>
        <v>4705980</v>
      </c>
      <c r="X256" t="s">
        <v>320</v>
      </c>
      <c r="Y256">
        <v>6742</v>
      </c>
      <c r="Z256">
        <v>3511</v>
      </c>
      <c r="AA256">
        <v>4910415149.3080845</v>
      </c>
      <c r="AB256">
        <v>929573735.7691288</v>
      </c>
      <c r="AC256" s="153">
        <f t="shared" si="24"/>
        <v>15416550.608540736</v>
      </c>
      <c r="AD256" s="153">
        <f t="shared" si="25"/>
        <v>5163550.6085407361</v>
      </c>
      <c r="AE256" s="153">
        <f t="shared" si="26"/>
        <v>5163550.6085407361</v>
      </c>
    </row>
    <row r="257" spans="1:31" x14ac:dyDescent="0.25">
      <c r="A257" t="s">
        <v>601</v>
      </c>
      <c r="B257" t="s">
        <v>251</v>
      </c>
      <c r="C257">
        <v>1704</v>
      </c>
      <c r="D257">
        <v>1193</v>
      </c>
      <c r="E257">
        <v>511</v>
      </c>
      <c r="F257">
        <v>0</v>
      </c>
      <c r="G257">
        <v>0</v>
      </c>
      <c r="H257">
        <v>121</v>
      </c>
      <c r="I257">
        <v>42</v>
      </c>
      <c r="J257">
        <v>1115</v>
      </c>
      <c r="K257">
        <v>848</v>
      </c>
      <c r="L257">
        <v>169</v>
      </c>
      <c r="M257">
        <v>144</v>
      </c>
      <c r="N257">
        <v>320</v>
      </c>
      <c r="O257">
        <v>47</v>
      </c>
      <c r="P257">
        <v>1133000</v>
      </c>
      <c r="Q257">
        <v>969000</v>
      </c>
      <c r="R257">
        <v>164000</v>
      </c>
      <c r="S257">
        <v>260000</v>
      </c>
      <c r="T257" s="153">
        <f t="shared" si="21"/>
        <v>2470785</v>
      </c>
      <c r="U257" s="153">
        <f t="shared" si="22"/>
        <v>1178582.5</v>
      </c>
      <c r="V257" s="153">
        <f t="shared" si="23"/>
        <v>1178582.5</v>
      </c>
      <c r="X257" t="s">
        <v>251</v>
      </c>
      <c r="Y257">
        <v>1185</v>
      </c>
      <c r="Z257">
        <v>542</v>
      </c>
      <c r="AA257">
        <v>974506578.94736838</v>
      </c>
      <c r="AB257">
        <v>158804570.75886318</v>
      </c>
      <c r="AC257" s="153">
        <f t="shared" si="24"/>
        <v>2942578.2007391755</v>
      </c>
      <c r="AD257" s="153">
        <f t="shared" si="25"/>
        <v>1215578.2007391755</v>
      </c>
      <c r="AE257" s="153">
        <f t="shared" si="26"/>
        <v>1215578.2007391755</v>
      </c>
    </row>
    <row r="258" spans="1:31" x14ac:dyDescent="0.25">
      <c r="A258" t="s">
        <v>603</v>
      </c>
      <c r="B258" t="s">
        <v>374</v>
      </c>
      <c r="C258">
        <v>14532</v>
      </c>
      <c r="D258">
        <v>7136</v>
      </c>
      <c r="E258">
        <v>7396</v>
      </c>
      <c r="F258">
        <v>3112</v>
      </c>
      <c r="G258">
        <v>147</v>
      </c>
      <c r="H258">
        <v>0</v>
      </c>
      <c r="I258">
        <v>292</v>
      </c>
      <c r="J258">
        <v>9924</v>
      </c>
      <c r="K258">
        <v>11784</v>
      </c>
      <c r="L258">
        <v>958</v>
      </c>
      <c r="M258">
        <v>0</v>
      </c>
      <c r="N258">
        <v>911</v>
      </c>
      <c r="O258">
        <v>2096</v>
      </c>
      <c r="P258">
        <v>7290000</v>
      </c>
      <c r="Q258">
        <v>5689000</v>
      </c>
      <c r="R258">
        <v>1601000</v>
      </c>
      <c r="S258">
        <v>156000</v>
      </c>
      <c r="T258" s="153">
        <f t="shared" ref="T258:T321" si="27">0.1905*SUM(Q258,R258,R258)*10</f>
        <v>16937355</v>
      </c>
      <c r="U258" s="153">
        <f t="shared" ref="U258:U321" si="28">SUM(T258*140/120,-C258*1000)</f>
        <v>5228247.5</v>
      </c>
      <c r="V258" s="153">
        <f t="shared" ref="V258:V321" si="29">IF(U258&gt;0,U258,0)</f>
        <v>5228247.5</v>
      </c>
      <c r="X258" t="s">
        <v>374</v>
      </c>
      <c r="Y258">
        <v>6883</v>
      </c>
      <c r="Z258">
        <v>7857</v>
      </c>
      <c r="AA258">
        <v>5784033613.4453793</v>
      </c>
      <c r="AB258">
        <v>1630082987.5518672</v>
      </c>
      <c r="AC258" s="153">
        <f t="shared" si="24"/>
        <v>20596657.196322512</v>
      </c>
      <c r="AD258" s="153">
        <f t="shared" si="25"/>
        <v>5856657.1963225119</v>
      </c>
      <c r="AE258" s="153">
        <f t="shared" si="26"/>
        <v>5856657.1963225119</v>
      </c>
    </row>
    <row r="259" spans="1:31" x14ac:dyDescent="0.25">
      <c r="A259" t="s">
        <v>602</v>
      </c>
      <c r="B259" t="s">
        <v>179</v>
      </c>
      <c r="C259">
        <v>513</v>
      </c>
      <c r="D259">
        <v>342</v>
      </c>
      <c r="E259">
        <v>171</v>
      </c>
      <c r="F259">
        <v>0</v>
      </c>
      <c r="G259">
        <v>0</v>
      </c>
      <c r="H259">
        <v>1149</v>
      </c>
      <c r="I259">
        <v>219</v>
      </c>
      <c r="J259">
        <v>214</v>
      </c>
      <c r="K259">
        <v>453</v>
      </c>
      <c r="L259">
        <v>26</v>
      </c>
      <c r="M259">
        <v>35</v>
      </c>
      <c r="N259">
        <v>98</v>
      </c>
      <c r="O259">
        <v>56</v>
      </c>
      <c r="P259">
        <v>365000</v>
      </c>
      <c r="Q259">
        <v>315000</v>
      </c>
      <c r="R259">
        <v>50000</v>
      </c>
      <c r="S259">
        <v>247000</v>
      </c>
      <c r="T259" s="153">
        <f t="shared" si="27"/>
        <v>790575</v>
      </c>
      <c r="U259" s="153">
        <f t="shared" si="28"/>
        <v>409337.5</v>
      </c>
      <c r="V259" s="153">
        <f t="shared" si="29"/>
        <v>409337.5</v>
      </c>
      <c r="X259" t="s">
        <v>179</v>
      </c>
      <c r="Y259">
        <v>333</v>
      </c>
      <c r="Z259">
        <v>187</v>
      </c>
      <c r="AA259">
        <v>311506080.44901782</v>
      </c>
      <c r="AB259">
        <v>50201342.281879194</v>
      </c>
      <c r="AC259" s="153">
        <f t="shared" si="24"/>
        <v>938053.56085576233</v>
      </c>
      <c r="AD259" s="153">
        <f t="shared" si="25"/>
        <v>418053.56085576233</v>
      </c>
      <c r="AE259" s="153">
        <f t="shared" si="26"/>
        <v>418053.56085576233</v>
      </c>
    </row>
    <row r="260" spans="1:31" x14ac:dyDescent="0.25">
      <c r="A260" t="s">
        <v>610</v>
      </c>
      <c r="B260" t="s">
        <v>396</v>
      </c>
      <c r="C260">
        <v>8588</v>
      </c>
      <c r="D260">
        <v>6638</v>
      </c>
      <c r="E260">
        <v>1950</v>
      </c>
      <c r="F260">
        <v>1724</v>
      </c>
      <c r="G260">
        <v>1460</v>
      </c>
      <c r="H260">
        <v>6559</v>
      </c>
      <c r="I260">
        <v>2596</v>
      </c>
      <c r="J260">
        <v>6432</v>
      </c>
      <c r="K260">
        <v>4408</v>
      </c>
      <c r="L260">
        <v>448</v>
      </c>
      <c r="M260">
        <v>492</v>
      </c>
      <c r="N260">
        <v>1403</v>
      </c>
      <c r="O260">
        <v>942</v>
      </c>
      <c r="P260">
        <v>5386000</v>
      </c>
      <c r="Q260">
        <v>4443000</v>
      </c>
      <c r="R260">
        <v>943000</v>
      </c>
      <c r="S260">
        <v>235000</v>
      </c>
      <c r="T260" s="153">
        <f t="shared" si="27"/>
        <v>12056745</v>
      </c>
      <c r="U260" s="153">
        <f t="shared" si="28"/>
        <v>5478202.5</v>
      </c>
      <c r="V260" s="153">
        <f t="shared" si="29"/>
        <v>5478202.5</v>
      </c>
      <c r="X260" t="s">
        <v>396</v>
      </c>
      <c r="Y260">
        <v>6274</v>
      </c>
      <c r="Z260">
        <v>2336</v>
      </c>
      <c r="AA260">
        <v>4491052254.8317833</v>
      </c>
      <c r="AB260">
        <v>926616422.05474031</v>
      </c>
      <c r="AC260" s="153">
        <f t="shared" si="24"/>
        <v>14448051.931988904</v>
      </c>
      <c r="AD260" s="153">
        <f t="shared" si="25"/>
        <v>5838051.9319889043</v>
      </c>
      <c r="AE260" s="153">
        <f t="shared" si="26"/>
        <v>5838051.9319889043</v>
      </c>
    </row>
    <row r="261" spans="1:31" x14ac:dyDescent="0.25">
      <c r="A261" t="s">
        <v>603</v>
      </c>
      <c r="B261" t="s">
        <v>511</v>
      </c>
      <c r="C261">
        <v>91469</v>
      </c>
      <c r="D261">
        <v>33752</v>
      </c>
      <c r="E261">
        <v>57717</v>
      </c>
      <c r="F261">
        <v>63929</v>
      </c>
      <c r="G261">
        <v>16305</v>
      </c>
      <c r="H261">
        <v>10883</v>
      </c>
      <c r="I261">
        <v>3143</v>
      </c>
      <c r="J261">
        <v>40157</v>
      </c>
      <c r="K261">
        <v>62761</v>
      </c>
      <c r="L261">
        <v>7951</v>
      </c>
      <c r="M261">
        <v>2294</v>
      </c>
      <c r="N261">
        <v>18700</v>
      </c>
      <c r="O261">
        <v>3442</v>
      </c>
      <c r="P261">
        <v>67312000</v>
      </c>
      <c r="Q261">
        <v>54135000</v>
      </c>
      <c r="R261">
        <v>13177000</v>
      </c>
      <c r="S261">
        <v>212000</v>
      </c>
      <c r="T261" s="153">
        <f t="shared" si="27"/>
        <v>153331545</v>
      </c>
      <c r="U261" s="153">
        <f t="shared" si="28"/>
        <v>87417802.5</v>
      </c>
      <c r="V261" s="153">
        <f t="shared" si="29"/>
        <v>87417802.5</v>
      </c>
      <c r="X261" t="s">
        <v>511</v>
      </c>
      <c r="Y261">
        <v>31883</v>
      </c>
      <c r="Z261">
        <v>54058</v>
      </c>
      <c r="AA261">
        <v>53405360134.003349</v>
      </c>
      <c r="AB261">
        <v>12475882760.212324</v>
      </c>
      <c r="AC261" s="153">
        <f t="shared" si="24"/>
        <v>178445294.15701735</v>
      </c>
      <c r="AD261" s="153">
        <f t="shared" si="25"/>
        <v>92504294.15701735</v>
      </c>
      <c r="AE261" s="153">
        <f t="shared" si="26"/>
        <v>92504294.15701735</v>
      </c>
    </row>
    <row r="262" spans="1:31" x14ac:dyDescent="0.25">
      <c r="A262" t="s">
        <v>599</v>
      </c>
      <c r="B262" t="s">
        <v>551</v>
      </c>
      <c r="C262">
        <v>39694</v>
      </c>
      <c r="D262">
        <v>16934</v>
      </c>
      <c r="E262">
        <v>22760</v>
      </c>
      <c r="F262">
        <v>17130</v>
      </c>
      <c r="G262">
        <v>397</v>
      </c>
      <c r="H262">
        <v>1085</v>
      </c>
      <c r="I262">
        <v>912</v>
      </c>
      <c r="J262">
        <v>11121</v>
      </c>
      <c r="K262">
        <v>14342</v>
      </c>
      <c r="L262">
        <v>2100</v>
      </c>
      <c r="M262">
        <v>107</v>
      </c>
      <c r="N262">
        <v>3651</v>
      </c>
      <c r="O262">
        <v>1711</v>
      </c>
      <c r="P262">
        <v>22390000</v>
      </c>
      <c r="Q262">
        <v>17927000</v>
      </c>
      <c r="R262">
        <v>4463000</v>
      </c>
      <c r="S262">
        <v>256000</v>
      </c>
      <c r="T262" s="153">
        <f t="shared" si="27"/>
        <v>51154965</v>
      </c>
      <c r="U262" s="153">
        <f t="shared" si="28"/>
        <v>19986792.5</v>
      </c>
      <c r="V262" s="153">
        <f t="shared" si="29"/>
        <v>19986792.5</v>
      </c>
      <c r="X262" t="s">
        <v>551</v>
      </c>
      <c r="Y262">
        <v>16386</v>
      </c>
      <c r="Z262">
        <v>23894</v>
      </c>
      <c r="AA262">
        <v>18166297117.516628</v>
      </c>
      <c r="AB262">
        <v>4491353383.4586468</v>
      </c>
      <c r="AC262" s="153">
        <f t="shared" si="24"/>
        <v>61827331.512817517</v>
      </c>
      <c r="AD262" s="153">
        <f t="shared" si="25"/>
        <v>21547331.512817517</v>
      </c>
      <c r="AE262" s="153">
        <f t="shared" si="26"/>
        <v>21547331.512817517</v>
      </c>
    </row>
    <row r="263" spans="1:31" x14ac:dyDescent="0.25">
      <c r="A263" t="s">
        <v>608</v>
      </c>
      <c r="B263" t="s">
        <v>485</v>
      </c>
      <c r="C263">
        <v>2137</v>
      </c>
      <c r="D263">
        <v>1800</v>
      </c>
      <c r="E263">
        <v>337</v>
      </c>
      <c r="F263">
        <v>2</v>
      </c>
      <c r="G263">
        <v>3</v>
      </c>
      <c r="H263">
        <v>77</v>
      </c>
      <c r="I263">
        <v>76</v>
      </c>
      <c r="J263">
        <v>1265</v>
      </c>
      <c r="K263">
        <v>957</v>
      </c>
      <c r="L263">
        <v>200</v>
      </c>
      <c r="M263">
        <v>40</v>
      </c>
      <c r="N263">
        <v>70</v>
      </c>
      <c r="O263">
        <v>9</v>
      </c>
      <c r="P263">
        <v>970000</v>
      </c>
      <c r="Q263">
        <v>858000</v>
      </c>
      <c r="R263">
        <v>112000</v>
      </c>
      <c r="S263">
        <v>171000</v>
      </c>
      <c r="T263" s="153">
        <f t="shared" si="27"/>
        <v>2061210</v>
      </c>
      <c r="U263" s="153">
        <f t="shared" si="28"/>
        <v>267745</v>
      </c>
      <c r="V263" s="153">
        <f t="shared" si="29"/>
        <v>267745</v>
      </c>
      <c r="X263" t="s">
        <v>485</v>
      </c>
      <c r="Y263">
        <v>1739</v>
      </c>
      <c r="Z263">
        <v>431</v>
      </c>
      <c r="AA263">
        <v>849951124.14467251</v>
      </c>
      <c r="AB263">
        <v>105327468.23069404</v>
      </c>
      <c r="AC263" s="153">
        <f t="shared" si="24"/>
        <v>2415353.5353535353</v>
      </c>
      <c r="AD263" s="153">
        <f t="shared" si="25"/>
        <v>245353.53535353532</v>
      </c>
      <c r="AE263" s="153">
        <f t="shared" si="26"/>
        <v>245353.53535353532</v>
      </c>
    </row>
    <row r="264" spans="1:31" x14ac:dyDescent="0.25">
      <c r="A264" t="s">
        <v>599</v>
      </c>
      <c r="B264" t="s">
        <v>507</v>
      </c>
      <c r="C264">
        <v>2900</v>
      </c>
      <c r="D264">
        <v>1450</v>
      </c>
      <c r="E264">
        <v>1450</v>
      </c>
      <c r="F264">
        <v>0</v>
      </c>
      <c r="G264">
        <v>0</v>
      </c>
      <c r="H264">
        <v>183</v>
      </c>
      <c r="I264">
        <v>8</v>
      </c>
      <c r="J264">
        <v>1100</v>
      </c>
      <c r="K264">
        <v>803</v>
      </c>
      <c r="L264">
        <v>138</v>
      </c>
      <c r="M264">
        <v>85</v>
      </c>
      <c r="N264">
        <v>385</v>
      </c>
      <c r="O264">
        <v>47</v>
      </c>
      <c r="P264">
        <v>1473000</v>
      </c>
      <c r="Q264">
        <v>1133000</v>
      </c>
      <c r="R264">
        <v>340000</v>
      </c>
      <c r="T264" s="153">
        <f t="shared" si="27"/>
        <v>3453765</v>
      </c>
      <c r="U264" s="153">
        <f t="shared" si="28"/>
        <v>1129392.5</v>
      </c>
      <c r="V264" s="153">
        <f t="shared" si="29"/>
        <v>1129392.5</v>
      </c>
      <c r="X264" t="s">
        <v>507</v>
      </c>
      <c r="Y264">
        <v>1418</v>
      </c>
      <c r="Z264">
        <v>1401</v>
      </c>
      <c r="AA264">
        <v>1133765091.548733</v>
      </c>
      <c r="AB264">
        <v>266750442.68007088</v>
      </c>
      <c r="AC264" s="153">
        <f t="shared" si="24"/>
        <v>3796920.3847471443</v>
      </c>
      <c r="AD264" s="153">
        <f t="shared" si="25"/>
        <v>977920.3847471443</v>
      </c>
      <c r="AE264" s="153">
        <f t="shared" si="26"/>
        <v>977920.3847471443</v>
      </c>
    </row>
    <row r="265" spans="1:31" x14ac:dyDescent="0.25">
      <c r="A265" t="s">
        <v>599</v>
      </c>
      <c r="B265" t="s">
        <v>447</v>
      </c>
      <c r="C265">
        <v>6166</v>
      </c>
      <c r="D265">
        <v>4948</v>
      </c>
      <c r="E265">
        <v>1218</v>
      </c>
      <c r="F265">
        <v>0</v>
      </c>
      <c r="G265">
        <v>0</v>
      </c>
      <c r="H265">
        <v>104</v>
      </c>
      <c r="I265">
        <v>0</v>
      </c>
      <c r="J265">
        <v>1851</v>
      </c>
      <c r="K265">
        <v>1725</v>
      </c>
      <c r="L265">
        <v>469</v>
      </c>
      <c r="M265">
        <v>3</v>
      </c>
      <c r="N265">
        <v>765</v>
      </c>
      <c r="O265">
        <v>126</v>
      </c>
      <c r="P265">
        <v>3844000</v>
      </c>
      <c r="Q265">
        <v>3483000</v>
      </c>
      <c r="R265">
        <v>361000</v>
      </c>
      <c r="S265">
        <v>299000</v>
      </c>
      <c r="T265" s="153">
        <f t="shared" si="27"/>
        <v>8010525</v>
      </c>
      <c r="U265" s="153">
        <f t="shared" si="28"/>
        <v>3179612.5</v>
      </c>
      <c r="V265" s="153">
        <f t="shared" si="29"/>
        <v>3179612.5</v>
      </c>
      <c r="X265" t="s">
        <v>447</v>
      </c>
      <c r="Y265">
        <v>4851</v>
      </c>
      <c r="Z265">
        <v>1194</v>
      </c>
      <c r="AA265">
        <v>3477419354.8387094</v>
      </c>
      <c r="AB265">
        <v>304825121.26627517</v>
      </c>
      <c r="AC265" s="153">
        <f t="shared" si="24"/>
        <v>9307619.8297468163</v>
      </c>
      <c r="AD265" s="153">
        <f t="shared" si="25"/>
        <v>3262619.8297468163</v>
      </c>
      <c r="AE265" s="153">
        <f t="shared" si="26"/>
        <v>3262619.8297468163</v>
      </c>
    </row>
    <row r="266" spans="1:31" x14ac:dyDescent="0.25">
      <c r="A266" t="s">
        <v>608</v>
      </c>
      <c r="B266" t="s">
        <v>486</v>
      </c>
      <c r="C266">
        <v>47267</v>
      </c>
      <c r="D266">
        <v>16169</v>
      </c>
      <c r="E266">
        <v>31098</v>
      </c>
      <c r="F266">
        <v>6490</v>
      </c>
      <c r="G266">
        <v>54</v>
      </c>
      <c r="H266">
        <v>214</v>
      </c>
      <c r="I266">
        <v>1069</v>
      </c>
      <c r="J266">
        <v>8444</v>
      </c>
      <c r="K266">
        <v>11221</v>
      </c>
      <c r="L266">
        <v>1279</v>
      </c>
      <c r="M266">
        <v>368</v>
      </c>
      <c r="N266">
        <v>2060</v>
      </c>
      <c r="O266">
        <v>576</v>
      </c>
      <c r="P266">
        <v>10979000</v>
      </c>
      <c r="Q266">
        <v>7537000</v>
      </c>
      <c r="R266">
        <v>3442000</v>
      </c>
      <c r="S266">
        <v>165000</v>
      </c>
      <c r="T266" s="153">
        <f t="shared" si="27"/>
        <v>27472005</v>
      </c>
      <c r="U266" s="153">
        <f t="shared" si="28"/>
        <v>-15216327.5</v>
      </c>
      <c r="V266" s="153">
        <f t="shared" si="29"/>
        <v>0</v>
      </c>
      <c r="X266" t="s">
        <v>486</v>
      </c>
      <c r="Y266">
        <v>13956</v>
      </c>
      <c r="Z266">
        <v>30340</v>
      </c>
      <c r="AA266">
        <v>7451147891.0838232</v>
      </c>
      <c r="AB266">
        <v>3371111111.1111107</v>
      </c>
      <c r="AC266" s="153">
        <f t="shared" si="24"/>
        <v>32323034.871368967</v>
      </c>
      <c r="AD266" s="153">
        <f t="shared" si="25"/>
        <v>-11972965.128631033</v>
      </c>
      <c r="AE266" s="153">
        <f t="shared" si="26"/>
        <v>0</v>
      </c>
    </row>
    <row r="267" spans="1:31" x14ac:dyDescent="0.25">
      <c r="A267" t="s">
        <v>603</v>
      </c>
      <c r="B267" t="s">
        <v>375</v>
      </c>
      <c r="C267">
        <v>3793</v>
      </c>
      <c r="D267">
        <v>2019</v>
      </c>
      <c r="E267">
        <v>1774</v>
      </c>
      <c r="F267">
        <v>0</v>
      </c>
      <c r="G267">
        <v>787</v>
      </c>
      <c r="H267">
        <v>0</v>
      </c>
      <c r="I267">
        <v>131</v>
      </c>
      <c r="J267">
        <v>2761</v>
      </c>
      <c r="K267">
        <v>2210</v>
      </c>
      <c r="L267">
        <v>611</v>
      </c>
      <c r="M267">
        <v>317</v>
      </c>
      <c r="N267">
        <v>458</v>
      </c>
      <c r="O267">
        <v>114</v>
      </c>
      <c r="P267">
        <v>2637000</v>
      </c>
      <c r="Q267">
        <v>1998000</v>
      </c>
      <c r="R267">
        <v>639000</v>
      </c>
      <c r="S267">
        <v>187000</v>
      </c>
      <c r="T267" s="153">
        <f t="shared" si="27"/>
        <v>6240780</v>
      </c>
      <c r="U267" s="153">
        <f t="shared" si="28"/>
        <v>3487910</v>
      </c>
      <c r="V267" s="153">
        <f t="shared" si="29"/>
        <v>3487910</v>
      </c>
      <c r="X267" t="s">
        <v>375</v>
      </c>
      <c r="Y267">
        <v>1975</v>
      </c>
      <c r="Z267">
        <v>1834</v>
      </c>
      <c r="AA267">
        <v>2017364657.814096</v>
      </c>
      <c r="AB267">
        <v>647370278.856336</v>
      </c>
      <c r="AC267" s="153">
        <f t="shared" si="24"/>
        <v>7542767.610826293</v>
      </c>
      <c r="AD267" s="153">
        <f t="shared" si="25"/>
        <v>3733767.610826293</v>
      </c>
      <c r="AE267" s="153">
        <f t="shared" si="26"/>
        <v>3733767.610826293</v>
      </c>
    </row>
    <row r="268" spans="1:31" x14ac:dyDescent="0.25">
      <c r="A268" t="s">
        <v>610</v>
      </c>
      <c r="B268" t="s">
        <v>397</v>
      </c>
      <c r="C268">
        <v>6308</v>
      </c>
      <c r="D268">
        <v>3876</v>
      </c>
      <c r="E268">
        <v>2432</v>
      </c>
      <c r="F268">
        <v>2060</v>
      </c>
      <c r="G268">
        <v>223</v>
      </c>
      <c r="H268">
        <v>3935</v>
      </c>
      <c r="I268">
        <v>1836</v>
      </c>
      <c r="J268">
        <v>4510</v>
      </c>
      <c r="K268">
        <v>3285</v>
      </c>
      <c r="L268">
        <v>501</v>
      </c>
      <c r="M268">
        <v>327</v>
      </c>
      <c r="N268">
        <v>854</v>
      </c>
      <c r="O268">
        <v>81</v>
      </c>
      <c r="P268">
        <v>4113000</v>
      </c>
      <c r="Q268">
        <v>3412000</v>
      </c>
      <c r="R268">
        <v>701000</v>
      </c>
      <c r="S268">
        <v>195000</v>
      </c>
      <c r="T268" s="153">
        <f t="shared" si="27"/>
        <v>9170670</v>
      </c>
      <c r="U268" s="153">
        <f t="shared" si="28"/>
        <v>4391115</v>
      </c>
      <c r="V268" s="153">
        <f t="shared" si="29"/>
        <v>4391115</v>
      </c>
      <c r="X268" t="s">
        <v>397</v>
      </c>
      <c r="Y268">
        <v>3676</v>
      </c>
      <c r="Z268">
        <v>2324</v>
      </c>
      <c r="AA268">
        <v>3273374888.6910067</v>
      </c>
      <c r="AB268">
        <v>628447809.62682521</v>
      </c>
      <c r="AC268" s="153">
        <f t="shared" si="24"/>
        <v>10316936.036759298</v>
      </c>
      <c r="AD268" s="153">
        <f t="shared" si="25"/>
        <v>4316936.0367592983</v>
      </c>
      <c r="AE268" s="153">
        <f t="shared" si="26"/>
        <v>4316936.0367592983</v>
      </c>
    </row>
    <row r="269" spans="1:31" x14ac:dyDescent="0.25">
      <c r="A269" t="s">
        <v>602</v>
      </c>
      <c r="B269" t="s">
        <v>180</v>
      </c>
      <c r="C269">
        <v>13350</v>
      </c>
      <c r="D269">
        <v>6469</v>
      </c>
      <c r="E269">
        <v>6881</v>
      </c>
      <c r="F269">
        <v>2311</v>
      </c>
      <c r="G269">
        <v>0</v>
      </c>
      <c r="H269">
        <v>0</v>
      </c>
      <c r="I269">
        <v>382</v>
      </c>
      <c r="J269">
        <v>7449</v>
      </c>
      <c r="K269">
        <v>6031</v>
      </c>
      <c r="L269">
        <v>601</v>
      </c>
      <c r="M269">
        <v>409</v>
      </c>
      <c r="N269">
        <v>1041</v>
      </c>
      <c r="O269">
        <v>259</v>
      </c>
      <c r="P269">
        <v>5496000</v>
      </c>
      <c r="Q269">
        <v>4260000</v>
      </c>
      <c r="R269">
        <v>1236000</v>
      </c>
      <c r="S269">
        <v>170000</v>
      </c>
      <c r="T269" s="153">
        <f t="shared" si="27"/>
        <v>12824460</v>
      </c>
      <c r="U269" s="153">
        <f t="shared" si="28"/>
        <v>1611870</v>
      </c>
      <c r="V269" s="153">
        <f t="shared" si="29"/>
        <v>1611870</v>
      </c>
      <c r="X269" t="s">
        <v>180</v>
      </c>
      <c r="Y269">
        <v>6183</v>
      </c>
      <c r="Z269">
        <v>6579</v>
      </c>
      <c r="AA269">
        <v>4234931506.8493152</v>
      </c>
      <c r="AB269">
        <v>1088517538.0542686</v>
      </c>
      <c r="AC269" s="153">
        <f t="shared" si="24"/>
        <v>14602185.231589347</v>
      </c>
      <c r="AD269" s="153">
        <f t="shared" si="25"/>
        <v>1840185.2315893471</v>
      </c>
      <c r="AE269" s="153">
        <f t="shared" si="26"/>
        <v>1840185.2315893471</v>
      </c>
    </row>
    <row r="270" spans="1:31" x14ac:dyDescent="0.25">
      <c r="A270" t="s">
        <v>606</v>
      </c>
      <c r="B270" t="s">
        <v>277</v>
      </c>
      <c r="C270">
        <v>8318</v>
      </c>
      <c r="D270">
        <v>5074</v>
      </c>
      <c r="E270">
        <v>3244</v>
      </c>
      <c r="F270">
        <v>0</v>
      </c>
      <c r="G270">
        <v>0</v>
      </c>
      <c r="H270">
        <v>0</v>
      </c>
      <c r="I270">
        <v>272</v>
      </c>
      <c r="J270">
        <v>4302</v>
      </c>
      <c r="K270">
        <v>3957</v>
      </c>
      <c r="L270">
        <v>514</v>
      </c>
      <c r="M270">
        <v>539</v>
      </c>
      <c r="N270">
        <v>1039</v>
      </c>
      <c r="O270">
        <v>130</v>
      </c>
      <c r="P270">
        <v>6803000</v>
      </c>
      <c r="Q270">
        <v>5869000</v>
      </c>
      <c r="R270">
        <v>934000</v>
      </c>
      <c r="S270">
        <v>291000</v>
      </c>
      <c r="T270" s="153">
        <f t="shared" si="27"/>
        <v>14738985</v>
      </c>
      <c r="U270" s="153">
        <f t="shared" si="28"/>
        <v>8877482.5</v>
      </c>
      <c r="V270" s="153">
        <f t="shared" si="29"/>
        <v>8877482.5</v>
      </c>
      <c r="X270" t="s">
        <v>277</v>
      </c>
      <c r="Y270">
        <v>5078</v>
      </c>
      <c r="Z270">
        <v>3304</v>
      </c>
      <c r="AA270">
        <v>5904651162.7906981</v>
      </c>
      <c r="AB270">
        <v>929133858.26771653</v>
      </c>
      <c r="AC270" s="153">
        <f t="shared" si="24"/>
        <v>17678753.927852042</v>
      </c>
      <c r="AD270" s="153">
        <f t="shared" si="25"/>
        <v>9296753.927852042</v>
      </c>
      <c r="AE270" s="153">
        <f t="shared" si="26"/>
        <v>9296753.927852042</v>
      </c>
    </row>
    <row r="271" spans="1:31" x14ac:dyDescent="0.25">
      <c r="A271" t="s">
        <v>599</v>
      </c>
      <c r="B271" t="s">
        <v>448</v>
      </c>
      <c r="C271">
        <v>4062</v>
      </c>
      <c r="D271">
        <v>2554</v>
      </c>
      <c r="E271">
        <v>1508</v>
      </c>
      <c r="F271">
        <v>0</v>
      </c>
      <c r="G271">
        <v>0</v>
      </c>
      <c r="H271">
        <v>145</v>
      </c>
      <c r="I271">
        <v>75</v>
      </c>
      <c r="J271">
        <v>1620</v>
      </c>
      <c r="K271">
        <v>1288</v>
      </c>
      <c r="L271">
        <v>297</v>
      </c>
      <c r="M271">
        <v>0</v>
      </c>
      <c r="N271">
        <v>630</v>
      </c>
      <c r="O271">
        <v>38</v>
      </c>
      <c r="P271">
        <v>2511000</v>
      </c>
      <c r="Q271">
        <v>1999000</v>
      </c>
      <c r="R271">
        <v>512000</v>
      </c>
      <c r="T271" s="153">
        <f t="shared" si="27"/>
        <v>5758815</v>
      </c>
      <c r="U271" s="153">
        <f t="shared" si="28"/>
        <v>2656617.5</v>
      </c>
      <c r="V271" s="153">
        <f t="shared" si="29"/>
        <v>2656617.5</v>
      </c>
      <c r="X271" t="s">
        <v>448</v>
      </c>
      <c r="Y271">
        <v>2462</v>
      </c>
      <c r="Z271">
        <v>1548</v>
      </c>
      <c r="AA271">
        <v>1991909385.1132684</v>
      </c>
      <c r="AB271">
        <v>444699798.90835971</v>
      </c>
      <c r="AC271" s="153">
        <f t="shared" si="24"/>
        <v>6561700.9904592251</v>
      </c>
      <c r="AD271" s="153">
        <f t="shared" si="25"/>
        <v>2551700.9904592251</v>
      </c>
      <c r="AE271" s="153">
        <f t="shared" si="26"/>
        <v>2551700.9904592251</v>
      </c>
    </row>
    <row r="272" spans="1:31" x14ac:dyDescent="0.25">
      <c r="A272" t="s">
        <v>599</v>
      </c>
      <c r="B272" t="s">
        <v>449</v>
      </c>
      <c r="C272">
        <v>3855</v>
      </c>
      <c r="D272">
        <v>2030</v>
      </c>
      <c r="E272">
        <v>1825</v>
      </c>
      <c r="F272">
        <v>0</v>
      </c>
      <c r="G272">
        <v>9</v>
      </c>
      <c r="H272">
        <v>0</v>
      </c>
      <c r="I272">
        <v>0</v>
      </c>
      <c r="J272">
        <v>1185</v>
      </c>
      <c r="K272">
        <v>1364</v>
      </c>
      <c r="L272">
        <v>109</v>
      </c>
      <c r="M272">
        <v>0</v>
      </c>
      <c r="N272">
        <v>648</v>
      </c>
      <c r="O272">
        <v>53</v>
      </c>
      <c r="P272">
        <v>2811000</v>
      </c>
      <c r="Q272">
        <v>2142000</v>
      </c>
      <c r="R272">
        <v>669000</v>
      </c>
      <c r="S272">
        <v>303000</v>
      </c>
      <c r="T272" s="153">
        <f t="shared" si="27"/>
        <v>6629400</v>
      </c>
      <c r="U272" s="153">
        <f t="shared" si="28"/>
        <v>3879300</v>
      </c>
      <c r="V272" s="153">
        <f t="shared" si="29"/>
        <v>3879300</v>
      </c>
      <c r="X272" t="s">
        <v>449</v>
      </c>
      <c r="Y272">
        <v>1928</v>
      </c>
      <c r="Z272">
        <v>1842</v>
      </c>
      <c r="AA272">
        <v>2149386845.0390191</v>
      </c>
      <c r="AB272">
        <v>668845315.9041394</v>
      </c>
      <c r="AC272" s="153">
        <f t="shared" si="24"/>
        <v>7941237.7739402456</v>
      </c>
      <c r="AD272" s="153">
        <f t="shared" si="25"/>
        <v>4171237.7739402456</v>
      </c>
      <c r="AE272" s="153">
        <f t="shared" si="26"/>
        <v>4171237.7739402456</v>
      </c>
    </row>
    <row r="273" spans="1:31" x14ac:dyDescent="0.25">
      <c r="A273" t="s">
        <v>607</v>
      </c>
      <c r="B273" t="s">
        <v>159</v>
      </c>
      <c r="C273">
        <v>6603</v>
      </c>
      <c r="D273">
        <v>4066</v>
      </c>
      <c r="E273">
        <v>2537</v>
      </c>
      <c r="F273">
        <v>0</v>
      </c>
      <c r="G273">
        <v>0</v>
      </c>
      <c r="H273">
        <v>103</v>
      </c>
      <c r="I273">
        <v>59</v>
      </c>
      <c r="J273">
        <v>3093</v>
      </c>
      <c r="K273">
        <v>2720</v>
      </c>
      <c r="L273">
        <v>350</v>
      </c>
      <c r="M273">
        <v>46</v>
      </c>
      <c r="N273">
        <v>250</v>
      </c>
      <c r="O273">
        <v>97</v>
      </c>
      <c r="P273">
        <v>2586000</v>
      </c>
      <c r="Q273">
        <v>2152000</v>
      </c>
      <c r="R273">
        <v>434000</v>
      </c>
      <c r="S273">
        <v>149000</v>
      </c>
      <c r="T273" s="153">
        <f t="shared" si="27"/>
        <v>5753100</v>
      </c>
      <c r="U273" s="153">
        <f t="shared" si="28"/>
        <v>108950</v>
      </c>
      <c r="V273" s="153">
        <f t="shared" si="29"/>
        <v>108950</v>
      </c>
      <c r="X273" t="s">
        <v>159</v>
      </c>
      <c r="Y273">
        <v>3856</v>
      </c>
      <c r="Z273">
        <v>2862</v>
      </c>
      <c r="AA273">
        <v>2144605116.7964406</v>
      </c>
      <c r="AB273">
        <v>432783910.47935885</v>
      </c>
      <c r="AC273" s="153">
        <f t="shared" si="24"/>
        <v>6855167.1702477466</v>
      </c>
      <c r="AD273" s="153">
        <f t="shared" si="25"/>
        <v>137167.17024774663</v>
      </c>
      <c r="AE273" s="153">
        <f t="shared" si="26"/>
        <v>137167.17024774663</v>
      </c>
    </row>
    <row r="274" spans="1:31" x14ac:dyDescent="0.25">
      <c r="A274" t="s">
        <v>604</v>
      </c>
      <c r="B274" t="s">
        <v>202</v>
      </c>
      <c r="C274">
        <v>2821</v>
      </c>
      <c r="D274">
        <v>1492</v>
      </c>
      <c r="E274">
        <v>1329</v>
      </c>
      <c r="F274">
        <v>0</v>
      </c>
      <c r="G274">
        <v>0</v>
      </c>
      <c r="H274">
        <v>49</v>
      </c>
      <c r="I274">
        <v>112</v>
      </c>
      <c r="J274">
        <v>1656</v>
      </c>
      <c r="K274">
        <v>987</v>
      </c>
      <c r="L274">
        <v>261</v>
      </c>
      <c r="M274">
        <v>297</v>
      </c>
      <c r="N274">
        <v>590</v>
      </c>
      <c r="O274">
        <v>61</v>
      </c>
      <c r="P274">
        <v>1908000</v>
      </c>
      <c r="Q274">
        <v>1418000</v>
      </c>
      <c r="R274">
        <v>490000</v>
      </c>
      <c r="S274">
        <v>252000</v>
      </c>
      <c r="T274" s="153">
        <f t="shared" si="27"/>
        <v>4568190</v>
      </c>
      <c r="U274" s="153">
        <f t="shared" si="28"/>
        <v>2508555</v>
      </c>
      <c r="V274" s="153">
        <f t="shared" si="29"/>
        <v>2508555</v>
      </c>
      <c r="X274" t="s">
        <v>202</v>
      </c>
      <c r="Y274">
        <v>1458</v>
      </c>
      <c r="Z274">
        <v>1423</v>
      </c>
      <c r="AA274">
        <v>1425219941.3489735</v>
      </c>
      <c r="AB274">
        <v>452176676.19955516</v>
      </c>
      <c r="AC274" s="153">
        <f t="shared" si="24"/>
        <v>5305214.9142956352</v>
      </c>
      <c r="AD274" s="153">
        <f t="shared" si="25"/>
        <v>2424214.9142956352</v>
      </c>
      <c r="AE274" s="153">
        <f t="shared" si="26"/>
        <v>2424214.9142956352</v>
      </c>
    </row>
    <row r="275" spans="1:31" x14ac:dyDescent="0.25">
      <c r="A275" t="s">
        <v>600</v>
      </c>
      <c r="B275" t="s">
        <v>321</v>
      </c>
      <c r="C275">
        <v>2978</v>
      </c>
      <c r="D275">
        <v>2382</v>
      </c>
      <c r="E275">
        <v>596</v>
      </c>
      <c r="F275">
        <v>0</v>
      </c>
      <c r="G275">
        <v>0</v>
      </c>
      <c r="H275">
        <v>0</v>
      </c>
      <c r="I275">
        <v>105</v>
      </c>
      <c r="J275">
        <v>1631</v>
      </c>
      <c r="K275">
        <v>3074</v>
      </c>
      <c r="L275">
        <v>290</v>
      </c>
      <c r="M275">
        <v>7</v>
      </c>
      <c r="N275">
        <v>287</v>
      </c>
      <c r="O275">
        <v>41</v>
      </c>
      <c r="P275">
        <v>2115000</v>
      </c>
      <c r="Q275">
        <v>1851000</v>
      </c>
      <c r="R275">
        <v>264000</v>
      </c>
      <c r="S275">
        <v>206000</v>
      </c>
      <c r="T275" s="153">
        <f t="shared" si="27"/>
        <v>4531995</v>
      </c>
      <c r="U275" s="153">
        <f t="shared" si="28"/>
        <v>2309327.5</v>
      </c>
      <c r="V275" s="153">
        <f t="shared" si="29"/>
        <v>2309327.5</v>
      </c>
      <c r="X275" t="s">
        <v>321</v>
      </c>
      <c r="Y275">
        <v>2271</v>
      </c>
      <c r="Z275">
        <v>664</v>
      </c>
      <c r="AA275">
        <v>1767315175.0972762</v>
      </c>
      <c r="AB275">
        <v>267849939.49173051</v>
      </c>
      <c r="AC275" s="153">
        <f t="shared" si="24"/>
        <v>5244732.949826532</v>
      </c>
      <c r="AD275" s="153">
        <f t="shared" si="25"/>
        <v>2309732.949826532</v>
      </c>
      <c r="AE275" s="153">
        <f t="shared" si="26"/>
        <v>2309732.949826532</v>
      </c>
    </row>
    <row r="276" spans="1:31" x14ac:dyDescent="0.25">
      <c r="A276" t="s">
        <v>599</v>
      </c>
      <c r="B276" t="s">
        <v>450</v>
      </c>
      <c r="C276">
        <v>4545</v>
      </c>
      <c r="D276">
        <v>2806</v>
      </c>
      <c r="E276">
        <v>1739</v>
      </c>
      <c r="F276">
        <v>0</v>
      </c>
      <c r="G276">
        <v>0</v>
      </c>
      <c r="H276">
        <v>80</v>
      </c>
      <c r="I276">
        <v>180</v>
      </c>
      <c r="J276">
        <v>1641</v>
      </c>
      <c r="K276">
        <v>3323</v>
      </c>
      <c r="L276">
        <v>440</v>
      </c>
      <c r="M276">
        <v>67</v>
      </c>
      <c r="N276">
        <v>761</v>
      </c>
      <c r="O276">
        <v>61</v>
      </c>
      <c r="P276">
        <v>2687000</v>
      </c>
      <c r="Q276">
        <v>2116000</v>
      </c>
      <c r="R276">
        <v>571000</v>
      </c>
      <c r="S276">
        <v>207000</v>
      </c>
      <c r="T276" s="153">
        <f t="shared" si="27"/>
        <v>6206490</v>
      </c>
      <c r="U276" s="153">
        <f t="shared" si="28"/>
        <v>2695905</v>
      </c>
      <c r="V276" s="153">
        <f t="shared" si="29"/>
        <v>2695905</v>
      </c>
      <c r="X276" t="s">
        <v>450</v>
      </c>
      <c r="Y276">
        <v>2723</v>
      </c>
      <c r="Z276">
        <v>1660</v>
      </c>
      <c r="AA276">
        <v>2127343749.9999998</v>
      </c>
      <c r="AB276">
        <v>483823958.02972901</v>
      </c>
      <c r="AC276" s="153">
        <f t="shared" si="24"/>
        <v>7048327.6875060713</v>
      </c>
      <c r="AD276" s="153">
        <f t="shared" si="25"/>
        <v>2665327.6875060713</v>
      </c>
      <c r="AE276" s="153">
        <f t="shared" si="26"/>
        <v>2665327.6875060713</v>
      </c>
    </row>
    <row r="277" spans="1:31" x14ac:dyDescent="0.25">
      <c r="A277" t="s">
        <v>604</v>
      </c>
      <c r="B277" t="s">
        <v>203</v>
      </c>
      <c r="C277">
        <v>7123</v>
      </c>
      <c r="D277">
        <v>4239</v>
      </c>
      <c r="E277">
        <v>2884</v>
      </c>
      <c r="F277">
        <v>10</v>
      </c>
      <c r="G277">
        <v>0</v>
      </c>
      <c r="H277">
        <v>577</v>
      </c>
      <c r="I277">
        <v>1026</v>
      </c>
      <c r="J277">
        <v>4892</v>
      </c>
      <c r="K277">
        <v>3392</v>
      </c>
      <c r="L277">
        <v>600</v>
      </c>
      <c r="M277">
        <v>445</v>
      </c>
      <c r="N277">
        <v>1275</v>
      </c>
      <c r="O277">
        <v>104</v>
      </c>
      <c r="P277">
        <v>4913000</v>
      </c>
      <c r="Q277">
        <v>3979000</v>
      </c>
      <c r="R277">
        <v>934000</v>
      </c>
      <c r="S277">
        <v>200000</v>
      </c>
      <c r="T277" s="153">
        <f t="shared" si="27"/>
        <v>11138535</v>
      </c>
      <c r="U277" s="153">
        <f t="shared" si="28"/>
        <v>5871957.5</v>
      </c>
      <c r="V277" s="153">
        <f t="shared" si="29"/>
        <v>5871957.5</v>
      </c>
      <c r="X277" t="s">
        <v>203</v>
      </c>
      <c r="Y277">
        <v>4192</v>
      </c>
      <c r="Z277">
        <v>3153</v>
      </c>
      <c r="AA277">
        <v>3936150234.7417841</v>
      </c>
      <c r="AB277">
        <v>936998514.11589885</v>
      </c>
      <c r="AC277" s="153">
        <f t="shared" si="24"/>
        <v>13231642.033545168</v>
      </c>
      <c r="AD277" s="153">
        <f t="shared" si="25"/>
        <v>5886642.0335451681</v>
      </c>
      <c r="AE277" s="153">
        <f t="shared" si="26"/>
        <v>5886642.0335451681</v>
      </c>
    </row>
    <row r="278" spans="1:31" x14ac:dyDescent="0.25">
      <c r="A278" t="s">
        <v>608</v>
      </c>
      <c r="B278" t="s">
        <v>487</v>
      </c>
      <c r="C278">
        <v>5307</v>
      </c>
      <c r="D278">
        <v>3622</v>
      </c>
      <c r="E278">
        <v>1685</v>
      </c>
      <c r="F278">
        <v>4</v>
      </c>
      <c r="G278">
        <v>0</v>
      </c>
      <c r="H278">
        <v>124</v>
      </c>
      <c r="I278">
        <v>212</v>
      </c>
      <c r="J278">
        <v>3405</v>
      </c>
      <c r="K278">
        <v>2727</v>
      </c>
      <c r="L278">
        <v>308</v>
      </c>
      <c r="M278">
        <v>84</v>
      </c>
      <c r="N278">
        <v>287</v>
      </c>
      <c r="O278">
        <v>37</v>
      </c>
      <c r="P278">
        <v>2589000</v>
      </c>
      <c r="Q278">
        <v>2222000</v>
      </c>
      <c r="R278">
        <v>367000</v>
      </c>
      <c r="S278">
        <v>194000</v>
      </c>
      <c r="T278" s="153">
        <f t="shared" si="27"/>
        <v>5631180</v>
      </c>
      <c r="U278" s="153">
        <f t="shared" si="28"/>
        <v>1262710</v>
      </c>
      <c r="V278" s="153">
        <f t="shared" si="29"/>
        <v>1262710</v>
      </c>
      <c r="X278" t="s">
        <v>487</v>
      </c>
      <c r="Y278">
        <v>3641</v>
      </c>
      <c r="Z278">
        <v>2040</v>
      </c>
      <c r="AA278">
        <v>2217417783.1912298</v>
      </c>
      <c r="AB278">
        <v>346114692.90804213</v>
      </c>
      <c r="AC278" s="153">
        <f t="shared" si="24"/>
        <v>6626236.4862193223</v>
      </c>
      <c r="AD278" s="153">
        <f t="shared" si="25"/>
        <v>945236.48621932231</v>
      </c>
      <c r="AE278" s="153">
        <f t="shared" si="26"/>
        <v>945236.48621932231</v>
      </c>
    </row>
    <row r="279" spans="1:31" x14ac:dyDescent="0.25">
      <c r="A279" t="s">
        <v>606</v>
      </c>
      <c r="B279" t="s">
        <v>278</v>
      </c>
      <c r="C279">
        <v>12976</v>
      </c>
      <c r="D279">
        <v>9756</v>
      </c>
      <c r="E279">
        <v>3220</v>
      </c>
      <c r="F279">
        <v>57</v>
      </c>
      <c r="G279">
        <v>96</v>
      </c>
      <c r="H279">
        <v>238</v>
      </c>
      <c r="I279">
        <v>514</v>
      </c>
      <c r="J279">
        <v>6658</v>
      </c>
      <c r="K279">
        <v>5525</v>
      </c>
      <c r="L279">
        <v>874</v>
      </c>
      <c r="M279">
        <v>503</v>
      </c>
      <c r="N279">
        <v>1881</v>
      </c>
      <c r="O279">
        <v>223</v>
      </c>
      <c r="P279">
        <v>9126000</v>
      </c>
      <c r="Q279">
        <v>8101000</v>
      </c>
      <c r="R279">
        <v>1025000</v>
      </c>
      <c r="S279">
        <v>298000</v>
      </c>
      <c r="T279" s="153">
        <f t="shared" si="27"/>
        <v>19337655</v>
      </c>
      <c r="U279" s="153">
        <f t="shared" si="28"/>
        <v>9584597.5</v>
      </c>
      <c r="V279" s="153">
        <f t="shared" si="29"/>
        <v>9584597.5</v>
      </c>
      <c r="X279" t="s">
        <v>278</v>
      </c>
      <c r="Y279">
        <v>9593</v>
      </c>
      <c r="Z279">
        <v>4061</v>
      </c>
      <c r="AA279">
        <v>8118652674.3398771</v>
      </c>
      <c r="AB279">
        <v>1071928203.774581</v>
      </c>
      <c r="AC279" s="153">
        <f t="shared" si="24"/>
        <v>23371154.015821975</v>
      </c>
      <c r="AD279" s="153">
        <f t="shared" si="25"/>
        <v>9717154.0158219747</v>
      </c>
      <c r="AE279" s="153">
        <f t="shared" si="26"/>
        <v>9717154.0158219747</v>
      </c>
    </row>
    <row r="280" spans="1:31" x14ac:dyDescent="0.25">
      <c r="A280" t="s">
        <v>602</v>
      </c>
      <c r="B280" t="s">
        <v>508</v>
      </c>
      <c r="C280">
        <v>19893</v>
      </c>
      <c r="D280">
        <v>11296</v>
      </c>
      <c r="E280">
        <v>8597</v>
      </c>
      <c r="F280">
        <v>2207</v>
      </c>
      <c r="G280">
        <v>2481</v>
      </c>
      <c r="H280">
        <v>2122</v>
      </c>
      <c r="I280">
        <v>1802</v>
      </c>
      <c r="J280">
        <v>7871</v>
      </c>
      <c r="K280">
        <v>8750</v>
      </c>
      <c r="L280">
        <v>1289</v>
      </c>
      <c r="M280">
        <v>604</v>
      </c>
      <c r="N280">
        <v>1551</v>
      </c>
      <c r="O280">
        <v>1201</v>
      </c>
      <c r="P280">
        <v>9698000</v>
      </c>
      <c r="Q280">
        <v>7779000</v>
      </c>
      <c r="R280">
        <v>1919000</v>
      </c>
      <c r="S280">
        <v>189000</v>
      </c>
      <c r="T280" s="153">
        <f t="shared" si="27"/>
        <v>22130385</v>
      </c>
      <c r="U280" s="153">
        <f t="shared" si="28"/>
        <v>5925782.5</v>
      </c>
      <c r="V280" s="153">
        <f t="shared" si="29"/>
        <v>5925782.5</v>
      </c>
      <c r="X280" t="s">
        <v>877</v>
      </c>
      <c r="Y280">
        <v>11031</v>
      </c>
      <c r="Z280">
        <v>8396</v>
      </c>
      <c r="AA280">
        <v>7539986329.4600134</v>
      </c>
      <c r="AB280">
        <v>1579680150.5174038</v>
      </c>
      <c r="AC280" s="153">
        <f t="shared" si="24"/>
        <v>24365978.726513539</v>
      </c>
      <c r="AD280" s="153">
        <f t="shared" si="25"/>
        <v>4938978.7265135385</v>
      </c>
      <c r="AE280" s="153">
        <f t="shared" si="26"/>
        <v>4938978.7265135385</v>
      </c>
    </row>
    <row r="281" spans="1:31" x14ac:dyDescent="0.25">
      <c r="A281" t="s">
        <v>610</v>
      </c>
      <c r="B281" t="s">
        <v>398</v>
      </c>
      <c r="C281">
        <v>17063</v>
      </c>
      <c r="D281">
        <v>6842</v>
      </c>
      <c r="E281">
        <v>10221</v>
      </c>
      <c r="F281">
        <v>1099</v>
      </c>
      <c r="G281">
        <v>580</v>
      </c>
      <c r="H281">
        <v>190</v>
      </c>
      <c r="I281">
        <v>769</v>
      </c>
      <c r="J281">
        <v>4872</v>
      </c>
      <c r="K281">
        <v>7431</v>
      </c>
      <c r="L281">
        <v>587</v>
      </c>
      <c r="M281">
        <v>567</v>
      </c>
      <c r="N281">
        <v>1792</v>
      </c>
      <c r="O281">
        <v>201</v>
      </c>
      <c r="P281">
        <v>6305000</v>
      </c>
      <c r="Q281">
        <v>4346000</v>
      </c>
      <c r="R281">
        <v>1959000</v>
      </c>
      <c r="S281">
        <v>165000</v>
      </c>
      <c r="T281" s="153">
        <f t="shared" si="27"/>
        <v>15742920</v>
      </c>
      <c r="U281" s="153">
        <f t="shared" si="28"/>
        <v>1303740</v>
      </c>
      <c r="V281" s="153">
        <f t="shared" si="29"/>
        <v>1303740</v>
      </c>
      <c r="X281" t="s">
        <v>398</v>
      </c>
      <c r="Y281">
        <v>6739</v>
      </c>
      <c r="Z281">
        <v>10588</v>
      </c>
      <c r="AA281">
        <v>4284170375.0794659</v>
      </c>
      <c r="AB281">
        <v>1990974050.3948851</v>
      </c>
      <c r="AC281" s="153">
        <f t="shared" si="24"/>
        <v>18824707.142379537</v>
      </c>
      <c r="AD281" s="153">
        <f t="shared" si="25"/>
        <v>1497707.1423795372</v>
      </c>
      <c r="AE281" s="153">
        <f t="shared" si="26"/>
        <v>1497707.1423795372</v>
      </c>
    </row>
    <row r="282" spans="1:31" x14ac:dyDescent="0.25">
      <c r="A282" t="s">
        <v>602</v>
      </c>
      <c r="B282" t="s">
        <v>181</v>
      </c>
      <c r="C282">
        <v>1633</v>
      </c>
      <c r="D282">
        <v>932</v>
      </c>
      <c r="E282">
        <v>701</v>
      </c>
      <c r="F282">
        <v>0</v>
      </c>
      <c r="G282">
        <v>115</v>
      </c>
      <c r="H282">
        <v>2989</v>
      </c>
      <c r="I282">
        <v>593</v>
      </c>
      <c r="J282">
        <v>830</v>
      </c>
      <c r="K282">
        <v>706</v>
      </c>
      <c r="L282">
        <v>141</v>
      </c>
      <c r="M282">
        <v>7</v>
      </c>
      <c r="N282">
        <v>207</v>
      </c>
      <c r="O282">
        <v>312</v>
      </c>
      <c r="P282">
        <v>1171000</v>
      </c>
      <c r="Q282">
        <v>950000</v>
      </c>
      <c r="R282">
        <v>221000</v>
      </c>
      <c r="S282">
        <v>309000</v>
      </c>
      <c r="T282" s="153">
        <f t="shared" si="27"/>
        <v>2651760</v>
      </c>
      <c r="U282" s="153">
        <f t="shared" si="28"/>
        <v>1460720</v>
      </c>
      <c r="V282" s="153">
        <f t="shared" si="29"/>
        <v>1460720</v>
      </c>
      <c r="X282" t="s">
        <v>181</v>
      </c>
      <c r="Y282">
        <v>928</v>
      </c>
      <c r="Z282">
        <v>876</v>
      </c>
      <c r="AA282">
        <v>937373737.37373734</v>
      </c>
      <c r="AB282">
        <v>216296296.29629627</v>
      </c>
      <c r="AC282" s="153">
        <f t="shared" si="24"/>
        <v>3119869.9887766554</v>
      </c>
      <c r="AD282" s="153">
        <f t="shared" si="25"/>
        <v>1315869.9887766554</v>
      </c>
      <c r="AE282" s="153">
        <f t="shared" si="26"/>
        <v>1315869.9887766554</v>
      </c>
    </row>
    <row r="283" spans="1:31" x14ac:dyDescent="0.25">
      <c r="A283" t="s">
        <v>600</v>
      </c>
      <c r="B283" t="s">
        <v>322</v>
      </c>
      <c r="C283">
        <v>1939</v>
      </c>
      <c r="D283">
        <v>1086</v>
      </c>
      <c r="E283">
        <v>853</v>
      </c>
      <c r="F283">
        <v>4378</v>
      </c>
      <c r="G283">
        <v>162</v>
      </c>
      <c r="H283">
        <v>5531</v>
      </c>
      <c r="I283">
        <v>1177</v>
      </c>
      <c r="J283">
        <v>3281</v>
      </c>
      <c r="K283">
        <v>1824</v>
      </c>
      <c r="L283">
        <v>294</v>
      </c>
      <c r="M283">
        <v>55</v>
      </c>
      <c r="N283">
        <v>1014</v>
      </c>
      <c r="O283">
        <v>223</v>
      </c>
      <c r="P283">
        <v>3069000</v>
      </c>
      <c r="Q283">
        <v>2389000</v>
      </c>
      <c r="R283">
        <v>680000</v>
      </c>
      <c r="S283">
        <v>279000</v>
      </c>
      <c r="T283" s="153">
        <f t="shared" si="27"/>
        <v>7141845</v>
      </c>
      <c r="U283" s="153">
        <f t="shared" si="28"/>
        <v>6393152.5</v>
      </c>
      <c r="V283" s="153">
        <f t="shared" si="29"/>
        <v>6393152.5</v>
      </c>
      <c r="X283" t="s">
        <v>322</v>
      </c>
      <c r="Y283">
        <v>1042</v>
      </c>
      <c r="Z283">
        <v>851</v>
      </c>
      <c r="AA283">
        <v>2378995433.7899547</v>
      </c>
      <c r="AB283">
        <v>672195892.57503951</v>
      </c>
      <c r="AC283" s="153">
        <f t="shared" si="24"/>
        <v>8479393.8265994377</v>
      </c>
      <c r="AD283" s="153">
        <f t="shared" si="25"/>
        <v>6586393.8265994377</v>
      </c>
      <c r="AE283" s="153">
        <f t="shared" si="26"/>
        <v>6586393.8265994377</v>
      </c>
    </row>
    <row r="284" spans="1:31" x14ac:dyDescent="0.25">
      <c r="A284" t="s">
        <v>603</v>
      </c>
      <c r="B284" t="s">
        <v>377</v>
      </c>
      <c r="C284">
        <v>5484</v>
      </c>
      <c r="D284">
        <v>3631</v>
      </c>
      <c r="E284">
        <v>1853</v>
      </c>
      <c r="F284">
        <v>18</v>
      </c>
      <c r="G284">
        <v>2690</v>
      </c>
      <c r="H284">
        <v>0</v>
      </c>
      <c r="I284">
        <v>127</v>
      </c>
      <c r="J284">
        <v>2784</v>
      </c>
      <c r="K284">
        <v>3862</v>
      </c>
      <c r="L284">
        <v>450</v>
      </c>
      <c r="M284">
        <v>0</v>
      </c>
      <c r="N284">
        <v>798</v>
      </c>
      <c r="O284">
        <v>162</v>
      </c>
      <c r="P284">
        <v>5433000</v>
      </c>
      <c r="Q284">
        <v>4677000</v>
      </c>
      <c r="R284">
        <v>756000</v>
      </c>
      <c r="S284">
        <v>297000</v>
      </c>
      <c r="T284" s="153">
        <f t="shared" si="27"/>
        <v>11790045</v>
      </c>
      <c r="U284" s="153">
        <f t="shared" si="28"/>
        <v>8271052.5</v>
      </c>
      <c r="V284" s="153">
        <f t="shared" si="29"/>
        <v>8271052.5</v>
      </c>
      <c r="X284" t="s">
        <v>377</v>
      </c>
      <c r="Y284">
        <v>3496</v>
      </c>
      <c r="Z284">
        <v>1995</v>
      </c>
      <c r="AA284">
        <v>4618229854.6895638</v>
      </c>
      <c r="AB284">
        <v>770865533.23029351</v>
      </c>
      <c r="AC284" s="153">
        <f t="shared" si="24"/>
        <v>14028284.337765941</v>
      </c>
      <c r="AD284" s="153">
        <f t="shared" si="25"/>
        <v>8537284.3377659414</v>
      </c>
      <c r="AE284" s="153">
        <f t="shared" si="26"/>
        <v>8537284.3377659414</v>
      </c>
    </row>
    <row r="285" spans="1:31" x14ac:dyDescent="0.25">
      <c r="A285" t="s">
        <v>610</v>
      </c>
      <c r="B285" t="s">
        <v>399</v>
      </c>
      <c r="C285">
        <v>4305</v>
      </c>
      <c r="D285">
        <v>2511</v>
      </c>
      <c r="E285">
        <v>1794</v>
      </c>
      <c r="F285">
        <v>18</v>
      </c>
      <c r="G285">
        <v>213</v>
      </c>
      <c r="H285">
        <v>222</v>
      </c>
      <c r="I285">
        <v>290</v>
      </c>
      <c r="J285">
        <v>2266</v>
      </c>
      <c r="K285">
        <v>2509</v>
      </c>
      <c r="L285">
        <v>265</v>
      </c>
      <c r="M285">
        <v>517</v>
      </c>
      <c r="N285">
        <v>507</v>
      </c>
      <c r="O285">
        <v>149</v>
      </c>
      <c r="P285">
        <v>2511000</v>
      </c>
      <c r="Q285">
        <v>2021000</v>
      </c>
      <c r="R285">
        <v>490000</v>
      </c>
      <c r="S285">
        <v>188000</v>
      </c>
      <c r="T285" s="153">
        <f t="shared" si="27"/>
        <v>5716905</v>
      </c>
      <c r="U285" s="153">
        <f t="shared" si="28"/>
        <v>2364722.5</v>
      </c>
      <c r="V285" s="153">
        <f t="shared" si="29"/>
        <v>2364722.5</v>
      </c>
      <c r="X285" t="s">
        <v>399</v>
      </c>
      <c r="Y285">
        <v>2380</v>
      </c>
      <c r="Z285">
        <v>2123</v>
      </c>
      <c r="AA285">
        <v>1994970662.1961441</v>
      </c>
      <c r="AB285">
        <v>502485207.10059178</v>
      </c>
      <c r="AC285" s="153">
        <f t="shared" si="24"/>
        <v>6831865.8113155132</v>
      </c>
      <c r="AD285" s="153">
        <f t="shared" si="25"/>
        <v>2328865.8113155132</v>
      </c>
      <c r="AE285" s="153">
        <f t="shared" si="26"/>
        <v>2328865.8113155132</v>
      </c>
    </row>
    <row r="286" spans="1:31" x14ac:dyDescent="0.25">
      <c r="A286" t="s">
        <v>601</v>
      </c>
      <c r="B286" t="s">
        <v>252</v>
      </c>
      <c r="C286">
        <v>8937</v>
      </c>
      <c r="D286">
        <v>4560</v>
      </c>
      <c r="E286">
        <v>4377</v>
      </c>
      <c r="F286">
        <v>2471</v>
      </c>
      <c r="G286">
        <v>1290</v>
      </c>
      <c r="H286">
        <v>275</v>
      </c>
      <c r="I286">
        <v>694</v>
      </c>
      <c r="J286">
        <v>3983</v>
      </c>
      <c r="K286">
        <v>0</v>
      </c>
      <c r="L286">
        <v>558</v>
      </c>
      <c r="M286">
        <v>228</v>
      </c>
      <c r="N286">
        <v>779</v>
      </c>
      <c r="O286">
        <v>448</v>
      </c>
      <c r="P286">
        <v>4537000</v>
      </c>
      <c r="Q286">
        <v>3479000</v>
      </c>
      <c r="R286">
        <v>1058000</v>
      </c>
      <c r="S286">
        <v>198000</v>
      </c>
      <c r="T286" s="153">
        <f t="shared" si="27"/>
        <v>10658475</v>
      </c>
      <c r="U286" s="153">
        <f t="shared" si="28"/>
        <v>3497887.5</v>
      </c>
      <c r="V286" s="153">
        <f t="shared" si="29"/>
        <v>3497887.5</v>
      </c>
      <c r="X286" t="s">
        <v>252</v>
      </c>
      <c r="Y286">
        <v>4420</v>
      </c>
      <c r="Z286">
        <v>4183</v>
      </c>
      <c r="AA286">
        <v>3521912350.5976095</v>
      </c>
      <c r="AB286">
        <v>924215642.95183396</v>
      </c>
      <c r="AC286" s="153">
        <f t="shared" si="24"/>
        <v>12230062.574858908</v>
      </c>
      <c r="AD286" s="153">
        <f t="shared" si="25"/>
        <v>3627062.5748589076</v>
      </c>
      <c r="AE286" s="153">
        <f t="shared" si="26"/>
        <v>3627062.5748589076</v>
      </c>
    </row>
    <row r="287" spans="1:31" x14ac:dyDescent="0.25">
      <c r="A287" t="s">
        <v>599</v>
      </c>
      <c r="B287" t="s">
        <v>451</v>
      </c>
      <c r="C287">
        <v>41287</v>
      </c>
      <c r="D287">
        <v>19760</v>
      </c>
      <c r="E287">
        <v>21527</v>
      </c>
      <c r="F287">
        <v>11610</v>
      </c>
      <c r="G287">
        <v>723</v>
      </c>
      <c r="H287">
        <v>400</v>
      </c>
      <c r="I287">
        <v>2567</v>
      </c>
      <c r="J287">
        <v>14600</v>
      </c>
      <c r="K287">
        <v>25035</v>
      </c>
      <c r="L287">
        <v>1926</v>
      </c>
      <c r="M287">
        <v>222</v>
      </c>
      <c r="N287">
        <v>6652</v>
      </c>
      <c r="O287">
        <v>1756</v>
      </c>
      <c r="P287">
        <v>24750000</v>
      </c>
      <c r="Q287">
        <v>18890000</v>
      </c>
      <c r="R287">
        <v>5860000</v>
      </c>
      <c r="S287">
        <v>193000</v>
      </c>
      <c r="T287" s="153">
        <f t="shared" si="27"/>
        <v>58312050</v>
      </c>
      <c r="U287" s="153">
        <f t="shared" si="28"/>
        <v>26743725</v>
      </c>
      <c r="V287" s="153">
        <f t="shared" si="29"/>
        <v>26743725</v>
      </c>
      <c r="X287" t="s">
        <v>451</v>
      </c>
      <c r="Y287">
        <v>19247</v>
      </c>
      <c r="Z287">
        <v>22350</v>
      </c>
      <c r="AA287">
        <v>18851126346.718903</v>
      </c>
      <c r="AB287">
        <v>5814255983.3506765</v>
      </c>
      <c r="AC287" s="153">
        <f t="shared" si="24"/>
        <v>69412296.319095716</v>
      </c>
      <c r="AD287" s="153">
        <f t="shared" si="25"/>
        <v>27815296.319095716</v>
      </c>
      <c r="AE287" s="153">
        <f t="shared" si="26"/>
        <v>27815296.319095716</v>
      </c>
    </row>
    <row r="288" spans="1:31" x14ac:dyDescent="0.25">
      <c r="A288" t="s">
        <v>604</v>
      </c>
      <c r="B288" t="s">
        <v>204</v>
      </c>
      <c r="C288">
        <v>4001</v>
      </c>
      <c r="D288">
        <v>2270</v>
      </c>
      <c r="E288">
        <v>1731</v>
      </c>
      <c r="F288">
        <v>0</v>
      </c>
      <c r="G288">
        <v>0</v>
      </c>
      <c r="H288">
        <v>190</v>
      </c>
      <c r="I288">
        <v>106</v>
      </c>
      <c r="J288">
        <v>1971</v>
      </c>
      <c r="K288">
        <v>941</v>
      </c>
      <c r="L288">
        <v>259</v>
      </c>
      <c r="M288">
        <v>0</v>
      </c>
      <c r="N288">
        <v>496</v>
      </c>
      <c r="O288">
        <v>27</v>
      </c>
      <c r="P288">
        <v>2608000</v>
      </c>
      <c r="Q288">
        <v>1972000</v>
      </c>
      <c r="R288">
        <v>636000</v>
      </c>
      <c r="S288">
        <v>257000</v>
      </c>
      <c r="T288" s="153">
        <f t="shared" si="27"/>
        <v>6179820</v>
      </c>
      <c r="U288" s="153">
        <f t="shared" si="28"/>
        <v>3208790</v>
      </c>
      <c r="V288" s="153">
        <f t="shared" si="29"/>
        <v>3208790</v>
      </c>
      <c r="X288" t="s">
        <v>204</v>
      </c>
      <c r="Y288">
        <v>2257</v>
      </c>
      <c r="Z288">
        <v>2136</v>
      </c>
      <c r="AA288">
        <v>1988546255.506608</v>
      </c>
      <c r="AB288">
        <v>716778523.48993278</v>
      </c>
      <c r="AC288" s="153">
        <f t="shared" si="24"/>
        <v>7793269.9208625294</v>
      </c>
      <c r="AD288" s="153">
        <f t="shared" si="25"/>
        <v>3400269.9208625294</v>
      </c>
      <c r="AE288" s="153">
        <f t="shared" si="26"/>
        <v>3400269.9208625294</v>
      </c>
    </row>
    <row r="289" spans="1:31" x14ac:dyDescent="0.25">
      <c r="A289" t="s">
        <v>604</v>
      </c>
      <c r="B289" t="s">
        <v>205</v>
      </c>
      <c r="C289">
        <v>6557</v>
      </c>
      <c r="D289">
        <v>4300</v>
      </c>
      <c r="E289">
        <v>2257</v>
      </c>
      <c r="F289">
        <v>0</v>
      </c>
      <c r="G289">
        <v>0</v>
      </c>
      <c r="H289">
        <v>45</v>
      </c>
      <c r="I289">
        <v>5</v>
      </c>
      <c r="J289">
        <v>3501</v>
      </c>
      <c r="K289">
        <v>2093</v>
      </c>
      <c r="L289">
        <v>418</v>
      </c>
      <c r="M289">
        <v>580</v>
      </c>
      <c r="N289">
        <v>790</v>
      </c>
      <c r="O289">
        <v>27</v>
      </c>
      <c r="P289">
        <v>3267000</v>
      </c>
      <c r="Q289">
        <v>2673000</v>
      </c>
      <c r="R289">
        <v>594000</v>
      </c>
      <c r="S289">
        <v>206000</v>
      </c>
      <c r="T289" s="153">
        <f t="shared" si="27"/>
        <v>7355205</v>
      </c>
      <c r="U289" s="153">
        <f t="shared" si="28"/>
        <v>2024072.5</v>
      </c>
      <c r="V289" s="153">
        <f t="shared" si="29"/>
        <v>2024072.5</v>
      </c>
      <c r="X289" t="s">
        <v>205</v>
      </c>
      <c r="Y289">
        <v>3544</v>
      </c>
      <c r="Z289">
        <v>2063</v>
      </c>
      <c r="AA289">
        <v>2695057034.2205324</v>
      </c>
      <c r="AB289">
        <v>577709325.11901438</v>
      </c>
      <c r="AC289" s="153">
        <f t="shared" si="24"/>
        <v>8768816.6254069619</v>
      </c>
      <c r="AD289" s="153">
        <f t="shared" si="25"/>
        <v>3161816.6254069619</v>
      </c>
      <c r="AE289" s="153">
        <f t="shared" si="26"/>
        <v>3161816.6254069619</v>
      </c>
    </row>
    <row r="290" spans="1:31" x14ac:dyDescent="0.25">
      <c r="A290" t="s">
        <v>598</v>
      </c>
      <c r="B290" t="s">
        <v>138</v>
      </c>
      <c r="C290">
        <v>5418</v>
      </c>
      <c r="D290">
        <v>4111</v>
      </c>
      <c r="E290">
        <v>1307</v>
      </c>
      <c r="F290">
        <v>0</v>
      </c>
      <c r="G290">
        <v>0</v>
      </c>
      <c r="H290">
        <v>377</v>
      </c>
      <c r="I290">
        <v>65</v>
      </c>
      <c r="J290">
        <v>2720</v>
      </c>
      <c r="K290">
        <v>2550</v>
      </c>
      <c r="L290">
        <v>448</v>
      </c>
      <c r="M290">
        <v>453</v>
      </c>
      <c r="N290">
        <v>1213</v>
      </c>
      <c r="O290">
        <v>397</v>
      </c>
      <c r="P290">
        <v>4177000</v>
      </c>
      <c r="Q290">
        <v>3620000</v>
      </c>
      <c r="R290">
        <v>557000</v>
      </c>
      <c r="S290">
        <v>256000</v>
      </c>
      <c r="T290" s="153">
        <f t="shared" si="27"/>
        <v>9018270</v>
      </c>
      <c r="U290" s="153">
        <f t="shared" si="28"/>
        <v>5103315</v>
      </c>
      <c r="V290" s="153">
        <f t="shared" si="29"/>
        <v>5103315</v>
      </c>
      <c r="X290" t="s">
        <v>138</v>
      </c>
      <c r="Y290">
        <v>3826</v>
      </c>
      <c r="Z290">
        <v>1379</v>
      </c>
      <c r="AA290">
        <v>3425246195.1656222</v>
      </c>
      <c r="AB290">
        <v>571251035.62551785</v>
      </c>
      <c r="AC290" s="153">
        <f t="shared" si="24"/>
        <v>10402285.385386202</v>
      </c>
      <c r="AD290" s="153">
        <f t="shared" si="25"/>
        <v>5197285.3853862025</v>
      </c>
      <c r="AE290" s="153">
        <f t="shared" si="26"/>
        <v>5197285.3853862025</v>
      </c>
    </row>
    <row r="291" spans="1:31" x14ac:dyDescent="0.25">
      <c r="A291" t="s">
        <v>602</v>
      </c>
      <c r="B291" t="s">
        <v>182</v>
      </c>
      <c r="C291">
        <v>7730</v>
      </c>
      <c r="D291">
        <v>5455</v>
      </c>
      <c r="E291">
        <v>2275</v>
      </c>
      <c r="F291">
        <v>0</v>
      </c>
      <c r="G291">
        <v>2500</v>
      </c>
      <c r="H291">
        <v>284</v>
      </c>
      <c r="I291">
        <v>46</v>
      </c>
      <c r="J291">
        <v>2049</v>
      </c>
      <c r="K291">
        <v>2971</v>
      </c>
      <c r="L291">
        <v>394</v>
      </c>
      <c r="M291">
        <v>17</v>
      </c>
      <c r="N291">
        <v>287</v>
      </c>
      <c r="O291">
        <v>394</v>
      </c>
      <c r="P291">
        <v>3051000</v>
      </c>
      <c r="Q291">
        <v>2606000</v>
      </c>
      <c r="R291">
        <v>445000</v>
      </c>
      <c r="S291">
        <v>192000</v>
      </c>
      <c r="T291" s="153">
        <f t="shared" si="27"/>
        <v>6659880</v>
      </c>
      <c r="U291" s="153">
        <f t="shared" si="28"/>
        <v>39860</v>
      </c>
      <c r="V291" s="153">
        <f t="shared" si="29"/>
        <v>39860</v>
      </c>
      <c r="X291" t="s">
        <v>182</v>
      </c>
      <c r="Y291">
        <v>5252</v>
      </c>
      <c r="Z291">
        <v>2476</v>
      </c>
      <c r="AA291">
        <v>2589743589.7435894</v>
      </c>
      <c r="AB291">
        <v>452154857.56026292</v>
      </c>
      <c r="AC291" s="153">
        <f t="shared" si="24"/>
        <v>7957124.0596105447</v>
      </c>
      <c r="AD291" s="153">
        <f t="shared" si="25"/>
        <v>229124.0596105447</v>
      </c>
      <c r="AE291" s="153">
        <f t="shared" si="26"/>
        <v>229124.0596105447</v>
      </c>
    </row>
    <row r="292" spans="1:31" x14ac:dyDescent="0.25">
      <c r="A292" t="s">
        <v>599</v>
      </c>
      <c r="B292" t="s">
        <v>452</v>
      </c>
      <c r="C292">
        <v>9127</v>
      </c>
      <c r="D292">
        <v>4434</v>
      </c>
      <c r="E292">
        <v>4693</v>
      </c>
      <c r="F292">
        <v>2744</v>
      </c>
      <c r="G292">
        <v>0</v>
      </c>
      <c r="H292">
        <v>0</v>
      </c>
      <c r="I292">
        <v>197</v>
      </c>
      <c r="J292">
        <v>4211</v>
      </c>
      <c r="K292">
        <v>4321</v>
      </c>
      <c r="L292">
        <v>513</v>
      </c>
      <c r="M292">
        <v>130</v>
      </c>
      <c r="N292">
        <v>1014</v>
      </c>
      <c r="O292">
        <v>424</v>
      </c>
      <c r="P292">
        <v>5497000</v>
      </c>
      <c r="Q292">
        <v>4323000</v>
      </c>
      <c r="R292">
        <v>1174000</v>
      </c>
      <c r="S292">
        <v>237000</v>
      </c>
      <c r="T292" s="153">
        <f t="shared" si="27"/>
        <v>12708255</v>
      </c>
      <c r="U292" s="153">
        <f t="shared" si="28"/>
        <v>5699297.5</v>
      </c>
      <c r="V292" s="153">
        <f t="shared" si="29"/>
        <v>5699297.5</v>
      </c>
      <c r="X292" t="s">
        <v>452</v>
      </c>
      <c r="Y292">
        <v>4254</v>
      </c>
      <c r="Z292">
        <v>4930</v>
      </c>
      <c r="AA292">
        <v>4301314459.0495443</v>
      </c>
      <c r="AB292">
        <v>1182254196.6426859</v>
      </c>
      <c r="AC292" s="153">
        <f t="shared" si="24"/>
        <v>15180300.575717382</v>
      </c>
      <c r="AD292" s="153">
        <f t="shared" si="25"/>
        <v>5996300.5757173821</v>
      </c>
      <c r="AE292" s="153">
        <f t="shared" si="26"/>
        <v>5996300.5757173821</v>
      </c>
    </row>
    <row r="293" spans="1:31" x14ac:dyDescent="0.25">
      <c r="A293" t="s">
        <v>600</v>
      </c>
      <c r="B293" t="s">
        <v>323</v>
      </c>
      <c r="C293">
        <v>2610</v>
      </c>
      <c r="D293">
        <v>1938</v>
      </c>
      <c r="E293">
        <v>672</v>
      </c>
      <c r="F293">
        <v>3</v>
      </c>
      <c r="G293">
        <v>12</v>
      </c>
      <c r="H293">
        <v>50</v>
      </c>
      <c r="I293">
        <v>66</v>
      </c>
      <c r="J293">
        <v>965</v>
      </c>
      <c r="K293">
        <v>1467</v>
      </c>
      <c r="L293">
        <v>149</v>
      </c>
      <c r="M293">
        <v>13</v>
      </c>
      <c r="N293">
        <v>257</v>
      </c>
      <c r="O293">
        <v>48</v>
      </c>
      <c r="P293">
        <v>1643000</v>
      </c>
      <c r="Q293">
        <v>1466000</v>
      </c>
      <c r="R293">
        <v>177000</v>
      </c>
      <c r="S293">
        <v>260000</v>
      </c>
      <c r="T293" s="153">
        <f t="shared" si="27"/>
        <v>3467100</v>
      </c>
      <c r="U293" s="153">
        <f t="shared" si="28"/>
        <v>1434950</v>
      </c>
      <c r="V293" s="153">
        <f t="shared" si="29"/>
        <v>1434950</v>
      </c>
      <c r="X293" t="s">
        <v>323</v>
      </c>
      <c r="Y293">
        <v>1894</v>
      </c>
      <c r="Z293">
        <v>657</v>
      </c>
      <c r="AA293">
        <v>1465944272.4458203</v>
      </c>
      <c r="AB293">
        <v>153720168.46045858</v>
      </c>
      <c r="AC293" s="153">
        <f t="shared" si="24"/>
        <v>4038587.8837311836</v>
      </c>
      <c r="AD293" s="153">
        <f t="shared" si="25"/>
        <v>1487587.8837311836</v>
      </c>
      <c r="AE293" s="153">
        <f t="shared" si="26"/>
        <v>1487587.8837311836</v>
      </c>
    </row>
    <row r="294" spans="1:31" x14ac:dyDescent="0.25">
      <c r="A294" t="s">
        <v>600</v>
      </c>
      <c r="B294" t="s">
        <v>324</v>
      </c>
      <c r="C294">
        <v>7250</v>
      </c>
      <c r="D294">
        <v>4052</v>
      </c>
      <c r="E294">
        <v>3198</v>
      </c>
      <c r="F294">
        <v>2</v>
      </c>
      <c r="G294">
        <v>1532</v>
      </c>
      <c r="H294">
        <v>30</v>
      </c>
      <c r="I294">
        <v>149</v>
      </c>
      <c r="J294">
        <v>3655</v>
      </c>
      <c r="K294">
        <v>3323</v>
      </c>
      <c r="L294">
        <v>579</v>
      </c>
      <c r="M294">
        <v>339</v>
      </c>
      <c r="N294">
        <v>1111</v>
      </c>
      <c r="O294">
        <v>106</v>
      </c>
      <c r="P294">
        <v>4011000</v>
      </c>
      <c r="Q294">
        <v>3291000</v>
      </c>
      <c r="R294">
        <v>720000</v>
      </c>
      <c r="S294">
        <v>258000</v>
      </c>
      <c r="T294" s="153">
        <f t="shared" si="27"/>
        <v>9012555</v>
      </c>
      <c r="U294" s="153">
        <f t="shared" si="28"/>
        <v>3264647.5</v>
      </c>
      <c r="V294" s="153">
        <f t="shared" si="29"/>
        <v>3264647.5</v>
      </c>
      <c r="X294" t="s">
        <v>324</v>
      </c>
      <c r="Y294">
        <v>3928</v>
      </c>
      <c r="Z294">
        <v>3172</v>
      </c>
      <c r="AA294">
        <v>3306397306.3973064</v>
      </c>
      <c r="AB294">
        <v>689415344.49032819</v>
      </c>
      <c r="AC294" s="153">
        <f t="shared" si="24"/>
        <v>10669825.888140745</v>
      </c>
      <c r="AD294" s="153">
        <f t="shared" si="25"/>
        <v>3569825.8881407455</v>
      </c>
      <c r="AE294" s="153">
        <f t="shared" si="26"/>
        <v>3569825.8881407455</v>
      </c>
    </row>
    <row r="295" spans="1:31" x14ac:dyDescent="0.25">
      <c r="A295" t="s">
        <v>605</v>
      </c>
      <c r="B295" t="s">
        <v>498</v>
      </c>
      <c r="C295">
        <v>4405</v>
      </c>
      <c r="D295">
        <v>2552</v>
      </c>
      <c r="E295">
        <v>1853</v>
      </c>
      <c r="F295">
        <v>0</v>
      </c>
      <c r="G295">
        <v>18</v>
      </c>
      <c r="H295">
        <v>33</v>
      </c>
      <c r="I295">
        <v>62</v>
      </c>
      <c r="J295">
        <v>2181</v>
      </c>
      <c r="K295">
        <v>1622</v>
      </c>
      <c r="L295">
        <v>221</v>
      </c>
      <c r="M295">
        <v>301</v>
      </c>
      <c r="N295">
        <v>381</v>
      </c>
      <c r="O295">
        <v>483</v>
      </c>
      <c r="P295">
        <v>1642000</v>
      </c>
      <c r="Q295">
        <v>1309000</v>
      </c>
      <c r="R295">
        <v>333000</v>
      </c>
      <c r="S295">
        <v>210000</v>
      </c>
      <c r="T295" s="153">
        <f t="shared" si="27"/>
        <v>3762375</v>
      </c>
      <c r="U295" s="153">
        <f t="shared" si="28"/>
        <v>-15562.5</v>
      </c>
      <c r="V295" s="153">
        <f t="shared" si="29"/>
        <v>0</v>
      </c>
      <c r="X295" t="s">
        <v>498</v>
      </c>
      <c r="Y295">
        <v>2388</v>
      </c>
      <c r="Z295">
        <v>1816</v>
      </c>
      <c r="AA295">
        <v>1265500794.9125595</v>
      </c>
      <c r="AB295">
        <v>325098460.43680632</v>
      </c>
      <c r="AC295" s="153">
        <f t="shared" si="24"/>
        <v>4362682.2647503754</v>
      </c>
      <c r="AD295" s="153">
        <f t="shared" si="25"/>
        <v>158682.26475037541</v>
      </c>
      <c r="AE295" s="153">
        <f t="shared" si="26"/>
        <v>158682.26475037541</v>
      </c>
    </row>
    <row r="296" spans="1:31" x14ac:dyDescent="0.25">
      <c r="A296" t="s">
        <v>606</v>
      </c>
      <c r="B296" t="s">
        <v>279</v>
      </c>
      <c r="C296">
        <v>102027</v>
      </c>
      <c r="D296">
        <v>38344</v>
      </c>
      <c r="E296">
        <v>63683</v>
      </c>
      <c r="F296">
        <v>43109</v>
      </c>
      <c r="G296">
        <v>604</v>
      </c>
      <c r="H296">
        <v>3494</v>
      </c>
      <c r="I296">
        <v>810</v>
      </c>
      <c r="J296">
        <v>38365</v>
      </c>
      <c r="K296">
        <v>36301</v>
      </c>
      <c r="L296">
        <v>6261</v>
      </c>
      <c r="M296">
        <v>1036</v>
      </c>
      <c r="N296">
        <v>14494</v>
      </c>
      <c r="O296">
        <v>2935</v>
      </c>
      <c r="P296">
        <v>49765000</v>
      </c>
      <c r="Q296">
        <v>38606000</v>
      </c>
      <c r="R296">
        <v>11159000</v>
      </c>
      <c r="S296">
        <v>262000</v>
      </c>
      <c r="T296" s="153">
        <f t="shared" si="27"/>
        <v>116060220</v>
      </c>
      <c r="U296" s="153">
        <f t="shared" si="28"/>
        <v>33376590</v>
      </c>
      <c r="V296" s="153">
        <f t="shared" si="29"/>
        <v>33376590</v>
      </c>
      <c r="X296" t="s">
        <v>279</v>
      </c>
      <c r="Y296">
        <v>34523</v>
      </c>
      <c r="Z296">
        <v>61734</v>
      </c>
      <c r="AA296">
        <v>37854166666.666664</v>
      </c>
      <c r="AB296">
        <v>10762552301.25523</v>
      </c>
      <c r="AC296" s="153">
        <f t="shared" si="24"/>
        <v>135226393.77033937</v>
      </c>
      <c r="AD296" s="153">
        <f t="shared" si="25"/>
        <v>38969393.77033937</v>
      </c>
      <c r="AE296" s="153">
        <f t="shared" si="26"/>
        <v>38969393.77033937</v>
      </c>
    </row>
    <row r="297" spans="1:31" x14ac:dyDescent="0.25">
      <c r="A297" t="s">
        <v>606</v>
      </c>
      <c r="B297" t="s">
        <v>280</v>
      </c>
      <c r="C297">
        <v>10127</v>
      </c>
      <c r="D297">
        <v>7728</v>
      </c>
      <c r="E297">
        <v>2399</v>
      </c>
      <c r="F297">
        <v>17</v>
      </c>
      <c r="G297">
        <v>731</v>
      </c>
      <c r="H297">
        <v>610</v>
      </c>
      <c r="I297">
        <v>978</v>
      </c>
      <c r="J297">
        <v>5602</v>
      </c>
      <c r="K297">
        <v>5262</v>
      </c>
      <c r="L297">
        <v>1008</v>
      </c>
      <c r="M297">
        <v>871</v>
      </c>
      <c r="N297">
        <v>1477</v>
      </c>
      <c r="O297">
        <v>194</v>
      </c>
      <c r="P297">
        <v>7787000</v>
      </c>
      <c r="Q297">
        <v>6870000</v>
      </c>
      <c r="R297">
        <v>917000</v>
      </c>
      <c r="S297">
        <v>331000</v>
      </c>
      <c r="T297" s="153">
        <f t="shared" si="27"/>
        <v>16581120</v>
      </c>
      <c r="U297" s="153">
        <f t="shared" si="28"/>
        <v>9217640</v>
      </c>
      <c r="V297" s="153">
        <f t="shared" si="29"/>
        <v>9217640</v>
      </c>
      <c r="X297" t="s">
        <v>280</v>
      </c>
      <c r="Y297">
        <v>7582</v>
      </c>
      <c r="Z297">
        <v>2862</v>
      </c>
      <c r="AA297">
        <v>6812219227.3135662</v>
      </c>
      <c r="AB297">
        <v>917013777.63537312</v>
      </c>
      <c r="AC297" s="153">
        <f t="shared" si="24"/>
        <v>19690386.006205339</v>
      </c>
      <c r="AD297" s="153">
        <f t="shared" si="25"/>
        <v>9246386.006205339</v>
      </c>
      <c r="AE297" s="153">
        <f t="shared" si="26"/>
        <v>9246386.006205339</v>
      </c>
    </row>
    <row r="298" spans="1:31" x14ac:dyDescent="0.25">
      <c r="A298" t="s">
        <v>608</v>
      </c>
      <c r="B298" t="s">
        <v>488</v>
      </c>
      <c r="C298">
        <v>1904</v>
      </c>
      <c r="D298">
        <v>1375</v>
      </c>
      <c r="E298">
        <v>529</v>
      </c>
      <c r="F298">
        <v>575</v>
      </c>
      <c r="G298">
        <v>0</v>
      </c>
      <c r="H298">
        <v>879</v>
      </c>
      <c r="I298">
        <v>81</v>
      </c>
      <c r="J298">
        <v>1276</v>
      </c>
      <c r="K298">
        <v>1317</v>
      </c>
      <c r="L298">
        <v>178</v>
      </c>
      <c r="M298">
        <v>0</v>
      </c>
      <c r="N298">
        <v>135</v>
      </c>
      <c r="O298">
        <v>34</v>
      </c>
      <c r="P298">
        <v>1009000</v>
      </c>
      <c r="Q298">
        <v>879000</v>
      </c>
      <c r="R298">
        <v>130000</v>
      </c>
      <c r="S298">
        <v>153000</v>
      </c>
      <c r="T298" s="153">
        <f t="shared" si="27"/>
        <v>2169795</v>
      </c>
      <c r="U298" s="153">
        <f t="shared" si="28"/>
        <v>627427.5</v>
      </c>
      <c r="V298" s="153">
        <f t="shared" si="29"/>
        <v>627427.5</v>
      </c>
      <c r="X298" t="s">
        <v>488</v>
      </c>
      <c r="Y298">
        <v>1289</v>
      </c>
      <c r="Z298">
        <v>634</v>
      </c>
      <c r="AA298">
        <v>855341738.55341733</v>
      </c>
      <c r="AB298">
        <v>132386719.56567134</v>
      </c>
      <c r="AC298" s="153">
        <f t="shared" si="24"/>
        <v>2550875.6313140928</v>
      </c>
      <c r="AD298" s="153">
        <f t="shared" si="25"/>
        <v>627875.63131409278</v>
      </c>
      <c r="AE298" s="153">
        <f t="shared" si="26"/>
        <v>627875.63131409278</v>
      </c>
    </row>
    <row r="299" spans="1:31" x14ac:dyDescent="0.25">
      <c r="A299" t="s">
        <v>608</v>
      </c>
      <c r="B299" t="s">
        <v>489</v>
      </c>
      <c r="C299">
        <v>4900</v>
      </c>
      <c r="D299">
        <v>3016</v>
      </c>
      <c r="E299">
        <v>1884</v>
      </c>
      <c r="F299">
        <v>3018</v>
      </c>
      <c r="G299">
        <v>330</v>
      </c>
      <c r="H299">
        <v>2100</v>
      </c>
      <c r="I299">
        <v>209</v>
      </c>
      <c r="J299">
        <v>2715</v>
      </c>
      <c r="K299">
        <v>1067</v>
      </c>
      <c r="L299">
        <v>203</v>
      </c>
      <c r="M299">
        <v>127</v>
      </c>
      <c r="N299">
        <v>236</v>
      </c>
      <c r="O299">
        <v>353</v>
      </c>
      <c r="P299">
        <v>2002000</v>
      </c>
      <c r="Q299">
        <v>1667000</v>
      </c>
      <c r="R299">
        <v>335000</v>
      </c>
      <c r="S299">
        <v>200000</v>
      </c>
      <c r="T299" s="153">
        <f t="shared" si="27"/>
        <v>4451985</v>
      </c>
      <c r="U299" s="153">
        <f t="shared" si="28"/>
        <v>293982.5</v>
      </c>
      <c r="V299" s="153">
        <f t="shared" si="29"/>
        <v>293982.5</v>
      </c>
      <c r="X299" t="s">
        <v>489</v>
      </c>
      <c r="Y299">
        <v>2790</v>
      </c>
      <c r="Z299">
        <v>2152</v>
      </c>
      <c r="AA299">
        <v>1628721541.1558669</v>
      </c>
      <c r="AB299">
        <v>316191595.65089631</v>
      </c>
      <c r="AC299" s="153">
        <f t="shared" si="24"/>
        <v>5149289.1773835765</v>
      </c>
      <c r="AD299" s="153">
        <f t="shared" si="25"/>
        <v>207289.17738357652</v>
      </c>
      <c r="AE299" s="153">
        <f t="shared" si="26"/>
        <v>207289.17738357652</v>
      </c>
    </row>
    <row r="300" spans="1:31" x14ac:dyDescent="0.25">
      <c r="A300" t="s">
        <v>599</v>
      </c>
      <c r="B300" t="s">
        <v>453</v>
      </c>
      <c r="C300">
        <v>7704</v>
      </c>
      <c r="D300">
        <v>5134</v>
      </c>
      <c r="E300">
        <v>2570</v>
      </c>
      <c r="F300">
        <v>746</v>
      </c>
      <c r="G300">
        <v>79</v>
      </c>
      <c r="H300">
        <v>0</v>
      </c>
      <c r="I300">
        <v>90</v>
      </c>
      <c r="J300">
        <v>3138</v>
      </c>
      <c r="K300">
        <v>3173</v>
      </c>
      <c r="L300">
        <v>339</v>
      </c>
      <c r="M300">
        <v>170</v>
      </c>
      <c r="N300">
        <v>555</v>
      </c>
      <c r="O300">
        <v>85</v>
      </c>
      <c r="P300">
        <v>4283000</v>
      </c>
      <c r="Q300">
        <v>3626000</v>
      </c>
      <c r="R300">
        <v>657000</v>
      </c>
      <c r="S300">
        <v>252000</v>
      </c>
      <c r="T300" s="153">
        <f t="shared" si="27"/>
        <v>9410700</v>
      </c>
      <c r="U300" s="153">
        <f t="shared" si="28"/>
        <v>3275150</v>
      </c>
      <c r="V300" s="153">
        <f t="shared" si="29"/>
        <v>3275150</v>
      </c>
      <c r="X300" t="s">
        <v>453</v>
      </c>
      <c r="Y300">
        <v>4892</v>
      </c>
      <c r="Z300">
        <v>2981</v>
      </c>
      <c r="AA300">
        <v>3618343195.2662725</v>
      </c>
      <c r="AB300">
        <v>700752233.19228959</v>
      </c>
      <c r="AC300" s="153">
        <f t="shared" si="24"/>
        <v>11431866.408132875</v>
      </c>
      <c r="AD300" s="153">
        <f t="shared" si="25"/>
        <v>3558866.4081328753</v>
      </c>
      <c r="AE300" s="153">
        <f t="shared" si="26"/>
        <v>3558866.4081328753</v>
      </c>
    </row>
    <row r="301" spans="1:31" x14ac:dyDescent="0.25">
      <c r="A301" t="s">
        <v>607</v>
      </c>
      <c r="B301" t="s">
        <v>161</v>
      </c>
      <c r="C301">
        <v>6849</v>
      </c>
      <c r="D301">
        <v>4069</v>
      </c>
      <c r="E301">
        <v>2780</v>
      </c>
      <c r="F301">
        <v>0</v>
      </c>
      <c r="G301">
        <v>15</v>
      </c>
      <c r="H301">
        <v>0</v>
      </c>
      <c r="I301">
        <v>87</v>
      </c>
      <c r="J301">
        <v>1224</v>
      </c>
      <c r="K301">
        <v>3076</v>
      </c>
      <c r="L301">
        <v>558</v>
      </c>
      <c r="M301">
        <v>133</v>
      </c>
      <c r="N301">
        <v>352</v>
      </c>
      <c r="O301">
        <v>48</v>
      </c>
      <c r="P301">
        <v>2237000</v>
      </c>
      <c r="Q301">
        <v>1750000</v>
      </c>
      <c r="R301">
        <v>487000</v>
      </c>
      <c r="S301">
        <v>140000</v>
      </c>
      <c r="T301" s="153">
        <f t="shared" si="27"/>
        <v>5189220</v>
      </c>
      <c r="U301" s="153">
        <f t="shared" si="28"/>
        <v>-794910</v>
      </c>
      <c r="V301" s="153">
        <f t="shared" si="29"/>
        <v>0</v>
      </c>
      <c r="X301" t="s">
        <v>161</v>
      </c>
      <c r="Y301">
        <v>3977</v>
      </c>
      <c r="Z301">
        <v>2761</v>
      </c>
      <c r="AA301">
        <v>1745063624.3966653</v>
      </c>
      <c r="AB301">
        <v>452994257.58818704</v>
      </c>
      <c r="AC301" s="153">
        <f t="shared" ref="AC301:AC357" si="30">SUM(0.001952*AA301,2*0.001952*AB301)*140/120</f>
        <v>6037329.4058543341</v>
      </c>
      <c r="AD301" s="153">
        <f t="shared" ref="AD301:AD357" si="31">SUM(AC301,-Y301*1000,-Z301*1000)</f>
        <v>-700670.59414566588</v>
      </c>
      <c r="AE301" s="153">
        <f t="shared" ref="AE301:AE357" si="32">IF(AD301&gt;0,AD301,0)</f>
        <v>0</v>
      </c>
    </row>
    <row r="302" spans="1:31" x14ac:dyDescent="0.25">
      <c r="A302" t="s">
        <v>606</v>
      </c>
      <c r="B302" t="s">
        <v>281</v>
      </c>
      <c r="C302">
        <v>11988</v>
      </c>
      <c r="D302">
        <v>6542</v>
      </c>
      <c r="E302">
        <v>5446</v>
      </c>
      <c r="F302">
        <v>2161</v>
      </c>
      <c r="G302">
        <v>2034</v>
      </c>
      <c r="H302">
        <v>110</v>
      </c>
      <c r="I302">
        <v>884</v>
      </c>
      <c r="J302">
        <v>3179</v>
      </c>
      <c r="K302">
        <v>5863</v>
      </c>
      <c r="L302">
        <v>1206</v>
      </c>
      <c r="M302">
        <v>697</v>
      </c>
      <c r="N302">
        <v>1784</v>
      </c>
      <c r="O302">
        <v>37</v>
      </c>
      <c r="P302">
        <v>7473000</v>
      </c>
      <c r="Q302">
        <v>6010000</v>
      </c>
      <c r="R302">
        <v>1463000</v>
      </c>
      <c r="S302">
        <v>218000</v>
      </c>
      <c r="T302" s="153">
        <f t="shared" si="27"/>
        <v>17023080</v>
      </c>
      <c r="U302" s="153">
        <f t="shared" si="28"/>
        <v>7872260</v>
      </c>
      <c r="V302" s="153">
        <f t="shared" si="29"/>
        <v>7872260</v>
      </c>
      <c r="X302" t="s">
        <v>281</v>
      </c>
      <c r="Y302">
        <v>6241</v>
      </c>
      <c r="Z302">
        <v>5687</v>
      </c>
      <c r="AA302">
        <v>5910037878.787878</v>
      </c>
      <c r="AB302">
        <v>1409068384.5391479</v>
      </c>
      <c r="AC302" s="153">
        <f t="shared" si="30"/>
        <v>19876963.064740565</v>
      </c>
      <c r="AD302" s="153">
        <f t="shared" si="31"/>
        <v>7948963.0647405647</v>
      </c>
      <c r="AE302" s="153">
        <f t="shared" si="32"/>
        <v>7948963.0647405647</v>
      </c>
    </row>
    <row r="303" spans="1:31" x14ac:dyDescent="0.25">
      <c r="A303" t="s">
        <v>610</v>
      </c>
      <c r="B303" t="s">
        <v>400</v>
      </c>
      <c r="C303">
        <v>5344</v>
      </c>
      <c r="D303">
        <v>3766</v>
      </c>
      <c r="E303">
        <v>1578</v>
      </c>
      <c r="F303">
        <v>2882</v>
      </c>
      <c r="G303">
        <v>167</v>
      </c>
      <c r="H303">
        <v>6017</v>
      </c>
      <c r="I303">
        <v>1884</v>
      </c>
      <c r="J303">
        <v>2142</v>
      </c>
      <c r="K303">
        <v>3182</v>
      </c>
      <c r="L303">
        <v>418</v>
      </c>
      <c r="M303">
        <v>437</v>
      </c>
      <c r="N303">
        <v>912</v>
      </c>
      <c r="O303">
        <v>204</v>
      </c>
      <c r="P303">
        <v>4314000</v>
      </c>
      <c r="Q303">
        <v>3602000</v>
      </c>
      <c r="R303">
        <v>712000</v>
      </c>
      <c r="S303">
        <v>266000</v>
      </c>
      <c r="T303" s="153">
        <f t="shared" si="27"/>
        <v>9574530</v>
      </c>
      <c r="U303" s="153">
        <f t="shared" si="28"/>
        <v>5826285</v>
      </c>
      <c r="V303" s="153">
        <f t="shared" si="29"/>
        <v>5826285</v>
      </c>
      <c r="X303" t="s">
        <v>400</v>
      </c>
      <c r="Y303">
        <v>3641</v>
      </c>
      <c r="Z303">
        <v>1730</v>
      </c>
      <c r="AA303">
        <v>3580137659.7836781</v>
      </c>
      <c r="AB303">
        <v>704397394.13680792</v>
      </c>
      <c r="AC303" s="153">
        <f t="shared" si="30"/>
        <v>11361462.161709143</v>
      </c>
      <c r="AD303" s="153">
        <f t="shared" si="31"/>
        <v>5990462.1617091428</v>
      </c>
      <c r="AE303" s="153">
        <f t="shared" si="32"/>
        <v>5990462.1617091428</v>
      </c>
    </row>
    <row r="304" spans="1:31" x14ac:dyDescent="0.25">
      <c r="A304" t="s">
        <v>599</v>
      </c>
      <c r="B304" t="s">
        <v>454</v>
      </c>
      <c r="C304">
        <v>9882</v>
      </c>
      <c r="D304">
        <v>5434</v>
      </c>
      <c r="E304">
        <v>4448</v>
      </c>
      <c r="F304">
        <v>1113</v>
      </c>
      <c r="G304">
        <v>0</v>
      </c>
      <c r="H304">
        <v>260</v>
      </c>
      <c r="I304">
        <v>527</v>
      </c>
      <c r="J304">
        <v>2864</v>
      </c>
      <c r="K304">
        <v>3631</v>
      </c>
      <c r="L304">
        <v>481</v>
      </c>
      <c r="M304">
        <v>153</v>
      </c>
      <c r="N304">
        <v>1002</v>
      </c>
      <c r="O304">
        <v>68</v>
      </c>
      <c r="P304">
        <v>6739000</v>
      </c>
      <c r="Q304">
        <v>5469000</v>
      </c>
      <c r="R304">
        <v>1270000</v>
      </c>
      <c r="S304">
        <v>278000</v>
      </c>
      <c r="T304" s="153">
        <f t="shared" si="27"/>
        <v>15257145</v>
      </c>
      <c r="U304" s="153">
        <f t="shared" si="28"/>
        <v>7918002.5</v>
      </c>
      <c r="V304" s="153">
        <f t="shared" si="29"/>
        <v>7918002.5</v>
      </c>
      <c r="X304" t="s">
        <v>454</v>
      </c>
      <c r="Y304">
        <v>5057</v>
      </c>
      <c r="Z304">
        <v>4158</v>
      </c>
      <c r="AA304">
        <v>5467027027.0270271</v>
      </c>
      <c r="AB304">
        <v>1207667731.6293931</v>
      </c>
      <c r="AC304" s="153">
        <f t="shared" si="30"/>
        <v>17950766.844544224</v>
      </c>
      <c r="AD304" s="153">
        <f t="shared" si="31"/>
        <v>8735766.8445442244</v>
      </c>
      <c r="AE304" s="153">
        <f t="shared" si="32"/>
        <v>8735766.8445442244</v>
      </c>
    </row>
    <row r="305" spans="1:31" x14ac:dyDescent="0.25">
      <c r="A305" t="s">
        <v>600</v>
      </c>
      <c r="B305" t="s">
        <v>325</v>
      </c>
      <c r="C305">
        <v>15871</v>
      </c>
      <c r="D305">
        <v>8195</v>
      </c>
      <c r="E305">
        <v>7676</v>
      </c>
      <c r="F305">
        <v>362</v>
      </c>
      <c r="G305">
        <v>2323</v>
      </c>
      <c r="H305">
        <v>389</v>
      </c>
      <c r="I305">
        <v>409</v>
      </c>
      <c r="J305">
        <v>5554</v>
      </c>
      <c r="K305">
        <v>10217</v>
      </c>
      <c r="L305">
        <v>587</v>
      </c>
      <c r="M305">
        <v>297</v>
      </c>
      <c r="N305">
        <v>1426</v>
      </c>
      <c r="O305">
        <v>105</v>
      </c>
      <c r="P305">
        <v>8832000</v>
      </c>
      <c r="Q305">
        <v>7312000</v>
      </c>
      <c r="R305">
        <v>1520000</v>
      </c>
      <c r="S305">
        <v>243000</v>
      </c>
      <c r="T305" s="153">
        <f t="shared" si="27"/>
        <v>19720560</v>
      </c>
      <c r="U305" s="153">
        <f t="shared" si="28"/>
        <v>7136320</v>
      </c>
      <c r="V305" s="153">
        <f t="shared" si="29"/>
        <v>7136320</v>
      </c>
      <c r="X305" t="s">
        <v>325</v>
      </c>
      <c r="Y305">
        <v>7934</v>
      </c>
      <c r="Z305">
        <v>7496</v>
      </c>
      <c r="AA305">
        <v>7278899082.5688066</v>
      </c>
      <c r="AB305">
        <v>1555186721.9917014</v>
      </c>
      <c r="AC305" s="153">
        <f t="shared" si="30"/>
        <v>23659836.633801568</v>
      </c>
      <c r="AD305" s="153">
        <f t="shared" si="31"/>
        <v>8229836.6338015683</v>
      </c>
      <c r="AE305" s="153">
        <f t="shared" si="32"/>
        <v>8229836.6338015683</v>
      </c>
    </row>
    <row r="306" spans="1:31" x14ac:dyDescent="0.25">
      <c r="A306" t="s">
        <v>608</v>
      </c>
      <c r="B306" t="s">
        <v>490</v>
      </c>
      <c r="C306">
        <v>37589</v>
      </c>
      <c r="D306">
        <v>18388</v>
      </c>
      <c r="E306">
        <v>19201</v>
      </c>
      <c r="F306">
        <v>3574</v>
      </c>
      <c r="G306">
        <v>0</v>
      </c>
      <c r="H306">
        <v>1504</v>
      </c>
      <c r="I306">
        <v>1390</v>
      </c>
      <c r="J306">
        <v>8074</v>
      </c>
      <c r="K306">
        <v>8147</v>
      </c>
      <c r="L306">
        <v>1670</v>
      </c>
      <c r="M306">
        <v>373</v>
      </c>
      <c r="N306">
        <v>3091</v>
      </c>
      <c r="O306">
        <v>954</v>
      </c>
      <c r="P306">
        <v>12164000</v>
      </c>
      <c r="Q306">
        <v>8757000</v>
      </c>
      <c r="R306">
        <v>3407000</v>
      </c>
      <c r="S306">
        <v>188000</v>
      </c>
      <c r="T306" s="153">
        <f t="shared" si="27"/>
        <v>29662755</v>
      </c>
      <c r="U306" s="153">
        <f t="shared" si="28"/>
        <v>-2982452.5</v>
      </c>
      <c r="V306" s="153">
        <f t="shared" si="29"/>
        <v>0</v>
      </c>
      <c r="X306" t="s">
        <v>490</v>
      </c>
      <c r="Y306">
        <v>17219</v>
      </c>
      <c r="Z306">
        <v>20476</v>
      </c>
      <c r="AA306">
        <v>8753940010.1677685</v>
      </c>
      <c r="AB306">
        <v>3345751633.9869285</v>
      </c>
      <c r="AC306" s="153">
        <f t="shared" si="30"/>
        <v>35174422.825421192</v>
      </c>
      <c r="AD306" s="153">
        <f t="shared" si="31"/>
        <v>-2520577.1745788082</v>
      </c>
      <c r="AE306" s="153">
        <f t="shared" si="32"/>
        <v>0</v>
      </c>
    </row>
    <row r="307" spans="1:31" x14ac:dyDescent="0.25">
      <c r="A307" t="s">
        <v>608</v>
      </c>
      <c r="B307" t="s">
        <v>491</v>
      </c>
      <c r="C307">
        <v>13990</v>
      </c>
      <c r="D307">
        <v>6133</v>
      </c>
      <c r="E307">
        <v>7857</v>
      </c>
      <c r="F307">
        <v>400</v>
      </c>
      <c r="G307">
        <v>0</v>
      </c>
      <c r="H307">
        <v>330</v>
      </c>
      <c r="I307">
        <v>215</v>
      </c>
      <c r="J307">
        <v>4228</v>
      </c>
      <c r="K307">
        <v>2968</v>
      </c>
      <c r="L307">
        <v>518</v>
      </c>
      <c r="M307">
        <v>21</v>
      </c>
      <c r="N307">
        <v>1036</v>
      </c>
      <c r="O307">
        <v>493</v>
      </c>
      <c r="P307">
        <v>5456000</v>
      </c>
      <c r="Q307">
        <v>3887000</v>
      </c>
      <c r="R307">
        <v>1569000</v>
      </c>
      <c r="S307">
        <v>216000</v>
      </c>
      <c r="T307" s="153">
        <f t="shared" si="27"/>
        <v>13382625</v>
      </c>
      <c r="U307" s="153">
        <f t="shared" si="28"/>
        <v>1623062.5</v>
      </c>
      <c r="V307" s="153">
        <f t="shared" si="29"/>
        <v>1623062.5</v>
      </c>
      <c r="X307" t="s">
        <v>491</v>
      </c>
      <c r="Y307">
        <v>5862</v>
      </c>
      <c r="Z307">
        <v>8888</v>
      </c>
      <c r="AA307">
        <v>3871862615.5878463</v>
      </c>
      <c r="AB307">
        <v>1580932052.6503024</v>
      </c>
      <c r="AC307" s="153">
        <f t="shared" si="30"/>
        <v>16018140.319036633</v>
      </c>
      <c r="AD307" s="153">
        <f t="shared" si="31"/>
        <v>1268140.3190366328</v>
      </c>
      <c r="AE307" s="153">
        <f t="shared" si="32"/>
        <v>1268140.3190366328</v>
      </c>
    </row>
    <row r="308" spans="1:31" x14ac:dyDescent="0.25">
      <c r="A308" t="s">
        <v>606</v>
      </c>
      <c r="B308" t="s">
        <v>752</v>
      </c>
      <c r="C308">
        <v>11620</v>
      </c>
      <c r="D308">
        <v>6664</v>
      </c>
      <c r="E308">
        <v>4956</v>
      </c>
      <c r="F308">
        <v>529</v>
      </c>
      <c r="G308">
        <v>1058</v>
      </c>
      <c r="H308">
        <v>191</v>
      </c>
      <c r="I308">
        <v>269</v>
      </c>
      <c r="J308">
        <v>6488</v>
      </c>
      <c r="K308">
        <v>4841</v>
      </c>
      <c r="L308">
        <v>990</v>
      </c>
      <c r="M308">
        <v>742</v>
      </c>
      <c r="N308">
        <v>1901</v>
      </c>
      <c r="O308">
        <v>194</v>
      </c>
      <c r="P308">
        <v>6538000</v>
      </c>
      <c r="Q308">
        <v>5344000</v>
      </c>
      <c r="R308">
        <v>1194000</v>
      </c>
      <c r="S308">
        <v>234000</v>
      </c>
      <c r="T308" s="153">
        <f t="shared" si="27"/>
        <v>14729460</v>
      </c>
      <c r="U308" s="153">
        <f t="shared" si="28"/>
        <v>5564370</v>
      </c>
      <c r="V308" s="153">
        <f t="shared" si="29"/>
        <v>5564370</v>
      </c>
      <c r="X308" t="s">
        <v>752</v>
      </c>
      <c r="Y308">
        <v>6675</v>
      </c>
      <c r="Z308">
        <v>5704</v>
      </c>
      <c r="AA308">
        <v>5270317273.7780428</v>
      </c>
      <c r="AB308">
        <v>1164751243.0948057</v>
      </c>
      <c r="AC308" s="153">
        <v>17307322.86669967</v>
      </c>
      <c r="AD308" s="153">
        <v>4928322.8666996695</v>
      </c>
      <c r="AE308" s="153">
        <v>4928322.8666996695</v>
      </c>
    </row>
    <row r="309" spans="1:31" x14ac:dyDescent="0.25">
      <c r="A309" t="s">
        <v>603</v>
      </c>
      <c r="B309" t="s">
        <v>378</v>
      </c>
      <c r="C309">
        <v>17016</v>
      </c>
      <c r="D309">
        <v>9308</v>
      </c>
      <c r="E309">
        <v>7708</v>
      </c>
      <c r="F309">
        <v>2052</v>
      </c>
      <c r="G309">
        <v>1770</v>
      </c>
      <c r="H309">
        <v>272</v>
      </c>
      <c r="I309">
        <v>254</v>
      </c>
      <c r="J309">
        <v>5896</v>
      </c>
      <c r="K309">
        <v>9949</v>
      </c>
      <c r="L309">
        <v>797</v>
      </c>
      <c r="M309">
        <v>786</v>
      </c>
      <c r="N309">
        <v>1100</v>
      </c>
      <c r="O309">
        <v>1360</v>
      </c>
      <c r="P309">
        <v>7322000</v>
      </c>
      <c r="Q309">
        <v>5909000</v>
      </c>
      <c r="R309">
        <v>1413000</v>
      </c>
      <c r="S309">
        <v>169000</v>
      </c>
      <c r="T309" s="153">
        <f t="shared" si="27"/>
        <v>16640175</v>
      </c>
      <c r="U309" s="153">
        <f t="shared" si="28"/>
        <v>2397537.5</v>
      </c>
      <c r="V309" s="153">
        <f t="shared" si="29"/>
        <v>2397537.5</v>
      </c>
      <c r="X309" t="s">
        <v>378</v>
      </c>
      <c r="Y309">
        <v>8811</v>
      </c>
      <c r="Z309">
        <v>7453</v>
      </c>
      <c r="AA309">
        <v>5945344129.554656</v>
      </c>
      <c r="AB309">
        <v>1428051350.8334928</v>
      </c>
      <c r="AC309" s="153">
        <f t="shared" si="30"/>
        <v>20043828.250302088</v>
      </c>
      <c r="AD309" s="153">
        <f t="shared" si="31"/>
        <v>3779828.2503020875</v>
      </c>
      <c r="AE309" s="153">
        <f t="shared" si="32"/>
        <v>3779828.2503020875</v>
      </c>
    </row>
    <row r="310" spans="1:31" x14ac:dyDescent="0.25">
      <c r="A310" t="s">
        <v>602</v>
      </c>
      <c r="B310" t="s">
        <v>183</v>
      </c>
      <c r="C310">
        <v>525</v>
      </c>
      <c r="D310">
        <v>264</v>
      </c>
      <c r="E310">
        <v>261</v>
      </c>
      <c r="F310">
        <v>0</v>
      </c>
      <c r="G310">
        <v>42</v>
      </c>
      <c r="H310">
        <v>1426</v>
      </c>
      <c r="I310">
        <v>234</v>
      </c>
      <c r="J310">
        <v>188</v>
      </c>
      <c r="K310">
        <v>484</v>
      </c>
      <c r="L310">
        <v>96</v>
      </c>
      <c r="M310">
        <v>15</v>
      </c>
      <c r="N310">
        <v>52</v>
      </c>
      <c r="O310">
        <v>0</v>
      </c>
      <c r="P310">
        <v>409000</v>
      </c>
      <c r="Q310">
        <v>334000</v>
      </c>
      <c r="R310">
        <v>75000</v>
      </c>
      <c r="S310">
        <v>260000</v>
      </c>
      <c r="T310" s="153">
        <f t="shared" si="27"/>
        <v>922020</v>
      </c>
      <c r="U310" s="153">
        <f t="shared" si="28"/>
        <v>550690</v>
      </c>
      <c r="V310" s="153">
        <f t="shared" si="29"/>
        <v>550690</v>
      </c>
      <c r="X310" t="s">
        <v>183</v>
      </c>
      <c r="Y310">
        <v>250</v>
      </c>
      <c r="Z310">
        <v>301</v>
      </c>
      <c r="AA310">
        <v>341296928.32764506</v>
      </c>
      <c r="AB310">
        <v>74857000.746083066</v>
      </c>
      <c r="AC310" s="153">
        <f t="shared" si="30"/>
        <v>1118195.55750965</v>
      </c>
      <c r="AD310" s="153">
        <f t="shared" si="31"/>
        <v>567195.55750965001</v>
      </c>
      <c r="AE310" s="153">
        <f t="shared" si="32"/>
        <v>567195.55750965001</v>
      </c>
    </row>
    <row r="311" spans="1:31" x14ac:dyDescent="0.25">
      <c r="A311" t="s">
        <v>610</v>
      </c>
      <c r="B311" t="s">
        <v>401</v>
      </c>
      <c r="C311">
        <v>12993</v>
      </c>
      <c r="D311">
        <v>5533</v>
      </c>
      <c r="E311">
        <v>7460</v>
      </c>
      <c r="F311">
        <v>2882</v>
      </c>
      <c r="G311">
        <v>480</v>
      </c>
      <c r="H311">
        <v>335</v>
      </c>
      <c r="I311">
        <v>638</v>
      </c>
      <c r="J311">
        <v>7474</v>
      </c>
      <c r="K311">
        <v>7228</v>
      </c>
      <c r="L311">
        <v>478</v>
      </c>
      <c r="M311">
        <v>457</v>
      </c>
      <c r="N311">
        <v>1951</v>
      </c>
      <c r="O311">
        <v>333</v>
      </c>
      <c r="P311">
        <v>4591000</v>
      </c>
      <c r="Q311">
        <v>3471000</v>
      </c>
      <c r="R311">
        <v>1120000</v>
      </c>
      <c r="S311">
        <v>154000</v>
      </c>
      <c r="T311" s="153">
        <f t="shared" si="27"/>
        <v>10879455</v>
      </c>
      <c r="U311" s="153">
        <f t="shared" si="28"/>
        <v>-300302.5</v>
      </c>
      <c r="V311" s="153">
        <f t="shared" si="29"/>
        <v>0</v>
      </c>
      <c r="X311" t="s">
        <v>401</v>
      </c>
      <c r="Y311">
        <v>5169</v>
      </c>
      <c r="Z311">
        <v>7579</v>
      </c>
      <c r="AA311">
        <v>3423178807.9470196</v>
      </c>
      <c r="AB311">
        <v>1115214832.2542672</v>
      </c>
      <c r="AC311" s="153">
        <f t="shared" si="30"/>
        <v>12875151.027938783</v>
      </c>
      <c r="AD311" s="153">
        <f t="shared" si="31"/>
        <v>127151.02793878317</v>
      </c>
      <c r="AE311" s="153">
        <f t="shared" si="32"/>
        <v>127151.02793878317</v>
      </c>
    </row>
    <row r="312" spans="1:31" x14ac:dyDescent="0.25">
      <c r="A312" t="s">
        <v>608</v>
      </c>
      <c r="B312" t="s">
        <v>492</v>
      </c>
      <c r="C312">
        <v>2429</v>
      </c>
      <c r="D312">
        <v>2004</v>
      </c>
      <c r="E312">
        <v>425</v>
      </c>
      <c r="F312">
        <v>3</v>
      </c>
      <c r="G312">
        <v>0</v>
      </c>
      <c r="H312">
        <v>29</v>
      </c>
      <c r="I312">
        <v>71</v>
      </c>
      <c r="J312">
        <v>1450</v>
      </c>
      <c r="K312">
        <v>1128</v>
      </c>
      <c r="L312">
        <v>154</v>
      </c>
      <c r="M312">
        <v>24</v>
      </c>
      <c r="N312">
        <v>140</v>
      </c>
      <c r="O312">
        <v>46</v>
      </c>
      <c r="P312">
        <v>1376000</v>
      </c>
      <c r="Q312">
        <v>1233000</v>
      </c>
      <c r="R312">
        <v>143000</v>
      </c>
      <c r="S312">
        <v>222000</v>
      </c>
      <c r="T312" s="153">
        <f t="shared" si="27"/>
        <v>2893695</v>
      </c>
      <c r="U312" s="153">
        <f t="shared" si="28"/>
        <v>946977.5</v>
      </c>
      <c r="V312" s="153">
        <f t="shared" si="29"/>
        <v>946977.5</v>
      </c>
      <c r="X312" t="s">
        <v>492</v>
      </c>
      <c r="Y312">
        <v>1724</v>
      </c>
      <c r="Z312">
        <v>474</v>
      </c>
      <c r="AA312">
        <v>1218900020.5035384</v>
      </c>
      <c r="AB312">
        <v>140274037.46559736</v>
      </c>
      <c r="AC312" s="153">
        <f t="shared" si="30"/>
        <v>3414743.1293366984</v>
      </c>
      <c r="AD312" s="153">
        <f t="shared" si="31"/>
        <v>1216743.1293366984</v>
      </c>
      <c r="AE312" s="153">
        <f t="shared" si="32"/>
        <v>1216743.1293366984</v>
      </c>
    </row>
    <row r="313" spans="1:31" x14ac:dyDescent="0.25">
      <c r="A313" t="s">
        <v>603</v>
      </c>
      <c r="B313" t="s">
        <v>379</v>
      </c>
      <c r="C313">
        <v>6647</v>
      </c>
      <c r="D313">
        <v>5644</v>
      </c>
      <c r="E313">
        <v>1003</v>
      </c>
      <c r="F313">
        <v>13</v>
      </c>
      <c r="G313">
        <v>1099</v>
      </c>
      <c r="H313">
        <v>157</v>
      </c>
      <c r="I313">
        <v>243</v>
      </c>
      <c r="J313">
        <v>2607</v>
      </c>
      <c r="K313">
        <v>3230</v>
      </c>
      <c r="L313">
        <v>411</v>
      </c>
      <c r="M313">
        <v>304</v>
      </c>
      <c r="N313">
        <v>576</v>
      </c>
      <c r="O313">
        <v>55</v>
      </c>
      <c r="P313">
        <v>3807000</v>
      </c>
      <c r="Q313">
        <v>3523000</v>
      </c>
      <c r="R313">
        <v>284000</v>
      </c>
      <c r="S313">
        <v>311000</v>
      </c>
      <c r="T313" s="153">
        <f t="shared" si="27"/>
        <v>7793355</v>
      </c>
      <c r="U313" s="153">
        <f t="shared" si="28"/>
        <v>2445247.5</v>
      </c>
      <c r="V313" s="153">
        <f t="shared" si="29"/>
        <v>2445247.5</v>
      </c>
      <c r="X313" t="s">
        <v>379</v>
      </c>
      <c r="Y313">
        <v>5535</v>
      </c>
      <c r="Z313">
        <v>1090</v>
      </c>
      <c r="AA313">
        <v>3503164556.9620252</v>
      </c>
      <c r="AB313">
        <v>277777777.77777773</v>
      </c>
      <c r="AC313" s="153">
        <f t="shared" si="30"/>
        <v>9243058.6029067039</v>
      </c>
      <c r="AD313" s="153">
        <f t="shared" si="31"/>
        <v>2618058.6029067039</v>
      </c>
      <c r="AE313" s="153">
        <f t="shared" si="32"/>
        <v>2618058.6029067039</v>
      </c>
    </row>
    <row r="314" spans="1:31" x14ac:dyDescent="0.25">
      <c r="A314" t="s">
        <v>601</v>
      </c>
      <c r="B314" t="s">
        <v>253</v>
      </c>
      <c r="C314">
        <v>5060</v>
      </c>
      <c r="D314">
        <v>3105</v>
      </c>
      <c r="E314">
        <v>1955</v>
      </c>
      <c r="F314">
        <v>0</v>
      </c>
      <c r="G314">
        <v>1710</v>
      </c>
      <c r="H314">
        <v>162</v>
      </c>
      <c r="I314">
        <v>110</v>
      </c>
      <c r="J314">
        <v>2899</v>
      </c>
      <c r="K314">
        <v>1354</v>
      </c>
      <c r="L314">
        <v>310</v>
      </c>
      <c r="M314">
        <v>198</v>
      </c>
      <c r="N314">
        <v>1162</v>
      </c>
      <c r="O314">
        <v>79</v>
      </c>
      <c r="P314">
        <v>3345000</v>
      </c>
      <c r="Q314">
        <v>2683000</v>
      </c>
      <c r="R314">
        <v>662000</v>
      </c>
      <c r="S314">
        <v>275000</v>
      </c>
      <c r="T314" s="153">
        <f t="shared" si="27"/>
        <v>7633335</v>
      </c>
      <c r="U314" s="153">
        <f t="shared" si="28"/>
        <v>3845557.5</v>
      </c>
      <c r="V314" s="153">
        <f t="shared" si="29"/>
        <v>3845557.5</v>
      </c>
      <c r="X314" t="s">
        <v>253</v>
      </c>
      <c r="Y314">
        <v>3027</v>
      </c>
      <c r="Z314">
        <v>2059</v>
      </c>
      <c r="AA314">
        <v>2648293963.2545934</v>
      </c>
      <c r="AB314">
        <v>598894706.22454917</v>
      </c>
      <c r="AC314" s="153">
        <f t="shared" si="30"/>
        <v>8758813.8742692079</v>
      </c>
      <c r="AD314" s="153">
        <f t="shared" si="31"/>
        <v>3672813.8742692079</v>
      </c>
      <c r="AE314" s="153">
        <f t="shared" si="32"/>
        <v>3672813.8742692079</v>
      </c>
    </row>
    <row r="315" spans="1:31" x14ac:dyDescent="0.25">
      <c r="A315" t="s">
        <v>599</v>
      </c>
      <c r="B315" t="s">
        <v>455</v>
      </c>
      <c r="C315">
        <v>7662</v>
      </c>
      <c r="D315">
        <v>5010</v>
      </c>
      <c r="E315">
        <v>2652</v>
      </c>
      <c r="F315">
        <v>0</v>
      </c>
      <c r="G315">
        <v>0</v>
      </c>
      <c r="H315">
        <v>282</v>
      </c>
      <c r="I315">
        <v>50</v>
      </c>
      <c r="J315">
        <v>3749</v>
      </c>
      <c r="K315">
        <v>2262</v>
      </c>
      <c r="L315">
        <v>369</v>
      </c>
      <c r="M315">
        <v>13</v>
      </c>
      <c r="N315">
        <v>1272</v>
      </c>
      <c r="O315">
        <v>61</v>
      </c>
      <c r="P315">
        <v>4499000</v>
      </c>
      <c r="Q315">
        <v>3801000</v>
      </c>
      <c r="R315">
        <v>698000</v>
      </c>
      <c r="S315">
        <v>345000</v>
      </c>
      <c r="T315" s="153">
        <f t="shared" si="27"/>
        <v>9900285</v>
      </c>
      <c r="U315" s="153">
        <f t="shared" si="28"/>
        <v>3888332.5</v>
      </c>
      <c r="V315" s="153">
        <f t="shared" si="29"/>
        <v>3888332.5</v>
      </c>
      <c r="X315" t="s">
        <v>455</v>
      </c>
      <c r="Y315">
        <v>4897</v>
      </c>
      <c r="Z315">
        <v>3062</v>
      </c>
      <c r="AA315">
        <v>3927024859.6631913</v>
      </c>
      <c r="AB315">
        <v>713254134.63778245</v>
      </c>
      <c r="AC315" s="153">
        <f t="shared" si="30"/>
        <v>12191779.445636528</v>
      </c>
      <c r="AD315" s="153">
        <f t="shared" si="31"/>
        <v>4232779.4456365276</v>
      </c>
      <c r="AE315" s="153">
        <f t="shared" si="32"/>
        <v>4232779.4456365276</v>
      </c>
    </row>
    <row r="316" spans="1:31" x14ac:dyDescent="0.25">
      <c r="A316" t="s">
        <v>602</v>
      </c>
      <c r="B316" t="s">
        <v>753</v>
      </c>
      <c r="C316">
        <v>7192</v>
      </c>
      <c r="D316">
        <v>4952</v>
      </c>
      <c r="E316">
        <v>2240</v>
      </c>
      <c r="F316">
        <v>576</v>
      </c>
      <c r="G316">
        <v>0</v>
      </c>
      <c r="H316">
        <v>0</v>
      </c>
      <c r="I316">
        <v>100</v>
      </c>
      <c r="J316">
        <v>4695</v>
      </c>
      <c r="K316">
        <v>4344</v>
      </c>
      <c r="L316">
        <v>732</v>
      </c>
      <c r="M316">
        <v>234</v>
      </c>
      <c r="N316">
        <v>694</v>
      </c>
      <c r="O316">
        <v>52</v>
      </c>
      <c r="P316">
        <v>3833000</v>
      </c>
      <c r="Q316">
        <v>3114000</v>
      </c>
      <c r="R316">
        <v>719000</v>
      </c>
      <c r="S316">
        <v>154000</v>
      </c>
      <c r="T316" s="153">
        <f t="shared" si="27"/>
        <v>8671560</v>
      </c>
      <c r="U316" s="153">
        <f t="shared" si="28"/>
        <v>2924820</v>
      </c>
      <c r="V316" s="153">
        <f t="shared" si="29"/>
        <v>2924820</v>
      </c>
      <c r="X316" t="s">
        <v>753</v>
      </c>
      <c r="Y316">
        <v>4606.9560000000001</v>
      </c>
      <c r="Z316">
        <v>2499.4839999999995</v>
      </c>
      <c r="AA316">
        <v>2892000000</v>
      </c>
      <c r="AB316">
        <v>677000000</v>
      </c>
      <c r="AC316" s="153">
        <f t="shared" si="30"/>
        <v>9669557.333333334</v>
      </c>
      <c r="AD316" s="153">
        <f t="shared" si="31"/>
        <v>2563117.3333333344</v>
      </c>
      <c r="AE316" s="153">
        <f t="shared" si="32"/>
        <v>2563117.3333333344</v>
      </c>
    </row>
    <row r="317" spans="1:31" x14ac:dyDescent="0.25">
      <c r="A317" t="s">
        <v>599</v>
      </c>
      <c r="B317" t="s">
        <v>456</v>
      </c>
      <c r="C317">
        <v>3457</v>
      </c>
      <c r="D317">
        <v>2819</v>
      </c>
      <c r="E317">
        <v>638</v>
      </c>
      <c r="F317">
        <v>0</v>
      </c>
      <c r="G317">
        <v>2</v>
      </c>
      <c r="H317">
        <v>129</v>
      </c>
      <c r="I317">
        <v>43</v>
      </c>
      <c r="J317">
        <v>1557</v>
      </c>
      <c r="K317">
        <v>1374</v>
      </c>
      <c r="L317">
        <v>187</v>
      </c>
      <c r="M317">
        <v>55</v>
      </c>
      <c r="N317">
        <v>655</v>
      </c>
      <c r="O317">
        <v>4</v>
      </c>
      <c r="P317">
        <v>2604000</v>
      </c>
      <c r="Q317">
        <v>2379000</v>
      </c>
      <c r="R317">
        <v>225000</v>
      </c>
      <c r="S317">
        <v>316000</v>
      </c>
      <c r="T317" s="153">
        <f t="shared" si="27"/>
        <v>5389245</v>
      </c>
      <c r="U317" s="153">
        <f t="shared" si="28"/>
        <v>2830452.5</v>
      </c>
      <c r="V317" s="153">
        <f t="shared" si="29"/>
        <v>2830452.5</v>
      </c>
      <c r="X317" t="s">
        <v>456</v>
      </c>
      <c r="Y317">
        <v>2687</v>
      </c>
      <c r="Z317">
        <v>733</v>
      </c>
      <c r="AA317">
        <v>2333478072.079896</v>
      </c>
      <c r="AB317">
        <v>203554568.17550683</v>
      </c>
      <c r="AC317" s="153">
        <f t="shared" si="30"/>
        <v>6241230.6026666574</v>
      </c>
      <c r="AD317" s="153">
        <f t="shared" si="31"/>
        <v>2821230.6026666574</v>
      </c>
      <c r="AE317" s="153">
        <f t="shared" si="32"/>
        <v>2821230.6026666574</v>
      </c>
    </row>
    <row r="318" spans="1:31" x14ac:dyDescent="0.25">
      <c r="A318" t="s">
        <v>599</v>
      </c>
      <c r="B318" t="s">
        <v>457</v>
      </c>
      <c r="C318">
        <v>11732</v>
      </c>
      <c r="D318">
        <v>5834</v>
      </c>
      <c r="E318">
        <v>5898</v>
      </c>
      <c r="F318">
        <v>1200</v>
      </c>
      <c r="G318">
        <v>164</v>
      </c>
      <c r="H318">
        <v>151</v>
      </c>
      <c r="I318">
        <v>293</v>
      </c>
      <c r="J318">
        <v>3313</v>
      </c>
      <c r="K318">
        <v>3680</v>
      </c>
      <c r="L318">
        <v>899</v>
      </c>
      <c r="M318">
        <v>309</v>
      </c>
      <c r="N318">
        <v>1315</v>
      </c>
      <c r="O318">
        <v>166</v>
      </c>
      <c r="P318">
        <v>6244000</v>
      </c>
      <c r="Q318">
        <v>4667000</v>
      </c>
      <c r="R318">
        <v>1577000</v>
      </c>
      <c r="S318">
        <v>222000</v>
      </c>
      <c r="T318" s="153">
        <f t="shared" si="27"/>
        <v>14899005</v>
      </c>
      <c r="U318" s="153">
        <f t="shared" si="28"/>
        <v>5650172.5</v>
      </c>
      <c r="V318" s="153">
        <f t="shared" si="29"/>
        <v>5650172.5</v>
      </c>
      <c r="X318" t="s">
        <v>457</v>
      </c>
      <c r="Y318">
        <v>5695</v>
      </c>
      <c r="Z318">
        <v>5662</v>
      </c>
      <c r="AA318">
        <v>4637622149.8371334</v>
      </c>
      <c r="AB318">
        <v>1497883597.8835979</v>
      </c>
      <c r="AC318" s="153">
        <f t="shared" si="30"/>
        <v>17383772.003056258</v>
      </c>
      <c r="AD318" s="153">
        <f t="shared" si="31"/>
        <v>6026772.003056258</v>
      </c>
      <c r="AE318" s="153">
        <f t="shared" si="32"/>
        <v>6026772.003056258</v>
      </c>
    </row>
    <row r="319" spans="1:31" x14ac:dyDescent="0.25">
      <c r="A319" t="s">
        <v>603</v>
      </c>
      <c r="B319" t="s">
        <v>380</v>
      </c>
      <c r="C319">
        <v>6842</v>
      </c>
      <c r="D319">
        <v>3483</v>
      </c>
      <c r="E319">
        <v>3359</v>
      </c>
      <c r="F319">
        <v>0</v>
      </c>
      <c r="G319">
        <v>600</v>
      </c>
      <c r="H319">
        <v>17</v>
      </c>
      <c r="I319">
        <v>0</v>
      </c>
      <c r="J319">
        <v>2262</v>
      </c>
      <c r="K319">
        <v>3036</v>
      </c>
      <c r="L319">
        <v>278</v>
      </c>
      <c r="M319">
        <v>284</v>
      </c>
      <c r="N319">
        <v>1329</v>
      </c>
      <c r="O319">
        <v>64</v>
      </c>
      <c r="P319">
        <v>3265000</v>
      </c>
      <c r="Q319">
        <v>2541000</v>
      </c>
      <c r="R319">
        <v>724000</v>
      </c>
      <c r="S319">
        <v>214000</v>
      </c>
      <c r="T319" s="153">
        <f t="shared" si="27"/>
        <v>7599045</v>
      </c>
      <c r="U319" s="153">
        <f t="shared" si="28"/>
        <v>2023552.5</v>
      </c>
      <c r="V319" s="153">
        <f t="shared" si="29"/>
        <v>2023552.5</v>
      </c>
      <c r="X319" t="s">
        <v>380</v>
      </c>
      <c r="Y319">
        <v>3459</v>
      </c>
      <c r="Z319">
        <v>3940</v>
      </c>
      <c r="AA319">
        <v>2420573827.8516445</v>
      </c>
      <c r="AB319">
        <v>706346360.70276082</v>
      </c>
      <c r="AC319" s="153">
        <f t="shared" si="30"/>
        <v>8729625.6881749853</v>
      </c>
      <c r="AD319" s="153">
        <f t="shared" si="31"/>
        <v>1330625.6881749853</v>
      </c>
      <c r="AE319" s="153">
        <f t="shared" si="32"/>
        <v>1330625.6881749853</v>
      </c>
    </row>
    <row r="320" spans="1:31" x14ac:dyDescent="0.25">
      <c r="A320" t="s">
        <v>601</v>
      </c>
      <c r="B320" t="s">
        <v>254</v>
      </c>
      <c r="C320">
        <v>10166</v>
      </c>
      <c r="D320">
        <v>5396</v>
      </c>
      <c r="E320">
        <v>4770</v>
      </c>
      <c r="F320">
        <v>1072</v>
      </c>
      <c r="G320">
        <v>1604</v>
      </c>
      <c r="H320">
        <v>174</v>
      </c>
      <c r="I320">
        <v>299</v>
      </c>
      <c r="J320">
        <v>2310</v>
      </c>
      <c r="K320">
        <v>4036</v>
      </c>
      <c r="L320">
        <v>543</v>
      </c>
      <c r="M320">
        <v>398</v>
      </c>
      <c r="N320">
        <v>1076</v>
      </c>
      <c r="O320">
        <v>1314</v>
      </c>
      <c r="P320">
        <v>4379000</v>
      </c>
      <c r="Q320">
        <v>3536000</v>
      </c>
      <c r="R320">
        <v>843000</v>
      </c>
      <c r="S320">
        <v>231000</v>
      </c>
      <c r="T320" s="153">
        <f t="shared" si="27"/>
        <v>9947910</v>
      </c>
      <c r="U320" s="153">
        <f t="shared" si="28"/>
        <v>1439895</v>
      </c>
      <c r="V320" s="153">
        <f t="shared" si="29"/>
        <v>1439895</v>
      </c>
      <c r="X320" t="s">
        <v>254</v>
      </c>
      <c r="Y320">
        <v>5113</v>
      </c>
      <c r="Z320">
        <v>4537</v>
      </c>
      <c r="AA320">
        <v>3213702074.1671906</v>
      </c>
      <c r="AB320">
        <v>748111994.19582498</v>
      </c>
      <c r="AC320" s="153">
        <f t="shared" si="30"/>
        <v>10726071.619800666</v>
      </c>
      <c r="AD320" s="153">
        <f t="shared" si="31"/>
        <v>1076071.6198006663</v>
      </c>
      <c r="AE320" s="153">
        <f t="shared" si="32"/>
        <v>1076071.6198006663</v>
      </c>
    </row>
    <row r="321" spans="1:31" x14ac:dyDescent="0.25">
      <c r="A321" t="s">
        <v>603</v>
      </c>
      <c r="B321" t="s">
        <v>381</v>
      </c>
      <c r="C321">
        <v>9441</v>
      </c>
      <c r="D321">
        <v>6884</v>
      </c>
      <c r="E321">
        <v>2557</v>
      </c>
      <c r="F321">
        <v>16</v>
      </c>
      <c r="G321">
        <v>1926</v>
      </c>
      <c r="H321">
        <v>1142</v>
      </c>
      <c r="I321">
        <v>357</v>
      </c>
      <c r="J321">
        <v>2655</v>
      </c>
      <c r="K321">
        <v>4027</v>
      </c>
      <c r="L321">
        <v>586</v>
      </c>
      <c r="M321">
        <v>49</v>
      </c>
      <c r="N321">
        <v>1208</v>
      </c>
      <c r="O321">
        <v>65</v>
      </c>
      <c r="P321">
        <v>6826000</v>
      </c>
      <c r="Q321">
        <v>6272000</v>
      </c>
      <c r="R321">
        <v>554000</v>
      </c>
      <c r="S321">
        <v>523000</v>
      </c>
      <c r="T321" s="153">
        <f t="shared" si="27"/>
        <v>14058900</v>
      </c>
      <c r="U321" s="153">
        <f t="shared" si="28"/>
        <v>6961050</v>
      </c>
      <c r="V321" s="153">
        <f t="shared" si="29"/>
        <v>6961050</v>
      </c>
      <c r="X321" t="s">
        <v>381</v>
      </c>
      <c r="Y321">
        <v>6694</v>
      </c>
      <c r="Z321">
        <v>2694</v>
      </c>
      <c r="AA321">
        <v>6297271872.0602064</v>
      </c>
      <c r="AB321">
        <v>533148624.57945764</v>
      </c>
      <c r="AC321" s="153">
        <f t="shared" si="30"/>
        <v>16769301.412056347</v>
      </c>
      <c r="AD321" s="153">
        <f t="shared" si="31"/>
        <v>7381301.4120563474</v>
      </c>
      <c r="AE321" s="153">
        <f t="shared" si="32"/>
        <v>7381301.4120563474</v>
      </c>
    </row>
    <row r="322" spans="1:31" x14ac:dyDescent="0.25">
      <c r="A322" t="s">
        <v>600</v>
      </c>
      <c r="B322" t="s">
        <v>326</v>
      </c>
      <c r="C322">
        <v>3116</v>
      </c>
      <c r="D322">
        <v>2483</v>
      </c>
      <c r="E322">
        <v>633</v>
      </c>
      <c r="F322">
        <v>325</v>
      </c>
      <c r="G322">
        <v>10</v>
      </c>
      <c r="H322">
        <v>493</v>
      </c>
      <c r="I322">
        <v>123</v>
      </c>
      <c r="J322">
        <v>1178</v>
      </c>
      <c r="K322">
        <v>1780</v>
      </c>
      <c r="L322">
        <v>199</v>
      </c>
      <c r="M322">
        <v>185</v>
      </c>
      <c r="N322">
        <v>507</v>
      </c>
      <c r="O322">
        <v>144</v>
      </c>
      <c r="P322">
        <v>2496000</v>
      </c>
      <c r="Q322">
        <v>2329000</v>
      </c>
      <c r="R322">
        <v>167000</v>
      </c>
      <c r="S322">
        <v>302000</v>
      </c>
      <c r="T322" s="153">
        <f t="shared" ref="T322:T357" si="33">0.1905*SUM(Q322,R322,R322)*10</f>
        <v>5073015</v>
      </c>
      <c r="U322" s="153">
        <f t="shared" ref="U322:U357" si="34">SUM(T322*140/120,-C322*1000)</f>
        <v>2802517.5</v>
      </c>
      <c r="V322" s="153">
        <f t="shared" ref="V322:V357" si="35">IF(U322&gt;0,U322,0)</f>
        <v>2802517.5</v>
      </c>
      <c r="X322" t="s">
        <v>326</v>
      </c>
      <c r="Y322">
        <v>2275</v>
      </c>
      <c r="Z322">
        <v>719</v>
      </c>
      <c r="AA322">
        <v>2340534979.4238682</v>
      </c>
      <c r="AB322">
        <v>175451439.72669595</v>
      </c>
      <c r="AC322" s="153">
        <f t="shared" si="30"/>
        <v>6129301.150616481</v>
      </c>
      <c r="AD322" s="153">
        <f t="shared" si="31"/>
        <v>3135301.150616481</v>
      </c>
      <c r="AE322" s="153">
        <f t="shared" si="32"/>
        <v>3135301.150616481</v>
      </c>
    </row>
    <row r="323" spans="1:31" x14ac:dyDescent="0.25">
      <c r="A323" t="s">
        <v>608</v>
      </c>
      <c r="B323" t="s">
        <v>493</v>
      </c>
      <c r="C323">
        <v>9964</v>
      </c>
      <c r="D323">
        <v>6018</v>
      </c>
      <c r="E323">
        <v>3946</v>
      </c>
      <c r="F323">
        <v>2570</v>
      </c>
      <c r="G323">
        <v>27</v>
      </c>
      <c r="H323">
        <v>1148</v>
      </c>
      <c r="I323">
        <v>425</v>
      </c>
      <c r="J323">
        <v>5946</v>
      </c>
      <c r="K323">
        <v>4979</v>
      </c>
      <c r="L323">
        <v>590</v>
      </c>
      <c r="M323">
        <v>11</v>
      </c>
      <c r="N323">
        <v>1846</v>
      </c>
      <c r="O323">
        <v>566</v>
      </c>
      <c r="P323">
        <v>6182000</v>
      </c>
      <c r="Q323">
        <v>4863000</v>
      </c>
      <c r="R323">
        <v>1319000</v>
      </c>
      <c r="S323">
        <v>219000</v>
      </c>
      <c r="T323" s="153">
        <f t="shared" si="33"/>
        <v>14289405</v>
      </c>
      <c r="U323" s="153">
        <f t="shared" si="34"/>
        <v>6706972.5</v>
      </c>
      <c r="V323" s="153">
        <f t="shared" si="35"/>
        <v>6706972.5</v>
      </c>
      <c r="X323" t="s">
        <v>493</v>
      </c>
      <c r="Y323">
        <v>5821</v>
      </c>
      <c r="Z323">
        <v>4525</v>
      </c>
      <c r="AA323">
        <v>4818708609.2715225</v>
      </c>
      <c r="AB323">
        <v>1309317129.6296296</v>
      </c>
      <c r="AC323" s="153">
        <f t="shared" si="30"/>
        <v>16937308.825934097</v>
      </c>
      <c r="AD323" s="153">
        <f t="shared" si="31"/>
        <v>6591308.8259340972</v>
      </c>
      <c r="AE323" s="153">
        <f t="shared" si="32"/>
        <v>6591308.8259340972</v>
      </c>
    </row>
    <row r="324" spans="1:31" x14ac:dyDescent="0.25">
      <c r="A324" t="s">
        <v>600</v>
      </c>
      <c r="B324" t="s">
        <v>327</v>
      </c>
      <c r="C324">
        <v>4073</v>
      </c>
      <c r="D324">
        <v>2220</v>
      </c>
      <c r="E324">
        <v>1853</v>
      </c>
      <c r="F324">
        <v>360</v>
      </c>
      <c r="G324">
        <v>749</v>
      </c>
      <c r="H324">
        <v>0</v>
      </c>
      <c r="I324">
        <v>155</v>
      </c>
      <c r="J324">
        <v>2070</v>
      </c>
      <c r="K324">
        <v>2390</v>
      </c>
      <c r="L324">
        <v>367</v>
      </c>
      <c r="M324">
        <v>168</v>
      </c>
      <c r="N324">
        <v>1350</v>
      </c>
      <c r="O324">
        <v>102</v>
      </c>
      <c r="P324">
        <v>2679000</v>
      </c>
      <c r="Q324">
        <v>2231000</v>
      </c>
      <c r="R324">
        <v>448000</v>
      </c>
      <c r="S324">
        <v>253000</v>
      </c>
      <c r="T324" s="153">
        <f t="shared" si="33"/>
        <v>5956935</v>
      </c>
      <c r="U324" s="153">
        <f t="shared" si="34"/>
        <v>2876757.5</v>
      </c>
      <c r="V324" s="153">
        <f t="shared" si="35"/>
        <v>2876757.5</v>
      </c>
      <c r="X324" t="s">
        <v>327</v>
      </c>
      <c r="Y324">
        <v>2134</v>
      </c>
      <c r="Z324">
        <v>1826</v>
      </c>
      <c r="AA324">
        <v>2255813953.4883718</v>
      </c>
      <c r="AB324">
        <v>406953420.99398267</v>
      </c>
      <c r="AC324" s="153">
        <f t="shared" si="30"/>
        <v>6990777.4915647786</v>
      </c>
      <c r="AD324" s="153">
        <f t="shared" si="31"/>
        <v>3030777.4915647786</v>
      </c>
      <c r="AE324" s="153">
        <f t="shared" si="32"/>
        <v>3030777.4915647786</v>
      </c>
    </row>
    <row r="325" spans="1:31" x14ac:dyDescent="0.25">
      <c r="A325" t="s">
        <v>601</v>
      </c>
      <c r="B325" t="s">
        <v>754</v>
      </c>
      <c r="C325">
        <v>11797</v>
      </c>
      <c r="D325">
        <v>6737</v>
      </c>
      <c r="E325">
        <v>5060</v>
      </c>
      <c r="F325">
        <v>346</v>
      </c>
      <c r="G325">
        <v>4559</v>
      </c>
      <c r="H325">
        <v>152</v>
      </c>
      <c r="I325">
        <v>194</v>
      </c>
      <c r="J325">
        <v>7081</v>
      </c>
      <c r="K325">
        <v>0</v>
      </c>
      <c r="L325">
        <v>900</v>
      </c>
      <c r="M325">
        <v>792</v>
      </c>
      <c r="N325">
        <v>1301</v>
      </c>
      <c r="O325">
        <v>133</v>
      </c>
      <c r="P325">
        <v>6422000</v>
      </c>
      <c r="Q325">
        <v>5200000</v>
      </c>
      <c r="R325">
        <v>1222000</v>
      </c>
      <c r="S325">
        <v>263000</v>
      </c>
      <c r="T325" s="153">
        <f t="shared" si="33"/>
        <v>14561820</v>
      </c>
      <c r="U325" s="153">
        <f t="shared" si="34"/>
        <v>5191790</v>
      </c>
      <c r="V325" s="153">
        <f t="shared" si="35"/>
        <v>5191790</v>
      </c>
      <c r="X325" t="s">
        <v>754</v>
      </c>
      <c r="Y325">
        <v>6737</v>
      </c>
      <c r="Z325">
        <v>5060</v>
      </c>
      <c r="AA325">
        <v>5226323740.9026861</v>
      </c>
      <c r="AB325">
        <v>1040963157.8786438</v>
      </c>
      <c r="AC325" s="153">
        <v>16643321.46236698</v>
      </c>
      <c r="AD325" s="153">
        <v>4846321.4623669796</v>
      </c>
      <c r="AE325" s="153">
        <v>4846321.4623669796</v>
      </c>
    </row>
    <row r="326" spans="1:31" x14ac:dyDescent="0.25">
      <c r="A326" t="s">
        <v>601</v>
      </c>
      <c r="B326" t="s">
        <v>255</v>
      </c>
      <c r="C326">
        <v>3830</v>
      </c>
      <c r="D326">
        <v>2324</v>
      </c>
      <c r="E326">
        <v>1506</v>
      </c>
      <c r="F326">
        <v>0</v>
      </c>
      <c r="G326">
        <v>0</v>
      </c>
      <c r="H326">
        <v>128</v>
      </c>
      <c r="I326">
        <v>86</v>
      </c>
      <c r="J326">
        <v>2439</v>
      </c>
      <c r="K326">
        <v>0</v>
      </c>
      <c r="L326">
        <v>166</v>
      </c>
      <c r="M326">
        <v>31</v>
      </c>
      <c r="N326">
        <v>495</v>
      </c>
      <c r="O326">
        <v>55</v>
      </c>
      <c r="P326">
        <v>2254000</v>
      </c>
      <c r="Q326">
        <v>1874000</v>
      </c>
      <c r="R326">
        <v>380000</v>
      </c>
      <c r="S326">
        <v>238000</v>
      </c>
      <c r="T326" s="153">
        <f t="shared" si="33"/>
        <v>5017770</v>
      </c>
      <c r="U326" s="153">
        <f t="shared" si="34"/>
        <v>2024065</v>
      </c>
      <c r="V326" s="153">
        <f t="shared" si="35"/>
        <v>2024065</v>
      </c>
      <c r="X326" t="s">
        <v>255</v>
      </c>
      <c r="Y326">
        <v>2309</v>
      </c>
      <c r="Z326">
        <v>1492</v>
      </c>
      <c r="AA326">
        <v>1796887159.5330737</v>
      </c>
      <c r="AB326">
        <v>297033645.23193312</v>
      </c>
      <c r="AC326" s="153">
        <f t="shared" si="30"/>
        <v>5445000.267459699</v>
      </c>
      <c r="AD326" s="153">
        <f t="shared" si="31"/>
        <v>1644000.267459699</v>
      </c>
      <c r="AE326" s="153">
        <f t="shared" si="32"/>
        <v>1644000.267459699</v>
      </c>
    </row>
    <row r="327" spans="1:31" x14ac:dyDescent="0.25">
      <c r="A327" t="s">
        <v>607</v>
      </c>
      <c r="B327" t="s">
        <v>755</v>
      </c>
      <c r="C327">
        <v>12219</v>
      </c>
      <c r="D327">
        <v>7425</v>
      </c>
      <c r="E327">
        <v>4794</v>
      </c>
      <c r="F327">
        <v>4</v>
      </c>
      <c r="G327">
        <v>0</v>
      </c>
      <c r="H327">
        <v>0</v>
      </c>
      <c r="I327">
        <v>32</v>
      </c>
      <c r="J327">
        <v>5799</v>
      </c>
      <c r="K327">
        <v>6312</v>
      </c>
      <c r="L327">
        <v>959</v>
      </c>
      <c r="M327">
        <v>532</v>
      </c>
      <c r="N327">
        <v>1428</v>
      </c>
      <c r="O327">
        <v>91</v>
      </c>
      <c r="P327">
        <v>6227000</v>
      </c>
      <c r="Q327">
        <v>5013000</v>
      </c>
      <c r="R327">
        <v>1214000</v>
      </c>
      <c r="S327">
        <v>202750</v>
      </c>
      <c r="T327" s="153">
        <f t="shared" si="33"/>
        <v>14175105</v>
      </c>
      <c r="U327" s="153">
        <f t="shared" si="34"/>
        <v>4318622.5</v>
      </c>
      <c r="V327" s="153">
        <f t="shared" si="35"/>
        <v>4318622.5</v>
      </c>
      <c r="X327" t="s">
        <v>755</v>
      </c>
      <c r="Y327">
        <v>7483</v>
      </c>
      <c r="Z327">
        <v>5234</v>
      </c>
      <c r="AA327">
        <v>4989038624.2341452</v>
      </c>
      <c r="AB327">
        <v>1210146129.0695229</v>
      </c>
      <c r="AC327" s="153">
        <v>16873516.196124546</v>
      </c>
      <c r="AD327" s="153">
        <v>4156516.1961245462</v>
      </c>
      <c r="AE327" s="153">
        <v>4156516.1961245462</v>
      </c>
    </row>
    <row r="328" spans="1:31" x14ac:dyDescent="0.25">
      <c r="A328" t="s">
        <v>598</v>
      </c>
      <c r="B328" t="s">
        <v>139</v>
      </c>
      <c r="C328">
        <v>3240</v>
      </c>
      <c r="D328">
        <v>2160</v>
      </c>
      <c r="E328">
        <v>1080</v>
      </c>
      <c r="F328">
        <v>0</v>
      </c>
      <c r="G328">
        <v>0</v>
      </c>
      <c r="H328">
        <v>840</v>
      </c>
      <c r="I328">
        <v>650</v>
      </c>
      <c r="J328">
        <v>2150</v>
      </c>
      <c r="K328">
        <v>1250</v>
      </c>
      <c r="L328">
        <v>348</v>
      </c>
      <c r="M328">
        <v>250</v>
      </c>
      <c r="N328">
        <v>373</v>
      </c>
      <c r="O328">
        <v>21</v>
      </c>
      <c r="P328">
        <v>2594000</v>
      </c>
      <c r="Q328">
        <v>2174000</v>
      </c>
      <c r="R328">
        <v>420000</v>
      </c>
      <c r="S328">
        <v>252000</v>
      </c>
      <c r="T328" s="153">
        <f t="shared" si="33"/>
        <v>5741670</v>
      </c>
      <c r="U328" s="153">
        <f t="shared" si="34"/>
        <v>3458615</v>
      </c>
      <c r="V328" s="153">
        <f t="shared" si="35"/>
        <v>3458615</v>
      </c>
      <c r="X328" t="s">
        <v>139</v>
      </c>
      <c r="Y328">
        <v>2204</v>
      </c>
      <c r="Z328">
        <v>1125</v>
      </c>
      <c r="AA328">
        <v>2137730358.8748786</v>
      </c>
      <c r="AB328">
        <v>443611987.38170344</v>
      </c>
      <c r="AC328" s="153">
        <f t="shared" si="30"/>
        <v>6888829.3358055884</v>
      </c>
      <c r="AD328" s="153">
        <f t="shared" si="31"/>
        <v>3559829.3358055884</v>
      </c>
      <c r="AE328" s="153">
        <f t="shared" si="32"/>
        <v>3559829.3358055884</v>
      </c>
    </row>
    <row r="329" spans="1:31" x14ac:dyDescent="0.25">
      <c r="A329" t="s">
        <v>601</v>
      </c>
      <c r="B329" t="s">
        <v>256</v>
      </c>
      <c r="C329">
        <v>2543</v>
      </c>
      <c r="D329">
        <v>2144</v>
      </c>
      <c r="E329">
        <v>399</v>
      </c>
      <c r="F329">
        <v>0</v>
      </c>
      <c r="G329">
        <v>140</v>
      </c>
      <c r="H329">
        <v>0</v>
      </c>
      <c r="I329">
        <v>138</v>
      </c>
      <c r="J329">
        <v>1476</v>
      </c>
      <c r="K329">
        <v>1418</v>
      </c>
      <c r="L329">
        <v>210</v>
      </c>
      <c r="M329">
        <v>63</v>
      </c>
      <c r="N329">
        <v>88</v>
      </c>
      <c r="O329">
        <v>29</v>
      </c>
      <c r="P329">
        <v>1340000</v>
      </c>
      <c r="Q329">
        <v>1233000</v>
      </c>
      <c r="R329">
        <v>107000</v>
      </c>
      <c r="S329">
        <v>186000</v>
      </c>
      <c r="T329" s="153">
        <f t="shared" si="33"/>
        <v>2756535</v>
      </c>
      <c r="U329" s="153">
        <f t="shared" si="34"/>
        <v>672957.5</v>
      </c>
      <c r="V329" s="153">
        <f t="shared" si="35"/>
        <v>672957.5</v>
      </c>
      <c r="X329" t="s">
        <v>256</v>
      </c>
      <c r="Y329">
        <v>2122</v>
      </c>
      <c r="Z329">
        <v>448</v>
      </c>
      <c r="AA329">
        <v>1235876528.8293536</v>
      </c>
      <c r="AB329">
        <v>105910165.48463356</v>
      </c>
      <c r="AC329" s="153">
        <f t="shared" si="30"/>
        <v>3296888.3153813924</v>
      </c>
      <c r="AD329" s="153">
        <f t="shared" si="31"/>
        <v>726888.31538139237</v>
      </c>
      <c r="AE329" s="153">
        <f t="shared" si="32"/>
        <v>726888.31538139237</v>
      </c>
    </row>
    <row r="330" spans="1:31" x14ac:dyDescent="0.25">
      <c r="A330" t="s">
        <v>607</v>
      </c>
      <c r="B330" t="s">
        <v>756</v>
      </c>
      <c r="C330">
        <v>5227</v>
      </c>
      <c r="D330">
        <v>4630</v>
      </c>
      <c r="E330">
        <v>597</v>
      </c>
      <c r="F330">
        <v>0</v>
      </c>
      <c r="G330">
        <v>0</v>
      </c>
      <c r="H330">
        <v>181</v>
      </c>
      <c r="I330">
        <v>51</v>
      </c>
      <c r="J330">
        <v>3703</v>
      </c>
      <c r="K330">
        <v>2306</v>
      </c>
      <c r="L330">
        <v>240</v>
      </c>
      <c r="M330">
        <v>70</v>
      </c>
      <c r="N330">
        <v>283</v>
      </c>
      <c r="O330">
        <v>34</v>
      </c>
      <c r="P330">
        <v>2408000</v>
      </c>
      <c r="Q330">
        <v>1889000</v>
      </c>
      <c r="R330">
        <v>519000</v>
      </c>
      <c r="S330">
        <v>171000</v>
      </c>
      <c r="T330" s="153">
        <f t="shared" si="33"/>
        <v>5575935</v>
      </c>
      <c r="U330" s="153">
        <f t="shared" si="34"/>
        <v>1278257.5</v>
      </c>
      <c r="V330" s="153">
        <f t="shared" si="35"/>
        <v>1278257.5</v>
      </c>
      <c r="X330" t="s">
        <v>756</v>
      </c>
      <c r="Y330">
        <v>2916.68</v>
      </c>
      <c r="Z330">
        <v>1475.2359999999999</v>
      </c>
      <c r="AA330">
        <v>1846000000</v>
      </c>
      <c r="AB330">
        <v>532000000</v>
      </c>
      <c r="AC330" s="153">
        <f t="shared" si="30"/>
        <v>6627040</v>
      </c>
      <c r="AD330" s="153">
        <f t="shared" si="31"/>
        <v>2235124</v>
      </c>
      <c r="AE330" s="153">
        <f t="shared" si="32"/>
        <v>2235124</v>
      </c>
    </row>
    <row r="331" spans="1:31" x14ac:dyDescent="0.25">
      <c r="A331" t="s">
        <v>603</v>
      </c>
      <c r="B331" t="s">
        <v>382</v>
      </c>
      <c r="C331">
        <v>27494</v>
      </c>
      <c r="D331">
        <v>14036</v>
      </c>
      <c r="E331">
        <v>13458</v>
      </c>
      <c r="F331">
        <v>38</v>
      </c>
      <c r="G331">
        <v>0</v>
      </c>
      <c r="H331">
        <v>253</v>
      </c>
      <c r="I331">
        <v>709</v>
      </c>
      <c r="J331">
        <v>12215</v>
      </c>
      <c r="K331">
        <v>8838</v>
      </c>
      <c r="L331">
        <v>1402</v>
      </c>
      <c r="M331">
        <v>1078</v>
      </c>
      <c r="N331">
        <v>5779</v>
      </c>
      <c r="O331">
        <v>618</v>
      </c>
      <c r="P331">
        <v>15991000</v>
      </c>
      <c r="Q331">
        <v>11140000</v>
      </c>
      <c r="R331">
        <v>4851000</v>
      </c>
      <c r="S331">
        <v>259000</v>
      </c>
      <c r="T331" s="153">
        <f t="shared" si="33"/>
        <v>39704010</v>
      </c>
      <c r="U331" s="153">
        <f t="shared" si="34"/>
        <v>18827345</v>
      </c>
      <c r="V331" s="153">
        <f t="shared" si="35"/>
        <v>18827345</v>
      </c>
      <c r="X331" t="s">
        <v>382</v>
      </c>
      <c r="Y331">
        <v>13702</v>
      </c>
      <c r="Z331">
        <v>13141</v>
      </c>
      <c r="AA331">
        <v>11277366255.144033</v>
      </c>
      <c r="AB331">
        <v>3592400218.6987424</v>
      </c>
      <c r="AC331" s="153">
        <f t="shared" si="30"/>
        <v>42044507.614481218</v>
      </c>
      <c r="AD331" s="153">
        <f t="shared" si="31"/>
        <v>15201507.614481218</v>
      </c>
      <c r="AE331" s="153">
        <f t="shared" si="32"/>
        <v>15201507.614481218</v>
      </c>
    </row>
    <row r="332" spans="1:31" x14ac:dyDescent="0.25">
      <c r="A332" t="s">
        <v>602</v>
      </c>
      <c r="B332" t="s">
        <v>184</v>
      </c>
      <c r="C332">
        <v>4693</v>
      </c>
      <c r="D332">
        <v>2926</v>
      </c>
      <c r="E332">
        <v>1767</v>
      </c>
      <c r="F332">
        <v>0</v>
      </c>
      <c r="G332">
        <v>2353</v>
      </c>
      <c r="H332">
        <v>120</v>
      </c>
      <c r="I332">
        <v>88</v>
      </c>
      <c r="J332">
        <v>1909</v>
      </c>
      <c r="K332">
        <v>2531</v>
      </c>
      <c r="L332">
        <v>276</v>
      </c>
      <c r="M332">
        <v>88</v>
      </c>
      <c r="N332">
        <v>533</v>
      </c>
      <c r="O332">
        <v>68</v>
      </c>
      <c r="P332">
        <v>2641000</v>
      </c>
      <c r="Q332">
        <v>2137000</v>
      </c>
      <c r="R332">
        <v>504000</v>
      </c>
      <c r="S332">
        <v>189000</v>
      </c>
      <c r="T332" s="153">
        <f t="shared" si="33"/>
        <v>5991225</v>
      </c>
      <c r="U332" s="153">
        <f t="shared" si="34"/>
        <v>2296762.5</v>
      </c>
      <c r="V332" s="153">
        <f t="shared" si="35"/>
        <v>2296762.5</v>
      </c>
      <c r="X332" t="s">
        <v>184</v>
      </c>
      <c r="Y332">
        <v>3037</v>
      </c>
      <c r="Z332">
        <v>2139</v>
      </c>
      <c r="AA332">
        <v>2192779783.3935018</v>
      </c>
      <c r="AB332">
        <v>512949640.28776979</v>
      </c>
      <c r="AC332" s="153">
        <f t="shared" si="30"/>
        <v>7330005.1216788301</v>
      </c>
      <c r="AD332" s="153">
        <f t="shared" si="31"/>
        <v>2154005.1216788301</v>
      </c>
      <c r="AE332" s="153">
        <f t="shared" si="32"/>
        <v>2154005.1216788301</v>
      </c>
    </row>
    <row r="333" spans="1:31" x14ac:dyDescent="0.25">
      <c r="A333" t="s">
        <v>603</v>
      </c>
      <c r="B333" t="s">
        <v>383</v>
      </c>
      <c r="C333">
        <v>2447</v>
      </c>
      <c r="D333">
        <v>2108</v>
      </c>
      <c r="E333">
        <v>339</v>
      </c>
      <c r="F333">
        <v>276</v>
      </c>
      <c r="G333">
        <v>0</v>
      </c>
      <c r="H333">
        <v>956</v>
      </c>
      <c r="I333">
        <v>97</v>
      </c>
      <c r="J333">
        <v>2536</v>
      </c>
      <c r="K333">
        <v>1563</v>
      </c>
      <c r="L333">
        <v>301</v>
      </c>
      <c r="M333">
        <v>345</v>
      </c>
      <c r="N333">
        <v>600</v>
      </c>
      <c r="O333">
        <v>45</v>
      </c>
      <c r="P333">
        <v>2308000</v>
      </c>
      <c r="Q333">
        <v>2042000</v>
      </c>
      <c r="R333">
        <v>266000</v>
      </c>
      <c r="S333">
        <v>310000</v>
      </c>
      <c r="T333" s="153">
        <f t="shared" si="33"/>
        <v>4903470</v>
      </c>
      <c r="U333" s="153">
        <f t="shared" si="34"/>
        <v>3273715</v>
      </c>
      <c r="V333" s="153">
        <f t="shared" si="35"/>
        <v>3273715</v>
      </c>
      <c r="X333" t="s">
        <v>383</v>
      </c>
      <c r="Y333">
        <v>1889</v>
      </c>
      <c r="Z333">
        <v>514</v>
      </c>
      <c r="AA333">
        <v>2011714589.9893506</v>
      </c>
      <c r="AB333">
        <v>292710706.15034175</v>
      </c>
      <c r="AC333" s="153">
        <f t="shared" si="30"/>
        <v>5914544.3892151704</v>
      </c>
      <c r="AD333" s="153">
        <f t="shared" si="31"/>
        <v>3511544.3892151704</v>
      </c>
      <c r="AE333" s="153">
        <f t="shared" si="32"/>
        <v>3511544.3892151704</v>
      </c>
    </row>
    <row r="334" spans="1:31" x14ac:dyDescent="0.25">
      <c r="A334" t="s">
        <v>604</v>
      </c>
      <c r="B334" t="s">
        <v>206</v>
      </c>
      <c r="C334">
        <v>3504</v>
      </c>
      <c r="D334">
        <v>2675</v>
      </c>
      <c r="E334">
        <v>829</v>
      </c>
      <c r="F334">
        <v>0</v>
      </c>
      <c r="G334">
        <v>0</v>
      </c>
      <c r="H334">
        <v>151</v>
      </c>
      <c r="I334">
        <v>145</v>
      </c>
      <c r="J334">
        <v>2779</v>
      </c>
      <c r="K334">
        <v>1556</v>
      </c>
      <c r="L334">
        <v>297</v>
      </c>
      <c r="M334">
        <v>273</v>
      </c>
      <c r="N334">
        <v>739</v>
      </c>
      <c r="O334">
        <v>59</v>
      </c>
      <c r="P334">
        <v>2791000</v>
      </c>
      <c r="Q334">
        <v>2373000</v>
      </c>
      <c r="R334">
        <v>418000</v>
      </c>
      <c r="S334">
        <v>246000</v>
      </c>
      <c r="T334" s="153">
        <f t="shared" si="33"/>
        <v>6113145</v>
      </c>
      <c r="U334" s="153">
        <f t="shared" si="34"/>
        <v>3628002.5</v>
      </c>
      <c r="V334" s="153">
        <f t="shared" si="35"/>
        <v>3628002.5</v>
      </c>
      <c r="X334" t="s">
        <v>206</v>
      </c>
      <c r="Y334">
        <v>2576</v>
      </c>
      <c r="Z334">
        <v>795</v>
      </c>
      <c r="AA334">
        <v>2372007366.4825048</v>
      </c>
      <c r="AB334">
        <v>381477927.06333977</v>
      </c>
      <c r="AC334" s="153">
        <f t="shared" si="30"/>
        <v>7139356.2410673155</v>
      </c>
      <c r="AD334" s="153">
        <f t="shared" si="31"/>
        <v>3768356.2410673155</v>
      </c>
      <c r="AE334" s="153">
        <f t="shared" si="32"/>
        <v>3768356.2410673155</v>
      </c>
    </row>
    <row r="335" spans="1:31" x14ac:dyDescent="0.25">
      <c r="A335" t="s">
        <v>601</v>
      </c>
      <c r="B335" t="s">
        <v>257</v>
      </c>
      <c r="C335">
        <v>8103</v>
      </c>
      <c r="D335">
        <v>5125</v>
      </c>
      <c r="E335">
        <v>2978</v>
      </c>
      <c r="F335">
        <v>0</v>
      </c>
      <c r="G335">
        <v>0</v>
      </c>
      <c r="H335">
        <v>49</v>
      </c>
      <c r="I335">
        <v>726</v>
      </c>
      <c r="J335">
        <v>4037</v>
      </c>
      <c r="K335">
        <v>3646</v>
      </c>
      <c r="L335">
        <v>529</v>
      </c>
      <c r="M335">
        <v>0</v>
      </c>
      <c r="N335">
        <v>800</v>
      </c>
      <c r="O335">
        <v>231</v>
      </c>
      <c r="P335">
        <v>4826000</v>
      </c>
      <c r="Q335">
        <v>4075000</v>
      </c>
      <c r="R335">
        <v>751000</v>
      </c>
      <c r="S335">
        <v>233000</v>
      </c>
      <c r="T335" s="153">
        <f t="shared" si="33"/>
        <v>10624185</v>
      </c>
      <c r="U335" s="153">
        <f t="shared" si="34"/>
        <v>4291882.5</v>
      </c>
      <c r="V335" s="153">
        <f t="shared" si="35"/>
        <v>4291882.5</v>
      </c>
      <c r="X335" t="s">
        <v>257</v>
      </c>
      <c r="Y335">
        <v>4896</v>
      </c>
      <c r="Z335">
        <v>3202</v>
      </c>
      <c r="AA335">
        <v>4056338028.1690145</v>
      </c>
      <c r="AB335">
        <v>782693717.91737962</v>
      </c>
      <c r="AC335" s="153">
        <f t="shared" si="30"/>
        <v>12802542.790024592</v>
      </c>
      <c r="AD335" s="153">
        <f t="shared" si="31"/>
        <v>4704542.7900245916</v>
      </c>
      <c r="AE335" s="153">
        <f t="shared" si="32"/>
        <v>4704542.7900245916</v>
      </c>
    </row>
    <row r="336" spans="1:31" x14ac:dyDescent="0.25">
      <c r="A336" t="s">
        <v>600</v>
      </c>
      <c r="B336" t="s">
        <v>328</v>
      </c>
      <c r="C336">
        <v>6421</v>
      </c>
      <c r="D336">
        <v>5135</v>
      </c>
      <c r="E336">
        <v>1286</v>
      </c>
      <c r="F336">
        <v>7</v>
      </c>
      <c r="G336">
        <v>0</v>
      </c>
      <c r="H336">
        <v>295</v>
      </c>
      <c r="I336">
        <v>615</v>
      </c>
      <c r="J336">
        <v>3338</v>
      </c>
      <c r="K336">
        <v>2561</v>
      </c>
      <c r="L336">
        <v>248</v>
      </c>
      <c r="M336">
        <v>340</v>
      </c>
      <c r="N336">
        <v>648</v>
      </c>
      <c r="O336">
        <v>56</v>
      </c>
      <c r="P336">
        <v>4156000</v>
      </c>
      <c r="Q336">
        <v>3726000</v>
      </c>
      <c r="R336">
        <v>430000</v>
      </c>
      <c r="S336">
        <v>350000</v>
      </c>
      <c r="T336" s="153">
        <f t="shared" si="33"/>
        <v>8736330</v>
      </c>
      <c r="U336" s="153">
        <f t="shared" si="34"/>
        <v>3771385</v>
      </c>
      <c r="V336" s="153">
        <f t="shared" si="35"/>
        <v>3771385</v>
      </c>
      <c r="X336" t="s">
        <v>328</v>
      </c>
      <c r="Y336">
        <v>4819</v>
      </c>
      <c r="Z336">
        <v>1523</v>
      </c>
      <c r="AA336">
        <v>3753115264.7975082</v>
      </c>
      <c r="AB336">
        <v>422000554.17013025</v>
      </c>
      <c r="AC336" s="153">
        <f t="shared" si="30"/>
        <v>10469166.353759078</v>
      </c>
      <c r="AD336" s="153">
        <f t="shared" si="31"/>
        <v>4127166.3537590783</v>
      </c>
      <c r="AE336" s="153">
        <f t="shared" si="32"/>
        <v>4127166.3537590783</v>
      </c>
    </row>
    <row r="337" spans="1:31" x14ac:dyDescent="0.25">
      <c r="A337" t="s">
        <v>606</v>
      </c>
      <c r="B337" t="s">
        <v>283</v>
      </c>
      <c r="C337">
        <v>5213</v>
      </c>
      <c r="D337">
        <v>3952</v>
      </c>
      <c r="E337">
        <v>1261</v>
      </c>
      <c r="F337">
        <v>36</v>
      </c>
      <c r="G337">
        <v>1100</v>
      </c>
      <c r="H337">
        <v>32</v>
      </c>
      <c r="I337">
        <v>118</v>
      </c>
      <c r="J337">
        <v>2438</v>
      </c>
      <c r="K337">
        <v>2069</v>
      </c>
      <c r="L337">
        <v>345</v>
      </c>
      <c r="M337">
        <v>171</v>
      </c>
      <c r="N337">
        <v>534</v>
      </c>
      <c r="O337">
        <v>127</v>
      </c>
      <c r="P337">
        <v>2829000</v>
      </c>
      <c r="Q337">
        <v>2520000</v>
      </c>
      <c r="R337">
        <v>309000</v>
      </c>
      <c r="S337">
        <v>260000</v>
      </c>
      <c r="T337" s="153">
        <f t="shared" si="33"/>
        <v>5977890</v>
      </c>
      <c r="U337" s="153">
        <f t="shared" si="34"/>
        <v>1761205</v>
      </c>
      <c r="V337" s="153">
        <f t="shared" si="35"/>
        <v>1761205</v>
      </c>
      <c r="X337" t="s">
        <v>283</v>
      </c>
      <c r="Y337">
        <v>3737</v>
      </c>
      <c r="Z337">
        <v>1410</v>
      </c>
      <c r="AA337">
        <v>2508053691.2751679</v>
      </c>
      <c r="AB337">
        <v>301668806.16174579</v>
      </c>
      <c r="AC337" s="153">
        <f t="shared" si="30"/>
        <v>7085675.1287286794</v>
      </c>
      <c r="AD337" s="153">
        <f t="shared" si="31"/>
        <v>1938675.1287286794</v>
      </c>
      <c r="AE337" s="153">
        <f t="shared" si="32"/>
        <v>1938675.1287286794</v>
      </c>
    </row>
    <row r="338" spans="1:31" x14ac:dyDescent="0.25">
      <c r="A338" t="s">
        <v>601</v>
      </c>
      <c r="B338" t="s">
        <v>258</v>
      </c>
      <c r="C338">
        <v>5573</v>
      </c>
      <c r="D338">
        <v>2817</v>
      </c>
      <c r="E338">
        <v>2756</v>
      </c>
      <c r="F338">
        <v>0</v>
      </c>
      <c r="G338">
        <v>50</v>
      </c>
      <c r="H338">
        <v>681</v>
      </c>
      <c r="I338">
        <v>175</v>
      </c>
      <c r="J338">
        <v>3780</v>
      </c>
      <c r="K338">
        <v>2408</v>
      </c>
      <c r="L338">
        <v>296</v>
      </c>
      <c r="M338">
        <v>204</v>
      </c>
      <c r="N338">
        <v>450</v>
      </c>
      <c r="O338">
        <v>152</v>
      </c>
      <c r="P338">
        <v>3056000</v>
      </c>
      <c r="Q338">
        <v>2316000</v>
      </c>
      <c r="R338">
        <v>740000</v>
      </c>
      <c r="S338">
        <v>179000</v>
      </c>
      <c r="T338" s="153">
        <f t="shared" si="33"/>
        <v>7231380</v>
      </c>
      <c r="U338" s="153">
        <f t="shared" si="34"/>
        <v>2863610</v>
      </c>
      <c r="V338" s="153">
        <f t="shared" si="35"/>
        <v>2863610</v>
      </c>
      <c r="X338" t="s">
        <v>258</v>
      </c>
      <c r="Y338">
        <v>2621</v>
      </c>
      <c r="Z338">
        <v>3044</v>
      </c>
      <c r="AA338">
        <v>2293088363.9545059</v>
      </c>
      <c r="AB338">
        <v>691503861.88096309</v>
      </c>
      <c r="AC338" s="153">
        <f t="shared" si="30"/>
        <v>8371696.1570928879</v>
      </c>
      <c r="AD338" s="153">
        <f t="shared" si="31"/>
        <v>2706696.1570928879</v>
      </c>
      <c r="AE338" s="153">
        <f t="shared" si="32"/>
        <v>2706696.1570928879</v>
      </c>
    </row>
    <row r="339" spans="1:31" x14ac:dyDescent="0.25">
      <c r="A339" t="s">
        <v>599</v>
      </c>
      <c r="B339" t="s">
        <v>459</v>
      </c>
      <c r="C339">
        <v>4283</v>
      </c>
      <c r="D339">
        <v>2572</v>
      </c>
      <c r="E339">
        <v>1711</v>
      </c>
      <c r="F339">
        <v>0</v>
      </c>
      <c r="G339">
        <v>0</v>
      </c>
      <c r="H339">
        <v>390</v>
      </c>
      <c r="I339">
        <v>138</v>
      </c>
      <c r="J339">
        <v>1893</v>
      </c>
      <c r="K339">
        <v>2054</v>
      </c>
      <c r="L339">
        <v>319</v>
      </c>
      <c r="M339">
        <v>71</v>
      </c>
      <c r="N339">
        <v>600</v>
      </c>
      <c r="O339">
        <v>105</v>
      </c>
      <c r="P339">
        <v>2855000</v>
      </c>
      <c r="Q339">
        <v>2254000</v>
      </c>
      <c r="R339">
        <v>601000</v>
      </c>
      <c r="S339">
        <v>233000</v>
      </c>
      <c r="T339" s="153">
        <f t="shared" si="33"/>
        <v>6583680</v>
      </c>
      <c r="U339" s="153">
        <f t="shared" si="34"/>
        <v>3397960</v>
      </c>
      <c r="V339" s="153">
        <f t="shared" si="35"/>
        <v>3397960</v>
      </c>
      <c r="X339" t="s">
        <v>459</v>
      </c>
      <c r="Y339">
        <v>2501</v>
      </c>
      <c r="Z339">
        <v>1824</v>
      </c>
      <c r="AA339">
        <v>2219165927.2404613</v>
      </c>
      <c r="AB339">
        <v>598032786.88524592</v>
      </c>
      <c r="AC339" s="153">
        <f t="shared" si="30"/>
        <v>7777620.5383022772</v>
      </c>
      <c r="AD339" s="153">
        <f t="shared" si="31"/>
        <v>3452620.5383022772</v>
      </c>
      <c r="AE339" s="153">
        <f t="shared" si="32"/>
        <v>3452620.5383022772</v>
      </c>
    </row>
    <row r="340" spans="1:31" x14ac:dyDescent="0.25">
      <c r="A340" t="s">
        <v>606</v>
      </c>
      <c r="B340" t="s">
        <v>284</v>
      </c>
      <c r="C340">
        <v>11426</v>
      </c>
      <c r="D340">
        <v>7132</v>
      </c>
      <c r="E340">
        <v>4294</v>
      </c>
      <c r="F340">
        <v>1748</v>
      </c>
      <c r="G340">
        <v>92</v>
      </c>
      <c r="H340">
        <v>90</v>
      </c>
      <c r="I340">
        <v>430</v>
      </c>
      <c r="J340">
        <v>4683</v>
      </c>
      <c r="K340">
        <v>4154</v>
      </c>
      <c r="L340">
        <v>809</v>
      </c>
      <c r="M340">
        <v>639</v>
      </c>
      <c r="N340">
        <v>1268</v>
      </c>
      <c r="O340">
        <v>275</v>
      </c>
      <c r="P340">
        <v>6770000</v>
      </c>
      <c r="Q340">
        <v>5687000</v>
      </c>
      <c r="R340">
        <v>1083000</v>
      </c>
      <c r="S340">
        <v>269000</v>
      </c>
      <c r="T340" s="153">
        <f t="shared" si="33"/>
        <v>14959965</v>
      </c>
      <c r="U340" s="153">
        <f t="shared" si="34"/>
        <v>6027292.5</v>
      </c>
      <c r="V340" s="153">
        <f t="shared" si="35"/>
        <v>6027292.5</v>
      </c>
      <c r="X340" t="s">
        <v>284</v>
      </c>
      <c r="Y340">
        <v>6922</v>
      </c>
      <c r="Z340">
        <v>4161</v>
      </c>
      <c r="AA340">
        <v>5758735440.9317808</v>
      </c>
      <c r="AB340">
        <v>1019603038.4709629</v>
      </c>
      <c r="AC340" s="153">
        <f t="shared" si="30"/>
        <v>17758512.150037721</v>
      </c>
      <c r="AD340" s="153">
        <f t="shared" si="31"/>
        <v>6675512.1500377208</v>
      </c>
      <c r="AE340" s="153">
        <f t="shared" si="32"/>
        <v>6675512.1500377208</v>
      </c>
    </row>
    <row r="341" spans="1:31" x14ac:dyDescent="0.25">
      <c r="A341" t="s">
        <v>600</v>
      </c>
      <c r="B341" t="s">
        <v>329</v>
      </c>
      <c r="C341">
        <v>3094</v>
      </c>
      <c r="D341">
        <v>2232</v>
      </c>
      <c r="E341">
        <v>862</v>
      </c>
      <c r="F341">
        <v>0</v>
      </c>
      <c r="G341">
        <v>298</v>
      </c>
      <c r="H341">
        <v>13</v>
      </c>
      <c r="I341">
        <v>119</v>
      </c>
      <c r="J341">
        <v>1696</v>
      </c>
      <c r="K341">
        <v>2291</v>
      </c>
      <c r="L341">
        <v>196</v>
      </c>
      <c r="M341">
        <v>147</v>
      </c>
      <c r="N341">
        <v>418</v>
      </c>
      <c r="O341">
        <v>31</v>
      </c>
      <c r="P341">
        <v>1894000</v>
      </c>
      <c r="Q341">
        <v>1632000</v>
      </c>
      <c r="R341">
        <v>262000</v>
      </c>
      <c r="S341">
        <v>236000</v>
      </c>
      <c r="T341" s="153">
        <f t="shared" si="33"/>
        <v>4107180</v>
      </c>
      <c r="U341" s="153">
        <f t="shared" si="34"/>
        <v>1697710</v>
      </c>
      <c r="V341" s="153">
        <f t="shared" si="35"/>
        <v>1697710</v>
      </c>
      <c r="X341" t="s">
        <v>329</v>
      </c>
      <c r="Y341">
        <v>2100</v>
      </c>
      <c r="Z341">
        <v>881</v>
      </c>
      <c r="AA341">
        <v>1611665387.5671527</v>
      </c>
      <c r="AB341">
        <v>257677683.53319687</v>
      </c>
      <c r="AC341" s="153">
        <f t="shared" si="30"/>
        <v>4843935.2652187962</v>
      </c>
      <c r="AD341" s="153">
        <f t="shared" si="31"/>
        <v>1862935.2652187962</v>
      </c>
      <c r="AE341" s="153">
        <f t="shared" si="32"/>
        <v>1862935.2652187962</v>
      </c>
    </row>
    <row r="342" spans="1:31" x14ac:dyDescent="0.25">
      <c r="A342" t="s">
        <v>606</v>
      </c>
      <c r="B342" t="s">
        <v>285</v>
      </c>
      <c r="C342">
        <v>2365</v>
      </c>
      <c r="D342">
        <v>1688</v>
      </c>
      <c r="E342">
        <v>677</v>
      </c>
      <c r="F342">
        <v>0</v>
      </c>
      <c r="G342">
        <v>0</v>
      </c>
      <c r="H342">
        <v>224</v>
      </c>
      <c r="I342">
        <v>63</v>
      </c>
      <c r="J342">
        <v>1081</v>
      </c>
      <c r="K342">
        <v>1162</v>
      </c>
      <c r="L342">
        <v>171</v>
      </c>
      <c r="M342">
        <v>206</v>
      </c>
      <c r="N342">
        <v>256</v>
      </c>
      <c r="O342">
        <v>6</v>
      </c>
      <c r="P342">
        <v>1609000</v>
      </c>
      <c r="Q342">
        <v>1369000</v>
      </c>
      <c r="R342">
        <v>240000</v>
      </c>
      <c r="S342">
        <v>288000</v>
      </c>
      <c r="T342" s="153">
        <f t="shared" si="33"/>
        <v>3522345</v>
      </c>
      <c r="U342" s="153">
        <f t="shared" si="34"/>
        <v>1744402.5</v>
      </c>
      <c r="V342" s="153">
        <f t="shared" si="35"/>
        <v>1744402.5</v>
      </c>
      <c r="X342" t="s">
        <v>285</v>
      </c>
      <c r="Y342">
        <v>1660</v>
      </c>
      <c r="Z342">
        <v>658</v>
      </c>
      <c r="AA342">
        <v>1406779661.0169494</v>
      </c>
      <c r="AB342">
        <v>214822069.8661443</v>
      </c>
      <c r="AC342" s="153">
        <f t="shared" si="30"/>
        <v>4182149.1355729313</v>
      </c>
      <c r="AD342" s="153">
        <f t="shared" si="31"/>
        <v>1864149.1355729313</v>
      </c>
      <c r="AE342" s="153">
        <f t="shared" si="32"/>
        <v>1864149.1355729313</v>
      </c>
    </row>
    <row r="343" spans="1:31" x14ac:dyDescent="0.25">
      <c r="A343" t="s">
        <v>600</v>
      </c>
      <c r="B343" t="s">
        <v>330</v>
      </c>
      <c r="C343">
        <v>35266</v>
      </c>
      <c r="D343">
        <v>18567</v>
      </c>
      <c r="E343">
        <v>16699</v>
      </c>
      <c r="F343">
        <v>3309</v>
      </c>
      <c r="G343">
        <v>246</v>
      </c>
      <c r="H343">
        <v>3010</v>
      </c>
      <c r="I343">
        <v>1003</v>
      </c>
      <c r="J343">
        <v>22430</v>
      </c>
      <c r="K343">
        <v>19268</v>
      </c>
      <c r="L343">
        <v>2133</v>
      </c>
      <c r="M343">
        <v>1032</v>
      </c>
      <c r="N343">
        <v>5134</v>
      </c>
      <c r="O343">
        <v>1277</v>
      </c>
      <c r="P343">
        <v>16888000</v>
      </c>
      <c r="Q343">
        <v>13855000</v>
      </c>
      <c r="R343">
        <v>3033000</v>
      </c>
      <c r="S343">
        <v>201000</v>
      </c>
      <c r="T343" s="153">
        <f t="shared" si="33"/>
        <v>37949505</v>
      </c>
      <c r="U343" s="153">
        <f t="shared" si="34"/>
        <v>9008422.5</v>
      </c>
      <c r="V343" s="153">
        <f t="shared" si="35"/>
        <v>9008422.5</v>
      </c>
      <c r="X343" t="s">
        <v>330</v>
      </c>
      <c r="Y343">
        <v>18640</v>
      </c>
      <c r="Z343">
        <v>18179</v>
      </c>
      <c r="AA343">
        <v>13879374534.623976</v>
      </c>
      <c r="AB343">
        <v>3078056214.0196409</v>
      </c>
      <c r="AC343" s="153">
        <f t="shared" si="30"/>
        <v>45627482.309638463</v>
      </c>
      <c r="AD343" s="153">
        <f t="shared" si="31"/>
        <v>8808482.309638463</v>
      </c>
      <c r="AE343" s="153">
        <f t="shared" si="32"/>
        <v>8808482.309638463</v>
      </c>
    </row>
    <row r="344" spans="1:31" x14ac:dyDescent="0.25">
      <c r="A344" t="s">
        <v>601</v>
      </c>
      <c r="B344" t="s">
        <v>259</v>
      </c>
      <c r="C344">
        <v>6437</v>
      </c>
      <c r="D344">
        <v>3286</v>
      </c>
      <c r="E344">
        <v>3151</v>
      </c>
      <c r="F344">
        <v>694</v>
      </c>
      <c r="G344">
        <v>2075</v>
      </c>
      <c r="H344">
        <v>223</v>
      </c>
      <c r="I344">
        <v>334</v>
      </c>
      <c r="J344">
        <v>3593</v>
      </c>
      <c r="K344">
        <v>0</v>
      </c>
      <c r="L344">
        <v>499</v>
      </c>
      <c r="M344">
        <v>383</v>
      </c>
      <c r="N344">
        <v>1254</v>
      </c>
      <c r="O344">
        <v>64</v>
      </c>
      <c r="P344">
        <v>3428000</v>
      </c>
      <c r="Q344">
        <v>2658000</v>
      </c>
      <c r="R344">
        <v>770000</v>
      </c>
      <c r="S344">
        <v>241000</v>
      </c>
      <c r="T344" s="153">
        <f t="shared" si="33"/>
        <v>7997190</v>
      </c>
      <c r="U344" s="153">
        <f t="shared" si="34"/>
        <v>2893055</v>
      </c>
      <c r="V344" s="153">
        <f t="shared" si="35"/>
        <v>2893055</v>
      </c>
      <c r="X344" t="s">
        <v>259</v>
      </c>
      <c r="Y344">
        <v>3240</v>
      </c>
      <c r="Z344">
        <v>3077</v>
      </c>
      <c r="AA344">
        <v>2724978973.9276705</v>
      </c>
      <c r="AB344">
        <v>623379254.4570502</v>
      </c>
      <c r="AC344" s="153">
        <f t="shared" si="30"/>
        <v>9044970.1609249935</v>
      </c>
      <c r="AD344" s="153">
        <f t="shared" si="31"/>
        <v>2727970.1609249935</v>
      </c>
      <c r="AE344" s="153">
        <f t="shared" si="32"/>
        <v>2727970.1609249935</v>
      </c>
    </row>
    <row r="345" spans="1:31" x14ac:dyDescent="0.25">
      <c r="A345" t="s">
        <v>600</v>
      </c>
      <c r="B345" t="s">
        <v>331</v>
      </c>
      <c r="C345">
        <v>4053</v>
      </c>
      <c r="D345">
        <v>2927</v>
      </c>
      <c r="E345">
        <v>1126</v>
      </c>
      <c r="F345">
        <v>4419</v>
      </c>
      <c r="G345">
        <v>635</v>
      </c>
      <c r="H345">
        <v>2440</v>
      </c>
      <c r="I345">
        <v>747</v>
      </c>
      <c r="J345">
        <v>2043</v>
      </c>
      <c r="K345">
        <v>1760</v>
      </c>
      <c r="L345">
        <v>366</v>
      </c>
      <c r="M345">
        <v>125</v>
      </c>
      <c r="N345">
        <v>212</v>
      </c>
      <c r="O345">
        <v>130</v>
      </c>
      <c r="P345">
        <v>2881000</v>
      </c>
      <c r="Q345">
        <v>2528000</v>
      </c>
      <c r="R345">
        <v>353000</v>
      </c>
      <c r="S345">
        <v>281000</v>
      </c>
      <c r="T345" s="153">
        <f t="shared" si="33"/>
        <v>6160770</v>
      </c>
      <c r="U345" s="153">
        <f t="shared" si="34"/>
        <v>3134565</v>
      </c>
      <c r="V345" s="153">
        <f t="shared" si="35"/>
        <v>3134565</v>
      </c>
      <c r="X345" t="s">
        <v>331</v>
      </c>
      <c r="Y345">
        <v>2850</v>
      </c>
      <c r="Z345">
        <v>1246</v>
      </c>
      <c r="AA345">
        <v>2602739726.0273972</v>
      </c>
      <c r="AB345">
        <v>347462353.59732288</v>
      </c>
      <c r="AC345" s="153">
        <f t="shared" si="30"/>
        <v>7509881.1359243309</v>
      </c>
      <c r="AD345" s="153">
        <f t="shared" si="31"/>
        <v>3413881.1359243309</v>
      </c>
      <c r="AE345" s="153">
        <f t="shared" si="32"/>
        <v>3413881.1359243309</v>
      </c>
    </row>
    <row r="346" spans="1:31" x14ac:dyDescent="0.25">
      <c r="A346" t="s">
        <v>605</v>
      </c>
      <c r="B346" t="s">
        <v>499</v>
      </c>
      <c r="C346">
        <v>5241</v>
      </c>
      <c r="D346">
        <v>2612</v>
      </c>
      <c r="E346">
        <v>2629</v>
      </c>
      <c r="F346">
        <v>0</v>
      </c>
      <c r="G346">
        <v>935</v>
      </c>
      <c r="H346">
        <v>2279</v>
      </c>
      <c r="I346">
        <v>413</v>
      </c>
      <c r="J346">
        <v>1601</v>
      </c>
      <c r="K346">
        <v>2217</v>
      </c>
      <c r="L346">
        <v>343</v>
      </c>
      <c r="M346">
        <v>84</v>
      </c>
      <c r="N346">
        <v>4802</v>
      </c>
      <c r="O346">
        <v>60</v>
      </c>
      <c r="P346">
        <v>3016000</v>
      </c>
      <c r="Q346">
        <v>2081000</v>
      </c>
      <c r="R346">
        <v>935000</v>
      </c>
      <c r="S346">
        <v>240000</v>
      </c>
      <c r="T346" s="153">
        <f t="shared" si="33"/>
        <v>7526655</v>
      </c>
      <c r="U346" s="153">
        <f t="shared" si="34"/>
        <v>3540097.5</v>
      </c>
      <c r="V346" s="153">
        <f t="shared" si="35"/>
        <v>3540097.5</v>
      </c>
      <c r="X346" t="s">
        <v>499</v>
      </c>
      <c r="Y346">
        <v>2437</v>
      </c>
      <c r="Z346">
        <v>2578</v>
      </c>
      <c r="AA346">
        <v>2037625418.0602007</v>
      </c>
      <c r="AB346">
        <v>839465971.99609232</v>
      </c>
      <c r="AC346" s="153">
        <f t="shared" si="30"/>
        <v>8463839.9658472966</v>
      </c>
      <c r="AD346" s="153">
        <f t="shared" si="31"/>
        <v>3448839.9658472966</v>
      </c>
      <c r="AE346" s="153">
        <f t="shared" si="32"/>
        <v>3448839.9658472966</v>
      </c>
    </row>
    <row r="347" spans="1:31" x14ac:dyDescent="0.25">
      <c r="A347" t="s">
        <v>606</v>
      </c>
      <c r="B347" t="s">
        <v>286</v>
      </c>
      <c r="C347">
        <v>11532</v>
      </c>
      <c r="D347">
        <v>6779</v>
      </c>
      <c r="E347">
        <v>4753</v>
      </c>
      <c r="F347">
        <v>2775</v>
      </c>
      <c r="G347">
        <v>132</v>
      </c>
      <c r="H347">
        <v>320</v>
      </c>
      <c r="I347">
        <v>601</v>
      </c>
      <c r="J347">
        <v>4807</v>
      </c>
      <c r="K347">
        <v>6947</v>
      </c>
      <c r="L347">
        <v>1365</v>
      </c>
      <c r="M347">
        <v>758</v>
      </c>
      <c r="N347">
        <v>4253</v>
      </c>
      <c r="O347">
        <v>92</v>
      </c>
      <c r="P347">
        <v>10290000</v>
      </c>
      <c r="Q347">
        <v>8741000</v>
      </c>
      <c r="R347">
        <v>1549000</v>
      </c>
      <c r="S347">
        <v>318000</v>
      </c>
      <c r="T347" s="153">
        <f t="shared" si="33"/>
        <v>22553295</v>
      </c>
      <c r="U347" s="153">
        <f t="shared" si="34"/>
        <v>14780177.5</v>
      </c>
      <c r="V347" s="153">
        <f t="shared" si="35"/>
        <v>14780177.5</v>
      </c>
      <c r="X347" t="s">
        <v>286</v>
      </c>
      <c r="Y347">
        <v>6586</v>
      </c>
      <c r="Z347">
        <v>5167</v>
      </c>
      <c r="AA347">
        <v>8531088082.9015541</v>
      </c>
      <c r="AB347">
        <v>1566232191.573204</v>
      </c>
      <c r="AC347" s="153">
        <f t="shared" si="30"/>
        <v>26561796.816013224</v>
      </c>
      <c r="AD347" s="153">
        <f t="shared" si="31"/>
        <v>14808796.816013224</v>
      </c>
      <c r="AE347" s="153">
        <f t="shared" si="32"/>
        <v>14808796.816013224</v>
      </c>
    </row>
    <row r="348" spans="1:31" x14ac:dyDescent="0.25">
      <c r="A348" t="s">
        <v>601</v>
      </c>
      <c r="B348" t="s">
        <v>260</v>
      </c>
      <c r="C348">
        <v>10091</v>
      </c>
      <c r="D348">
        <v>6332</v>
      </c>
      <c r="E348">
        <v>3759</v>
      </c>
      <c r="F348">
        <v>1224</v>
      </c>
      <c r="G348">
        <v>2210</v>
      </c>
      <c r="H348">
        <v>382</v>
      </c>
      <c r="I348">
        <v>483</v>
      </c>
      <c r="J348">
        <v>4461</v>
      </c>
      <c r="K348">
        <v>3084</v>
      </c>
      <c r="L348">
        <v>809</v>
      </c>
      <c r="M348">
        <v>143</v>
      </c>
      <c r="N348">
        <v>805</v>
      </c>
      <c r="O348">
        <v>93</v>
      </c>
      <c r="P348">
        <v>4479000</v>
      </c>
      <c r="Q348">
        <v>3662000</v>
      </c>
      <c r="R348">
        <v>817000</v>
      </c>
      <c r="S348">
        <v>185000</v>
      </c>
      <c r="T348" s="153">
        <f t="shared" si="33"/>
        <v>10088880</v>
      </c>
      <c r="U348" s="153">
        <f t="shared" si="34"/>
        <v>1679360</v>
      </c>
      <c r="V348" s="153">
        <f t="shared" si="35"/>
        <v>1679360</v>
      </c>
      <c r="X348" t="s">
        <v>260</v>
      </c>
      <c r="Y348" s="154">
        <v>6113.8919999999998</v>
      </c>
      <c r="Z348" s="154">
        <v>4236.6939999999995</v>
      </c>
      <c r="AA348">
        <v>3532000000</v>
      </c>
      <c r="AB348">
        <v>847000000</v>
      </c>
      <c r="AC348" s="153">
        <f t="shared" si="30"/>
        <v>11901344</v>
      </c>
      <c r="AD348" s="153">
        <f t="shared" si="31"/>
        <v>1550758.0000000009</v>
      </c>
      <c r="AE348" s="153">
        <f t="shared" si="32"/>
        <v>1550758.0000000009</v>
      </c>
    </row>
    <row r="349" spans="1:31" x14ac:dyDescent="0.25">
      <c r="A349" t="s">
        <v>603</v>
      </c>
      <c r="B349" t="s">
        <v>385</v>
      </c>
      <c r="C349">
        <v>33631</v>
      </c>
      <c r="D349">
        <v>20243</v>
      </c>
      <c r="E349">
        <v>13388</v>
      </c>
      <c r="F349">
        <v>2273</v>
      </c>
      <c r="G349">
        <v>342</v>
      </c>
      <c r="H349">
        <v>302</v>
      </c>
      <c r="I349">
        <v>724</v>
      </c>
      <c r="J349">
        <v>6151</v>
      </c>
      <c r="K349">
        <v>14135</v>
      </c>
      <c r="L349">
        <v>1307</v>
      </c>
      <c r="M349">
        <v>618</v>
      </c>
      <c r="N349">
        <v>1451</v>
      </c>
      <c r="O349">
        <v>308</v>
      </c>
      <c r="P349">
        <v>13009000</v>
      </c>
      <c r="Q349">
        <v>11134000</v>
      </c>
      <c r="R349">
        <v>1875000</v>
      </c>
      <c r="S349">
        <v>200000</v>
      </c>
      <c r="T349" s="153">
        <f t="shared" si="33"/>
        <v>28354020</v>
      </c>
      <c r="U349" s="153">
        <f t="shared" si="34"/>
        <v>-551310</v>
      </c>
      <c r="V349" s="153">
        <f t="shared" si="35"/>
        <v>0</v>
      </c>
      <c r="X349" t="s">
        <v>385</v>
      </c>
      <c r="Y349">
        <v>19754</v>
      </c>
      <c r="Z349">
        <v>11606</v>
      </c>
      <c r="AA349">
        <v>11011148272.017838</v>
      </c>
      <c r="AB349">
        <v>1593136582.0178452</v>
      </c>
      <c r="AC349" s="153">
        <f t="shared" si="30"/>
        <v>32332261.083705902</v>
      </c>
      <c r="AD349" s="153">
        <f t="shared" si="31"/>
        <v>972261.0837059021</v>
      </c>
      <c r="AE349" s="153">
        <f t="shared" si="32"/>
        <v>972261.0837059021</v>
      </c>
    </row>
    <row r="350" spans="1:31" x14ac:dyDescent="0.25">
      <c r="A350" t="s">
        <v>603</v>
      </c>
      <c r="B350" t="s">
        <v>386</v>
      </c>
      <c r="C350">
        <v>3796</v>
      </c>
      <c r="D350">
        <v>1216</v>
      </c>
      <c r="E350">
        <v>2580</v>
      </c>
      <c r="F350">
        <v>0</v>
      </c>
      <c r="G350">
        <v>754</v>
      </c>
      <c r="H350">
        <v>0</v>
      </c>
      <c r="I350">
        <v>0</v>
      </c>
      <c r="J350">
        <v>1018</v>
      </c>
      <c r="K350">
        <v>600</v>
      </c>
      <c r="L350">
        <v>102</v>
      </c>
      <c r="M350">
        <v>5</v>
      </c>
      <c r="N350">
        <v>560</v>
      </c>
      <c r="O350">
        <v>27</v>
      </c>
      <c r="P350">
        <v>1445000</v>
      </c>
      <c r="Q350">
        <v>977000</v>
      </c>
      <c r="R350">
        <v>468000</v>
      </c>
      <c r="S350">
        <v>283000</v>
      </c>
      <c r="T350" s="153">
        <f t="shared" si="33"/>
        <v>3644265</v>
      </c>
      <c r="U350" s="153">
        <f t="shared" si="34"/>
        <v>455642.5</v>
      </c>
      <c r="V350" s="153">
        <f t="shared" si="35"/>
        <v>455642.5</v>
      </c>
      <c r="X350" t="s">
        <v>386</v>
      </c>
      <c r="Y350">
        <v>1189</v>
      </c>
      <c r="Z350">
        <v>2522</v>
      </c>
      <c r="AA350">
        <v>1015371477.3697695</v>
      </c>
      <c r="AB350">
        <v>414734418.68113798</v>
      </c>
      <c r="AC350" s="153">
        <f t="shared" si="30"/>
        <v>4201316.343416444</v>
      </c>
      <c r="AD350" s="153">
        <f t="shared" si="31"/>
        <v>490316.34341644403</v>
      </c>
      <c r="AE350" s="153">
        <f t="shared" si="32"/>
        <v>490316.34341644403</v>
      </c>
    </row>
    <row r="351" spans="1:31" x14ac:dyDescent="0.25">
      <c r="A351" t="s">
        <v>603</v>
      </c>
      <c r="B351" t="s">
        <v>387</v>
      </c>
      <c r="C351">
        <v>7748</v>
      </c>
      <c r="D351">
        <v>5185</v>
      </c>
      <c r="E351">
        <v>2563</v>
      </c>
      <c r="F351">
        <v>12</v>
      </c>
      <c r="G351">
        <v>1906</v>
      </c>
      <c r="H351">
        <v>108</v>
      </c>
      <c r="I351">
        <v>92</v>
      </c>
      <c r="J351">
        <v>4749</v>
      </c>
      <c r="K351">
        <v>4190</v>
      </c>
      <c r="L351">
        <v>385</v>
      </c>
      <c r="M351">
        <v>469</v>
      </c>
      <c r="N351">
        <v>1193</v>
      </c>
      <c r="O351">
        <v>54</v>
      </c>
      <c r="P351">
        <v>5272000</v>
      </c>
      <c r="Q351">
        <v>4265000</v>
      </c>
      <c r="R351">
        <v>1007000</v>
      </c>
      <c r="S351">
        <v>239000</v>
      </c>
      <c r="T351" s="153">
        <f t="shared" si="33"/>
        <v>11961495</v>
      </c>
      <c r="U351" s="153">
        <f t="shared" si="34"/>
        <v>6207077.5</v>
      </c>
      <c r="V351" s="153">
        <f t="shared" si="35"/>
        <v>6207077.5</v>
      </c>
      <c r="X351" t="s">
        <v>387</v>
      </c>
      <c r="Y351">
        <v>5122</v>
      </c>
      <c r="Z351">
        <v>2967</v>
      </c>
      <c r="AA351">
        <v>4184640522.8758168</v>
      </c>
      <c r="AB351">
        <v>947923322.68370605</v>
      </c>
      <c r="AC351" s="153">
        <f t="shared" si="30"/>
        <v>13847296.111145914</v>
      </c>
      <c r="AD351" s="153">
        <f t="shared" si="31"/>
        <v>5758296.1111459136</v>
      </c>
      <c r="AE351" s="153">
        <f t="shared" si="32"/>
        <v>5758296.1111459136</v>
      </c>
    </row>
    <row r="352" spans="1:31" x14ac:dyDescent="0.25">
      <c r="A352" t="s">
        <v>599</v>
      </c>
      <c r="B352" t="s">
        <v>461</v>
      </c>
      <c r="C352">
        <v>4649</v>
      </c>
      <c r="D352">
        <v>3374</v>
      </c>
      <c r="E352">
        <v>1275</v>
      </c>
      <c r="F352">
        <v>0</v>
      </c>
      <c r="G352">
        <v>0</v>
      </c>
      <c r="H352">
        <v>144</v>
      </c>
      <c r="I352">
        <v>86</v>
      </c>
      <c r="J352">
        <v>2158</v>
      </c>
      <c r="K352">
        <v>1512</v>
      </c>
      <c r="L352">
        <v>191</v>
      </c>
      <c r="M352">
        <v>2</v>
      </c>
      <c r="N352">
        <v>633</v>
      </c>
      <c r="O352">
        <v>110</v>
      </c>
      <c r="P352">
        <v>2966000</v>
      </c>
      <c r="Q352">
        <v>2505000</v>
      </c>
      <c r="R352">
        <v>461000</v>
      </c>
      <c r="S352">
        <v>275000</v>
      </c>
      <c r="T352" s="153">
        <f t="shared" si="33"/>
        <v>6528435</v>
      </c>
      <c r="U352" s="153">
        <f t="shared" si="34"/>
        <v>2967507.5</v>
      </c>
      <c r="V352" s="153">
        <f t="shared" si="35"/>
        <v>2967507.5</v>
      </c>
      <c r="X352" t="s">
        <v>461</v>
      </c>
      <c r="Y352">
        <v>3107</v>
      </c>
      <c r="Z352">
        <v>1498</v>
      </c>
      <c r="AA352">
        <v>2477671451.3556619</v>
      </c>
      <c r="AB352">
        <v>480282141.71208715</v>
      </c>
      <c r="AC352" s="153">
        <f t="shared" si="30"/>
        <v>7830008.8466719473</v>
      </c>
      <c r="AD352" s="153">
        <f t="shared" si="31"/>
        <v>3225008.8466719473</v>
      </c>
      <c r="AE352" s="153">
        <f t="shared" si="32"/>
        <v>3225008.8466719473</v>
      </c>
    </row>
    <row r="353" spans="1:31" x14ac:dyDescent="0.25">
      <c r="A353" t="s">
        <v>601</v>
      </c>
      <c r="B353" t="s">
        <v>261</v>
      </c>
      <c r="C353">
        <v>9528</v>
      </c>
      <c r="D353">
        <v>5489</v>
      </c>
      <c r="E353">
        <v>4039</v>
      </c>
      <c r="F353">
        <v>2137</v>
      </c>
      <c r="G353">
        <v>2009</v>
      </c>
      <c r="H353">
        <v>123</v>
      </c>
      <c r="I353">
        <v>751</v>
      </c>
      <c r="J353">
        <v>4198</v>
      </c>
      <c r="K353">
        <v>4495</v>
      </c>
      <c r="L353">
        <v>835</v>
      </c>
      <c r="M353">
        <v>343</v>
      </c>
      <c r="N353">
        <v>1274</v>
      </c>
      <c r="O353">
        <v>345</v>
      </c>
      <c r="P353">
        <v>5148000</v>
      </c>
      <c r="Q353">
        <v>4110000</v>
      </c>
      <c r="R353">
        <v>1038000</v>
      </c>
      <c r="S353">
        <v>189000</v>
      </c>
      <c r="T353" s="153">
        <f t="shared" si="33"/>
        <v>11784330</v>
      </c>
      <c r="U353" s="153">
        <f t="shared" si="34"/>
        <v>4220385</v>
      </c>
      <c r="V353" s="153">
        <f t="shared" si="35"/>
        <v>4220385</v>
      </c>
      <c r="X353" t="s">
        <v>261</v>
      </c>
      <c r="Y353">
        <v>5143</v>
      </c>
      <c r="Z353">
        <v>4370</v>
      </c>
      <c r="AA353">
        <v>4075277337.5594292</v>
      </c>
      <c r="AB353">
        <v>1006912442.3963133</v>
      </c>
      <c r="AC353" s="153">
        <f t="shared" si="30"/>
        <v>13866915.461036416</v>
      </c>
      <c r="AD353" s="153">
        <f t="shared" si="31"/>
        <v>4353915.4610364158</v>
      </c>
      <c r="AE353" s="153">
        <f t="shared" si="32"/>
        <v>4353915.4610364158</v>
      </c>
    </row>
    <row r="354" spans="1:31" x14ac:dyDescent="0.25">
      <c r="A354" t="s">
        <v>604</v>
      </c>
      <c r="B354" t="s">
        <v>207</v>
      </c>
      <c r="C354">
        <v>4525</v>
      </c>
      <c r="D354">
        <v>1975</v>
      </c>
      <c r="E354">
        <v>2550</v>
      </c>
      <c r="F354">
        <v>0</v>
      </c>
      <c r="G354">
        <v>17</v>
      </c>
      <c r="H354">
        <v>50</v>
      </c>
      <c r="I354">
        <v>91</v>
      </c>
      <c r="J354">
        <v>3407</v>
      </c>
      <c r="K354">
        <v>1222</v>
      </c>
      <c r="L354">
        <v>220</v>
      </c>
      <c r="M354">
        <v>375</v>
      </c>
      <c r="N354">
        <v>934</v>
      </c>
      <c r="O354">
        <v>307</v>
      </c>
      <c r="P354">
        <v>2389000</v>
      </c>
      <c r="Q354">
        <v>1707000</v>
      </c>
      <c r="R354">
        <v>682000</v>
      </c>
      <c r="S354">
        <v>199000</v>
      </c>
      <c r="T354" s="153">
        <f t="shared" si="33"/>
        <v>5850255</v>
      </c>
      <c r="U354" s="153">
        <f t="shared" si="34"/>
        <v>2300297.5</v>
      </c>
      <c r="V354" s="153">
        <f t="shared" si="35"/>
        <v>2300297.5</v>
      </c>
      <c r="X354" t="s">
        <v>207</v>
      </c>
      <c r="Y354">
        <v>1967</v>
      </c>
      <c r="Z354">
        <v>2482</v>
      </c>
      <c r="AA354">
        <v>1719405594.4055943</v>
      </c>
      <c r="AB354">
        <v>632034632.03463209</v>
      </c>
      <c r="AC354" s="153">
        <f t="shared" si="30"/>
        <v>6794366.7443667445</v>
      </c>
      <c r="AD354" s="153">
        <f t="shared" si="31"/>
        <v>2345366.7443667445</v>
      </c>
      <c r="AE354" s="153">
        <f t="shared" si="32"/>
        <v>2345366.7443667445</v>
      </c>
    </row>
    <row r="355" spans="1:31" x14ac:dyDescent="0.25">
      <c r="A355" t="s">
        <v>603</v>
      </c>
      <c r="B355" t="s">
        <v>388</v>
      </c>
      <c r="C355">
        <v>9712</v>
      </c>
      <c r="D355">
        <v>4844</v>
      </c>
      <c r="E355">
        <v>4868</v>
      </c>
      <c r="F355">
        <v>334</v>
      </c>
      <c r="G355">
        <v>1356</v>
      </c>
      <c r="H355">
        <v>0</v>
      </c>
      <c r="I355">
        <v>283</v>
      </c>
      <c r="J355">
        <v>6332</v>
      </c>
      <c r="K355">
        <v>6184</v>
      </c>
      <c r="L355">
        <v>510</v>
      </c>
      <c r="M355">
        <v>696</v>
      </c>
      <c r="N355">
        <v>526</v>
      </c>
      <c r="O355">
        <v>76</v>
      </c>
      <c r="P355">
        <v>4612000</v>
      </c>
      <c r="Q355">
        <v>3731000</v>
      </c>
      <c r="R355">
        <v>881000</v>
      </c>
      <c r="S355">
        <v>182000</v>
      </c>
      <c r="T355" s="153">
        <f t="shared" si="33"/>
        <v>10464165</v>
      </c>
      <c r="U355" s="153">
        <f t="shared" si="34"/>
        <v>2496192.5</v>
      </c>
      <c r="V355" s="153">
        <f t="shared" si="35"/>
        <v>2496192.5</v>
      </c>
      <c r="X355" t="s">
        <v>388</v>
      </c>
      <c r="Y355">
        <v>4768</v>
      </c>
      <c r="Z355">
        <v>5091</v>
      </c>
      <c r="AA355">
        <v>3727912431.5871768</v>
      </c>
      <c r="AB355">
        <v>880034572.16940355</v>
      </c>
      <c r="AC355" s="153">
        <f t="shared" si="30"/>
        <v>12497963.375575442</v>
      </c>
      <c r="AD355" s="153">
        <f t="shared" si="31"/>
        <v>2638963.3755754419</v>
      </c>
      <c r="AE355" s="153">
        <f t="shared" si="32"/>
        <v>2638963.3755754419</v>
      </c>
    </row>
    <row r="356" spans="1:31" x14ac:dyDescent="0.25">
      <c r="A356" t="s">
        <v>604</v>
      </c>
      <c r="B356" t="s">
        <v>208</v>
      </c>
      <c r="C356">
        <v>40006</v>
      </c>
      <c r="D356">
        <v>16343</v>
      </c>
      <c r="E356">
        <v>23663</v>
      </c>
      <c r="F356">
        <v>9405</v>
      </c>
      <c r="G356">
        <v>310</v>
      </c>
      <c r="H356">
        <v>150</v>
      </c>
      <c r="I356">
        <v>0</v>
      </c>
      <c r="J356">
        <v>6781</v>
      </c>
      <c r="K356">
        <v>14143</v>
      </c>
      <c r="L356">
        <v>1786</v>
      </c>
      <c r="M356">
        <v>989</v>
      </c>
      <c r="N356">
        <v>4118</v>
      </c>
      <c r="O356">
        <v>793</v>
      </c>
      <c r="P356">
        <v>16249000</v>
      </c>
      <c r="Q356">
        <v>12229000</v>
      </c>
      <c r="R356">
        <v>4020000</v>
      </c>
      <c r="S356">
        <v>219000</v>
      </c>
      <c r="T356" s="153">
        <f t="shared" si="33"/>
        <v>38612445</v>
      </c>
      <c r="U356" s="153">
        <f t="shared" si="34"/>
        <v>5041852.5</v>
      </c>
      <c r="V356" s="153">
        <f t="shared" si="35"/>
        <v>5041852.5</v>
      </c>
      <c r="X356" t="s">
        <v>208</v>
      </c>
      <c r="Y356">
        <v>15645</v>
      </c>
      <c r="Z356">
        <v>25932</v>
      </c>
      <c r="AA356">
        <v>12251370399.373529</v>
      </c>
      <c r="AB356">
        <v>3872181573.8390326</v>
      </c>
      <c r="AC356" s="153">
        <f t="shared" si="30"/>
        <v>45536950.531152166</v>
      </c>
      <c r="AD356" s="153">
        <f t="shared" si="31"/>
        <v>3959950.5311521664</v>
      </c>
      <c r="AE356" s="153">
        <f t="shared" si="32"/>
        <v>3959950.5311521664</v>
      </c>
    </row>
    <row r="357" spans="1:31" x14ac:dyDescent="0.25">
      <c r="A357"/>
      <c r="B357" t="s">
        <v>510</v>
      </c>
      <c r="C357">
        <f t="shared" ref="C357:R357" si="36">SUM(C2:C356)</f>
        <v>4098709</v>
      </c>
      <c r="D357">
        <f t="shared" si="36"/>
        <v>2147982</v>
      </c>
      <c r="E357">
        <f t="shared" si="36"/>
        <v>1950727</v>
      </c>
      <c r="F357">
        <f t="shared" si="36"/>
        <v>927387</v>
      </c>
      <c r="G357">
        <f t="shared" si="36"/>
        <v>270962</v>
      </c>
      <c r="H357">
        <f t="shared" si="36"/>
        <v>292766</v>
      </c>
      <c r="I357">
        <f t="shared" si="36"/>
        <v>123658</v>
      </c>
      <c r="J357">
        <f t="shared" si="36"/>
        <v>1644336</v>
      </c>
      <c r="K357">
        <f t="shared" si="36"/>
        <v>1807470</v>
      </c>
      <c r="L357">
        <f t="shared" si="36"/>
        <v>250002</v>
      </c>
      <c r="M357">
        <f t="shared" si="36"/>
        <v>116518</v>
      </c>
      <c r="N357">
        <f t="shared" si="36"/>
        <v>493347</v>
      </c>
      <c r="O357">
        <f t="shared" si="36"/>
        <v>120067</v>
      </c>
      <c r="P357">
        <f t="shared" si="36"/>
        <v>2195033000</v>
      </c>
      <c r="Q357">
        <f t="shared" si="36"/>
        <v>1761428000</v>
      </c>
      <c r="R357">
        <f t="shared" si="36"/>
        <v>433305000</v>
      </c>
      <c r="S357" s="154">
        <f>SUM(S2:S356)/355</f>
        <v>234909.6244131455</v>
      </c>
      <c r="T357" s="153">
        <f t="shared" si="33"/>
        <v>5006412390</v>
      </c>
      <c r="U357" s="153">
        <f t="shared" si="34"/>
        <v>1742105455</v>
      </c>
      <c r="V357" s="153">
        <f t="shared" si="35"/>
        <v>1742105455</v>
      </c>
      <c r="X357" t="s">
        <v>510</v>
      </c>
      <c r="Y357" s="154">
        <f>SUM(Y2:Y356)</f>
        <v>2053324.0999999999</v>
      </c>
      <c r="Z357" s="154">
        <f>SUM(Z2:Z356)</f>
        <v>2012022.3269999998</v>
      </c>
      <c r="AA357" s="154">
        <f>SUM(AA2:AA356)</f>
        <v>1751977001682.8418</v>
      </c>
      <c r="AB357" s="154">
        <f>SUM(AB2:AB356)</f>
        <v>420982402736.37543</v>
      </c>
      <c r="AC357" s="153">
        <f t="shared" si="30"/>
        <v>5907270142.1623363</v>
      </c>
      <c r="AD357" s="153">
        <f t="shared" si="31"/>
        <v>1841923715.1623366</v>
      </c>
      <c r="AE357" s="153">
        <f t="shared" si="32"/>
        <v>1841923715.1623366</v>
      </c>
    </row>
    <row r="358" spans="1:31" x14ac:dyDescent="0.25">
      <c r="A358"/>
      <c r="B358"/>
      <c r="C358"/>
      <c r="D358"/>
      <c r="E358"/>
      <c r="F358"/>
      <c r="G358"/>
      <c r="H358"/>
      <c r="I358"/>
      <c r="J358"/>
      <c r="K358"/>
      <c r="L358"/>
      <c r="M358"/>
      <c r="N358"/>
      <c r="O358"/>
      <c r="P358"/>
      <c r="T358"/>
      <c r="U358" s="153"/>
      <c r="V358" s="153"/>
      <c r="W358" s="153"/>
    </row>
    <row r="359" spans="1:31" x14ac:dyDescent="0.25">
      <c r="A359"/>
      <c r="B359"/>
      <c r="C359"/>
      <c r="D359"/>
      <c r="E359"/>
      <c r="F359"/>
      <c r="G359"/>
      <c r="H359"/>
      <c r="I359"/>
      <c r="J359"/>
      <c r="K359"/>
      <c r="L359"/>
      <c r="M359"/>
      <c r="N359"/>
      <c r="O359"/>
      <c r="Q359" s="153"/>
      <c r="R359" s="117"/>
      <c r="S359" s="116"/>
      <c r="T359" s="185"/>
    </row>
    <row r="360" spans="1:31" x14ac:dyDescent="0.25">
      <c r="A360"/>
      <c r="B360"/>
      <c r="C360"/>
      <c r="D360"/>
      <c r="E360"/>
      <c r="F360"/>
      <c r="G360"/>
      <c r="H360"/>
      <c r="I360"/>
      <c r="J360"/>
      <c r="K360"/>
      <c r="L360"/>
      <c r="M360"/>
      <c r="N360"/>
      <c r="O360"/>
      <c r="Q360" s="153"/>
      <c r="R360" s="117"/>
      <c r="S360" s="116"/>
      <c r="T360" s="185"/>
    </row>
    <row r="361" spans="1:31" x14ac:dyDescent="0.25">
      <c r="A361"/>
      <c r="B361" t="s">
        <v>402</v>
      </c>
      <c r="C361">
        <v>2217</v>
      </c>
      <c r="D361">
        <v>1485</v>
      </c>
      <c r="E361">
        <v>732</v>
      </c>
      <c r="F361">
        <v>0</v>
      </c>
      <c r="G361">
        <v>0</v>
      </c>
      <c r="H361">
        <v>0</v>
      </c>
      <c r="I361">
        <v>0</v>
      </c>
      <c r="J361">
        <v>991</v>
      </c>
      <c r="K361">
        <v>863</v>
      </c>
      <c r="L361">
        <v>228</v>
      </c>
      <c r="M361">
        <v>200</v>
      </c>
      <c r="N361">
        <v>307</v>
      </c>
      <c r="O361">
        <v>56</v>
      </c>
      <c r="P361">
        <v>1510000</v>
      </c>
      <c r="Q361">
        <v>1253000</v>
      </c>
      <c r="R361">
        <v>257000</v>
      </c>
      <c r="S361">
        <v>251000</v>
      </c>
      <c r="T361" s="153">
        <f>0.1905*SUM(Q361,R361,R361)*10</f>
        <v>3366135</v>
      </c>
      <c r="U361" s="153">
        <f>SUM(T361*140/120,-C3*1000)</f>
        <v>-4847842.5</v>
      </c>
      <c r="V361" s="153">
        <f>IF(U361&gt;0,U361,0)</f>
        <v>0</v>
      </c>
      <c r="X361" t="s">
        <v>402</v>
      </c>
      <c r="Y361">
        <v>1484</v>
      </c>
      <c r="Z361">
        <v>798</v>
      </c>
      <c r="AA361">
        <v>1249158249.1582491</v>
      </c>
      <c r="AB361">
        <v>238850643.5199042</v>
      </c>
      <c r="AC361" s="153">
        <f>SUM(0.001952*AA361,2*0.001952*AB361)*140/120</f>
        <v>3932634.7837683763</v>
      </c>
      <c r="AD361" s="153">
        <f>SUM(AC361,-Y361*1000,-Z361*1000)</f>
        <v>1650634.7837683763</v>
      </c>
      <c r="AE361" s="153">
        <f>IF(AD361&gt;0,AD361,0)</f>
        <v>1650634.7837683763</v>
      </c>
    </row>
    <row r="362" spans="1:31" x14ac:dyDescent="0.25">
      <c r="A362"/>
      <c r="B362" t="s">
        <v>458</v>
      </c>
      <c r="C362">
        <v>3944</v>
      </c>
      <c r="D362">
        <v>2794</v>
      </c>
      <c r="E362">
        <v>1150</v>
      </c>
      <c r="F362">
        <v>0</v>
      </c>
      <c r="G362">
        <v>0</v>
      </c>
      <c r="H362">
        <v>100</v>
      </c>
      <c r="I362">
        <v>194</v>
      </c>
      <c r="J362">
        <v>2606</v>
      </c>
      <c r="K362">
        <v>2279</v>
      </c>
      <c r="L362">
        <v>410</v>
      </c>
      <c r="M362">
        <v>358</v>
      </c>
      <c r="N362">
        <v>543</v>
      </c>
      <c r="O362">
        <v>64</v>
      </c>
      <c r="P362">
        <v>3015000</v>
      </c>
      <c r="Q362">
        <v>2542000</v>
      </c>
      <c r="R362">
        <v>473000</v>
      </c>
      <c r="S362">
        <v>237000</v>
      </c>
      <c r="T362" s="153">
        <f>0.1905*SUM(Q362,R362,R362)*10</f>
        <v>6644640</v>
      </c>
      <c r="U362" s="153">
        <f>SUM(T362*140/120,-C346*1000)</f>
        <v>2511080</v>
      </c>
      <c r="V362" s="153">
        <f>IF(U362&gt;0,U362,0)</f>
        <v>2511080</v>
      </c>
      <c r="X362" t="s">
        <v>458</v>
      </c>
      <c r="Y362">
        <v>2742</v>
      </c>
      <c r="Z362">
        <v>1290</v>
      </c>
      <c r="AA362">
        <v>2536540240.5180392</v>
      </c>
      <c r="AB362">
        <v>459893048.12834227</v>
      </c>
      <c r="AC362" s="153">
        <f>SUM(0.001952*AA362,2*0.001952*AB362)*140/120</f>
        <v>7871207.177614972</v>
      </c>
      <c r="AD362" s="153">
        <f>SUM(AC362,-Y362*1000,-Z362*1000)</f>
        <v>3839207.177614972</v>
      </c>
      <c r="AE362" s="153">
        <f>IF(AD362&gt;0,AD362,0)</f>
        <v>3839207.177614972</v>
      </c>
    </row>
    <row r="363" spans="1:31" x14ac:dyDescent="0.25">
      <c r="A363"/>
      <c r="B363" t="s">
        <v>460</v>
      </c>
      <c r="C363">
        <v>2501</v>
      </c>
      <c r="D363">
        <v>1613</v>
      </c>
      <c r="E363">
        <v>888</v>
      </c>
      <c r="F363">
        <v>0</v>
      </c>
      <c r="G363">
        <v>16</v>
      </c>
      <c r="H363">
        <v>56</v>
      </c>
      <c r="I363">
        <v>62</v>
      </c>
      <c r="J363">
        <v>1668</v>
      </c>
      <c r="K363">
        <v>1477</v>
      </c>
      <c r="L363">
        <v>247</v>
      </c>
      <c r="M363">
        <v>236</v>
      </c>
      <c r="N363">
        <v>375</v>
      </c>
      <c r="O363">
        <v>52</v>
      </c>
      <c r="P363">
        <v>1755000</v>
      </c>
      <c r="Q363">
        <v>1479000</v>
      </c>
      <c r="R363">
        <v>276000</v>
      </c>
      <c r="S363">
        <v>247000</v>
      </c>
      <c r="T363" s="153">
        <f>0.1905*SUM(Q363,R363,R363)*10</f>
        <v>3869055</v>
      </c>
      <c r="U363" s="153">
        <f>SUM(T363*140/120,-C365*1000)</f>
        <v>4513897.5</v>
      </c>
      <c r="V363" s="153">
        <f>IF(U363&gt;0,U363,0)</f>
        <v>4513897.5</v>
      </c>
      <c r="X363" t="s">
        <v>460</v>
      </c>
      <c r="Y363">
        <v>1623</v>
      </c>
      <c r="Z363">
        <v>1003</v>
      </c>
      <c r="AA363">
        <v>1449107142.8571427</v>
      </c>
      <c r="AB363">
        <v>268972914.99061412</v>
      </c>
      <c r="AC363" s="153">
        <f>SUM(0.001952*AA363,2*0.001952*AB363)*140/120</f>
        <v>4525181.9701439161</v>
      </c>
      <c r="AD363" s="153">
        <f>SUM(AC363,-Y363*1000,-Z363*1000)</f>
        <v>1899181.9701439161</v>
      </c>
      <c r="AE363" s="153">
        <f>IF(AD363&gt;0,AD363,0)</f>
        <v>1899181.9701439161</v>
      </c>
    </row>
    <row r="364" spans="1:31" x14ac:dyDescent="0.25">
      <c r="A364"/>
      <c r="B364" s="153" t="s">
        <v>745</v>
      </c>
      <c r="C364">
        <f t="shared" ref="C364:E364" si="37">SUM(C361:C363)</f>
        <v>8662</v>
      </c>
      <c r="D364">
        <f t="shared" si="37"/>
        <v>5892</v>
      </c>
      <c r="E364">
        <f t="shared" si="37"/>
        <v>2770</v>
      </c>
      <c r="F364">
        <f>SUM(F361:F363)</f>
        <v>0</v>
      </c>
      <c r="G364">
        <f t="shared" ref="G364:O364" si="38">SUM(G361:G363)</f>
        <v>16</v>
      </c>
      <c r="H364">
        <f t="shared" si="38"/>
        <v>156</v>
      </c>
      <c r="I364">
        <f t="shared" si="38"/>
        <v>256</v>
      </c>
      <c r="J364">
        <f t="shared" si="38"/>
        <v>5265</v>
      </c>
      <c r="K364">
        <f t="shared" si="38"/>
        <v>4619</v>
      </c>
      <c r="L364">
        <f t="shared" si="38"/>
        <v>885</v>
      </c>
      <c r="M364">
        <f t="shared" si="38"/>
        <v>794</v>
      </c>
      <c r="N364">
        <f t="shared" si="38"/>
        <v>1225</v>
      </c>
      <c r="O364">
        <f t="shared" si="38"/>
        <v>172</v>
      </c>
      <c r="P364" s="153">
        <f>SUM(P361:P363)</f>
        <v>6280000</v>
      </c>
      <c r="Q364" s="153">
        <f t="shared" ref="Q364:R364" si="39">SUM(Q361:Q363)</f>
        <v>5274000</v>
      </c>
      <c r="R364" s="153">
        <f t="shared" si="39"/>
        <v>1006000</v>
      </c>
      <c r="S364" s="272">
        <f>SUM(S361:S363)/3</f>
        <v>245000</v>
      </c>
      <c r="T364" s="153"/>
      <c r="X364" s="153" t="s">
        <v>745</v>
      </c>
      <c r="Y364">
        <f>SUM(Y361:Y363)</f>
        <v>5849</v>
      </c>
      <c r="Z364">
        <f t="shared" ref="Z364:AB364" si="40">SUM(Z361:Z363)</f>
        <v>3091</v>
      </c>
      <c r="AA364">
        <f t="shared" si="40"/>
        <v>5234805632.5334311</v>
      </c>
      <c r="AB364">
        <f t="shared" si="40"/>
        <v>967716606.6388607</v>
      </c>
      <c r="AC364" s="153">
        <f>SUM(0.001952*AA364,2*0.001952*AB364)*140/120</f>
        <v>16329023.931527264</v>
      </c>
      <c r="AD364" s="153">
        <f>SUM(AC364,-Y364*1000,-Z364*1000)</f>
        <v>7389023.9315272644</v>
      </c>
      <c r="AE364" s="153">
        <f>IF(AD364&gt;0,AD364,0)</f>
        <v>7389023.9315272644</v>
      </c>
    </row>
    <row r="365" spans="1:31" x14ac:dyDescent="0.25">
      <c r="A365"/>
      <c r="B365"/>
      <c r="C365"/>
      <c r="D365"/>
      <c r="E365"/>
      <c r="F365"/>
      <c r="G365"/>
      <c r="H365"/>
      <c r="I365"/>
      <c r="J365"/>
      <c r="K365"/>
      <c r="L365"/>
      <c r="M365"/>
      <c r="N365"/>
      <c r="O365" s="153"/>
      <c r="Q365" s="117"/>
      <c r="R365" s="116"/>
      <c r="S365" s="185"/>
      <c r="T365"/>
    </row>
    <row r="366" spans="1:31" x14ac:dyDescent="0.25">
      <c r="A366"/>
      <c r="B366" t="s">
        <v>480</v>
      </c>
      <c r="C366">
        <v>1278</v>
      </c>
      <c r="D366">
        <v>1110</v>
      </c>
      <c r="E366">
        <v>168</v>
      </c>
      <c r="F366">
        <v>0</v>
      </c>
      <c r="G366">
        <v>0</v>
      </c>
      <c r="H366">
        <v>11</v>
      </c>
      <c r="I366">
        <v>0</v>
      </c>
      <c r="J366">
        <v>826</v>
      </c>
      <c r="K366">
        <v>778</v>
      </c>
      <c r="L366">
        <v>141</v>
      </c>
      <c r="M366">
        <v>8</v>
      </c>
      <c r="N366">
        <v>63</v>
      </c>
      <c r="O366">
        <v>20</v>
      </c>
      <c r="P366">
        <v>695000</v>
      </c>
      <c r="Q366">
        <v>632000</v>
      </c>
      <c r="R366">
        <v>63000</v>
      </c>
      <c r="S366">
        <v>177000</v>
      </c>
      <c r="T366" s="153">
        <f>0.1905*SUM(Q366,R366,R366)*10</f>
        <v>1443990</v>
      </c>
      <c r="U366" s="153">
        <f>SUM(T366*140/120,-C241*1000)</f>
        <v>-1821345</v>
      </c>
      <c r="V366" s="153">
        <f>IF(U366&gt;0,U366,0)</f>
        <v>0</v>
      </c>
      <c r="X366" t="s">
        <v>480</v>
      </c>
      <c r="Y366">
        <v>1127</v>
      </c>
      <c r="Z366">
        <v>189</v>
      </c>
      <c r="AA366">
        <v>629996086.98082626</v>
      </c>
      <c r="AB366">
        <v>61647857.003066093</v>
      </c>
      <c r="AC366" s="153">
        <f>SUM(0.001952*AA366,2*0.001952*AB366)*140/120</f>
        <v>1715496.5281143</v>
      </c>
      <c r="AD366" s="153">
        <f>SUM(AC366,-Y366*1000,-Z366*1000)</f>
        <v>399496.52811429999</v>
      </c>
      <c r="AE366" s="153">
        <f>IF(AD366&gt;0,AD366,0)</f>
        <v>399496.52811429999</v>
      </c>
    </row>
    <row r="367" spans="1:31" x14ac:dyDescent="0.25">
      <c r="A367"/>
      <c r="B367" t="s">
        <v>479</v>
      </c>
      <c r="C367">
        <v>3216</v>
      </c>
      <c r="D367">
        <v>2205</v>
      </c>
      <c r="E367">
        <v>1011</v>
      </c>
      <c r="F367">
        <v>0</v>
      </c>
      <c r="G367">
        <v>0</v>
      </c>
      <c r="H367">
        <v>64</v>
      </c>
      <c r="I367">
        <v>40</v>
      </c>
      <c r="J367">
        <v>2096</v>
      </c>
      <c r="K367">
        <v>1229</v>
      </c>
      <c r="L367">
        <v>380</v>
      </c>
      <c r="M367">
        <v>102</v>
      </c>
      <c r="N367">
        <v>412</v>
      </c>
      <c r="O367">
        <v>85</v>
      </c>
      <c r="P367">
        <v>1657000</v>
      </c>
      <c r="Q367">
        <v>1420000</v>
      </c>
      <c r="R367">
        <v>237000</v>
      </c>
      <c r="S367">
        <v>207000</v>
      </c>
      <c r="T367" s="153">
        <f>0.1905*SUM(Q367,R367,R367)*10</f>
        <v>3608070</v>
      </c>
      <c r="U367" s="153">
        <f>SUM(T367*140/120,-C232*1000)</f>
        <v>2106415</v>
      </c>
      <c r="V367" s="153">
        <f>IF(U367&gt;0,U367,0)</f>
        <v>2106415</v>
      </c>
      <c r="X367" t="s">
        <v>479</v>
      </c>
      <c r="Y367">
        <v>2184</v>
      </c>
      <c r="Z367">
        <v>1251</v>
      </c>
      <c r="AA367">
        <v>1402697495.1830442</v>
      </c>
      <c r="AB367">
        <v>227951895.04373178</v>
      </c>
      <c r="AC367" s="153">
        <f>SUM(0.001952*AA367,2*0.001952*AB367)*140/120</f>
        <v>4232654.6603227025</v>
      </c>
      <c r="AD367" s="153">
        <f>SUM(AC367,-Y367*1000,-Z367*1000)</f>
        <v>797654.66032270249</v>
      </c>
      <c r="AE367" s="153">
        <f>IF(AD367&gt;0,AD367,0)</f>
        <v>797654.66032270249</v>
      </c>
    </row>
    <row r="368" spans="1:31" x14ac:dyDescent="0.25">
      <c r="A368"/>
      <c r="B368" t="s">
        <v>484</v>
      </c>
      <c r="C368">
        <v>2287</v>
      </c>
      <c r="D368">
        <v>1804</v>
      </c>
      <c r="E368">
        <v>483</v>
      </c>
      <c r="F368">
        <v>0</v>
      </c>
      <c r="G368">
        <v>0</v>
      </c>
      <c r="H368">
        <v>24</v>
      </c>
      <c r="I368">
        <v>87</v>
      </c>
      <c r="J368">
        <v>1743</v>
      </c>
      <c r="K368">
        <v>1120</v>
      </c>
      <c r="L368">
        <v>252</v>
      </c>
      <c r="M368">
        <v>0</v>
      </c>
      <c r="N368">
        <v>100</v>
      </c>
      <c r="O368">
        <v>0</v>
      </c>
      <c r="P368">
        <v>1291000</v>
      </c>
      <c r="Q368">
        <v>1167000</v>
      </c>
      <c r="R368">
        <v>124000</v>
      </c>
      <c r="S368">
        <v>202000</v>
      </c>
      <c r="T368" s="153">
        <f>0.1905*SUM(Q368,R368,R368)*10</f>
        <v>2695575</v>
      </c>
      <c r="U368" s="153">
        <f>SUM(T368*140/120,-C281*1000)</f>
        <v>-13918162.5</v>
      </c>
      <c r="V368" s="153">
        <f>IF(U368&gt;0,U368,0)</f>
        <v>0</v>
      </c>
      <c r="X368" t="s">
        <v>484</v>
      </c>
      <c r="Y368">
        <v>1790</v>
      </c>
      <c r="Z368">
        <v>637</v>
      </c>
      <c r="AA368">
        <v>1158576051.7799354</v>
      </c>
      <c r="AB368">
        <v>120166006.41388416</v>
      </c>
      <c r="AC368" s="153">
        <f>SUM(0.001952*AA368,2*0.001952*AB368)*140/120</f>
        <v>3185779.965799944</v>
      </c>
      <c r="AD368" s="153">
        <f>SUM(AC368,-Y368*1000,-Z368*1000)</f>
        <v>758779.96579994401</v>
      </c>
      <c r="AE368" s="153">
        <f>IF(AD368&gt;0,AD368,0)</f>
        <v>758779.96579994401</v>
      </c>
    </row>
    <row r="369" spans="1:31" x14ac:dyDescent="0.25">
      <c r="A369"/>
      <c r="B369" s="153" t="s">
        <v>746</v>
      </c>
      <c r="C369">
        <f>SUM(C366:C368)</f>
        <v>6781</v>
      </c>
      <c r="D369">
        <f t="shared" ref="D369:O369" si="41">SUM(D366:D368)</f>
        <v>5119</v>
      </c>
      <c r="E369">
        <f t="shared" si="41"/>
        <v>1662</v>
      </c>
      <c r="F369">
        <f t="shared" si="41"/>
        <v>0</v>
      </c>
      <c r="G369">
        <f t="shared" si="41"/>
        <v>0</v>
      </c>
      <c r="H369">
        <f t="shared" si="41"/>
        <v>99</v>
      </c>
      <c r="I369">
        <f t="shared" si="41"/>
        <v>127</v>
      </c>
      <c r="J369">
        <f t="shared" si="41"/>
        <v>4665</v>
      </c>
      <c r="K369">
        <f t="shared" si="41"/>
        <v>3127</v>
      </c>
      <c r="L369">
        <f t="shared" si="41"/>
        <v>773</v>
      </c>
      <c r="M369">
        <f t="shared" si="41"/>
        <v>110</v>
      </c>
      <c r="N369">
        <f t="shared" si="41"/>
        <v>575</v>
      </c>
      <c r="O369">
        <f t="shared" si="41"/>
        <v>105</v>
      </c>
      <c r="P369">
        <f>SUM(P366:P368)</f>
        <v>3643000</v>
      </c>
      <c r="Q369">
        <f>SUM(Q366:Q368)</f>
        <v>3219000</v>
      </c>
      <c r="R369">
        <v>124000</v>
      </c>
      <c r="S369" s="154">
        <f>SUM(S366:S368)/3</f>
        <v>195333.33333333334</v>
      </c>
      <c r="T369" s="153">
        <f>0.1905*SUM(Q369,R369,R369)*10</f>
        <v>6604635</v>
      </c>
      <c r="X369" s="153" t="s">
        <v>746</v>
      </c>
      <c r="Y369">
        <f>SUM(Y366:Y368)</f>
        <v>5101</v>
      </c>
      <c r="Z369">
        <f t="shared" ref="Z369:AB369" si="42">SUM(Z366:Z368)</f>
        <v>2077</v>
      </c>
      <c r="AA369">
        <f t="shared" si="42"/>
        <v>3191269633.9438057</v>
      </c>
      <c r="AB369">
        <f t="shared" si="42"/>
        <v>409765758.46068203</v>
      </c>
      <c r="AC369" s="153">
        <f>SUM(0.001952*AA369,2*0.001952*AB369)*140/120</f>
        <v>9133931.1542369463</v>
      </c>
      <c r="AD369" s="153">
        <f>SUM(AC369,-Y369*1000,-Z369*1000)</f>
        <v>1955931.1542369463</v>
      </c>
      <c r="AE369" s="153">
        <f>IF(AD369&gt;0,AD369,0)</f>
        <v>1955931.1542369463</v>
      </c>
    </row>
    <row r="370" spans="1:31" x14ac:dyDescent="0.25">
      <c r="A370"/>
      <c r="B370"/>
      <c r="C370"/>
      <c r="D370"/>
      <c r="E370"/>
      <c r="F370"/>
      <c r="G370"/>
      <c r="H370"/>
      <c r="I370"/>
      <c r="J370"/>
      <c r="K370"/>
      <c r="L370"/>
      <c r="M370"/>
      <c r="N370"/>
      <c r="O370" s="153"/>
      <c r="P370"/>
      <c r="Q370" s="117"/>
      <c r="R370" s="116"/>
      <c r="S370" s="154"/>
      <c r="T370"/>
    </row>
    <row r="371" spans="1:31" x14ac:dyDescent="0.25">
      <c r="A371"/>
      <c r="B371" t="s">
        <v>143</v>
      </c>
      <c r="C371">
        <v>1883</v>
      </c>
      <c r="D371">
        <v>1247</v>
      </c>
      <c r="E371">
        <v>636</v>
      </c>
      <c r="F371">
        <v>0</v>
      </c>
      <c r="G371">
        <v>0</v>
      </c>
      <c r="H371">
        <v>0</v>
      </c>
      <c r="I371">
        <v>57</v>
      </c>
      <c r="J371">
        <v>1010</v>
      </c>
      <c r="K371">
        <v>1017</v>
      </c>
      <c r="L371">
        <v>197</v>
      </c>
      <c r="M371">
        <v>150</v>
      </c>
      <c r="N371">
        <v>178</v>
      </c>
      <c r="O371">
        <v>10</v>
      </c>
      <c r="P371">
        <v>940000</v>
      </c>
      <c r="Q371">
        <v>779000</v>
      </c>
      <c r="R371">
        <v>161000</v>
      </c>
      <c r="S371">
        <v>181000</v>
      </c>
      <c r="T371" s="153">
        <f>0.1905*SUM(Q371,R371,R371)*10</f>
        <v>2097405</v>
      </c>
      <c r="U371" s="153">
        <f>SUM(T371*140/120,-C27*1000)</f>
        <v>-2062027.5</v>
      </c>
      <c r="V371" s="153">
        <f>IF(U371&gt;0,U371,0)</f>
        <v>0</v>
      </c>
      <c r="X371" t="s">
        <v>143</v>
      </c>
      <c r="Y371">
        <v>1354</v>
      </c>
      <c r="Z371">
        <v>782</v>
      </c>
      <c r="AA371">
        <v>787667248.40023267</v>
      </c>
      <c r="AB371">
        <v>161170651.2778236</v>
      </c>
      <c r="AC371" s="153">
        <f>SUM(0.001952*AA371,2*0.001952*AB371)*140/120</f>
        <v>2527859.4733768571</v>
      </c>
      <c r="AD371" s="153">
        <f>SUM(AC371,-Y371*1000,-Z371*1000)</f>
        <v>391859.47337685712</v>
      </c>
      <c r="AE371" s="153">
        <f>IF(AD371&gt;0,AD371,0)</f>
        <v>391859.47337685712</v>
      </c>
    </row>
    <row r="372" spans="1:31" x14ac:dyDescent="0.25">
      <c r="A372"/>
      <c r="B372" t="s">
        <v>145</v>
      </c>
      <c r="C372">
        <v>2777</v>
      </c>
      <c r="D372">
        <v>1348</v>
      </c>
      <c r="E372">
        <v>1429</v>
      </c>
      <c r="F372">
        <v>0</v>
      </c>
      <c r="G372">
        <v>0</v>
      </c>
      <c r="H372">
        <v>323</v>
      </c>
      <c r="I372">
        <v>189</v>
      </c>
      <c r="J372">
        <v>1780</v>
      </c>
      <c r="K372">
        <v>1112</v>
      </c>
      <c r="L372">
        <v>146</v>
      </c>
      <c r="M372">
        <v>125</v>
      </c>
      <c r="N372">
        <v>280</v>
      </c>
      <c r="O372">
        <v>8</v>
      </c>
      <c r="P372">
        <v>946000</v>
      </c>
      <c r="Q372">
        <v>686000</v>
      </c>
      <c r="R372">
        <v>260000</v>
      </c>
      <c r="S372">
        <v>142000</v>
      </c>
      <c r="T372" s="153">
        <f>0.1905*SUM(Q372,R372,R372)*10</f>
        <v>2297430</v>
      </c>
      <c r="U372" s="153">
        <f>SUM(T372*140/120,-C71*1000)</f>
        <v>-23958665</v>
      </c>
      <c r="V372" s="153">
        <f>IF(U372&gt;0,U372,0)</f>
        <v>0</v>
      </c>
      <c r="X372" t="s">
        <v>145</v>
      </c>
      <c r="Y372">
        <v>1369</v>
      </c>
      <c r="Z372">
        <v>1534</v>
      </c>
      <c r="AA372">
        <v>675049309.66469419</v>
      </c>
      <c r="AB372">
        <v>259911894.2731277</v>
      </c>
      <c r="AC372" s="153">
        <f>SUM(0.001952*AA372,2*0.001952*AB372)*140/120</f>
        <v>2721124.3356590695</v>
      </c>
      <c r="AD372" s="153">
        <f>SUM(AC372,-Y372*1000,-Z372*1000)</f>
        <v>-181875.66434093053</v>
      </c>
      <c r="AE372" s="153">
        <f>IF(AD372&gt;0,AD372,0)</f>
        <v>0</v>
      </c>
    </row>
    <row r="373" spans="1:31" x14ac:dyDescent="0.25">
      <c r="A373"/>
      <c r="B373" t="s">
        <v>147</v>
      </c>
      <c r="C373">
        <v>11578</v>
      </c>
      <c r="D373">
        <v>2512</v>
      </c>
      <c r="E373">
        <v>9066</v>
      </c>
      <c r="F373">
        <v>0</v>
      </c>
      <c r="G373">
        <v>0</v>
      </c>
      <c r="H373">
        <v>0</v>
      </c>
      <c r="I373">
        <v>38</v>
      </c>
      <c r="J373">
        <v>2020</v>
      </c>
      <c r="K373">
        <v>919</v>
      </c>
      <c r="L373">
        <v>323</v>
      </c>
      <c r="M373">
        <v>270</v>
      </c>
      <c r="N373">
        <v>250</v>
      </c>
      <c r="O373">
        <v>35</v>
      </c>
      <c r="P373">
        <v>2329000</v>
      </c>
      <c r="Q373">
        <v>1033000</v>
      </c>
      <c r="R373">
        <v>1296000</v>
      </c>
      <c r="S373">
        <v>145000</v>
      </c>
      <c r="T373" s="153">
        <f>0.1905*SUM(Q373,R373,R373)*10</f>
        <v>6905625</v>
      </c>
      <c r="U373" s="153">
        <f>SUM(T373*140/120,-C95*1000)</f>
        <v>-17493437.5</v>
      </c>
      <c r="V373" s="153">
        <f>IF(U373&gt;0,U373,0)</f>
        <v>0</v>
      </c>
      <c r="X373" t="s">
        <v>147</v>
      </c>
      <c r="Y373">
        <v>2549</v>
      </c>
      <c r="Z373">
        <v>9636</v>
      </c>
      <c r="AA373">
        <v>1038289205.7026476</v>
      </c>
      <c r="AB373">
        <v>1275109170.3056767</v>
      </c>
      <c r="AC373" s="153">
        <f>SUM(0.001952*AA373,2*0.001952*AB373)*140/120</f>
        <v>8172227.8521390855</v>
      </c>
      <c r="AD373" s="153">
        <f>SUM(AC373,-Y373*1000,-Z373*1000)</f>
        <v>-4012772.1478609145</v>
      </c>
      <c r="AE373" s="153">
        <f>IF(AD373&gt;0,AD373,0)</f>
        <v>0</v>
      </c>
    </row>
    <row r="374" spans="1:31" x14ac:dyDescent="0.25">
      <c r="A374"/>
      <c r="B374" t="s">
        <v>163</v>
      </c>
      <c r="C374">
        <v>2737</v>
      </c>
      <c r="D374">
        <v>2042</v>
      </c>
      <c r="E374">
        <v>695</v>
      </c>
      <c r="F374">
        <v>0</v>
      </c>
      <c r="G374">
        <v>0</v>
      </c>
      <c r="H374">
        <v>0</v>
      </c>
      <c r="I374">
        <v>39</v>
      </c>
      <c r="J374">
        <v>1262</v>
      </c>
      <c r="K374">
        <v>1349</v>
      </c>
      <c r="L374">
        <v>300</v>
      </c>
      <c r="M374">
        <v>171</v>
      </c>
      <c r="N374">
        <v>532</v>
      </c>
      <c r="O374">
        <v>13</v>
      </c>
      <c r="P374">
        <v>1136000</v>
      </c>
      <c r="Q374">
        <v>973000</v>
      </c>
      <c r="R374">
        <v>163000</v>
      </c>
      <c r="S374">
        <v>170000</v>
      </c>
      <c r="T374" s="153">
        <f>0.1905*SUM(Q374,R374,R374)*10</f>
        <v>2474595</v>
      </c>
      <c r="U374" s="153">
        <f>SUM(T374*140/120,-C359*1000)</f>
        <v>2887027.5</v>
      </c>
      <c r="V374" s="153">
        <f>IF(U374&gt;0,U374,0)</f>
        <v>2887027.5</v>
      </c>
      <c r="X374" t="s">
        <v>163</v>
      </c>
      <c r="Y374">
        <v>2052</v>
      </c>
      <c r="Z374">
        <v>798</v>
      </c>
      <c r="AA374">
        <v>971590909.090909</v>
      </c>
      <c r="AB374">
        <v>163927691.04354972</v>
      </c>
      <c r="AC374" s="153">
        <f>SUM(0.001952*AA374,2*0.001952*AB374)*140/120</f>
        <v>2959272.3537760512</v>
      </c>
      <c r="AD374" s="153">
        <f>SUM(AC374,-Y374*1000,-Z374*1000)</f>
        <v>109272.3537760512</v>
      </c>
      <c r="AE374" s="153">
        <f>IF(AD374&gt;0,AD374,0)</f>
        <v>109272.3537760512</v>
      </c>
    </row>
    <row r="375" spans="1:31" x14ac:dyDescent="0.25">
      <c r="A375"/>
      <c r="B375" s="153" t="s">
        <v>747</v>
      </c>
      <c r="C375">
        <f>SUM(C371:C374)</f>
        <v>18975</v>
      </c>
      <c r="D375">
        <f t="shared" ref="D375:O375" si="43">SUM(D371:D374)</f>
        <v>7149</v>
      </c>
      <c r="E375">
        <f t="shared" si="43"/>
        <v>11826</v>
      </c>
      <c r="F375">
        <f t="shared" si="43"/>
        <v>0</v>
      </c>
      <c r="G375">
        <f t="shared" si="43"/>
        <v>0</v>
      </c>
      <c r="H375">
        <f t="shared" si="43"/>
        <v>323</v>
      </c>
      <c r="I375">
        <f t="shared" si="43"/>
        <v>323</v>
      </c>
      <c r="J375">
        <f t="shared" si="43"/>
        <v>6072</v>
      </c>
      <c r="K375">
        <f t="shared" si="43"/>
        <v>4397</v>
      </c>
      <c r="L375">
        <f t="shared" si="43"/>
        <v>966</v>
      </c>
      <c r="M375">
        <f t="shared" si="43"/>
        <v>716</v>
      </c>
      <c r="N375">
        <f t="shared" si="43"/>
        <v>1240</v>
      </c>
      <c r="O375">
        <f t="shared" si="43"/>
        <v>66</v>
      </c>
      <c r="P375">
        <f>SUM(P371:P374)</f>
        <v>5351000</v>
      </c>
      <c r="Q375">
        <f>SUM(Q371:Q374)</f>
        <v>3471000</v>
      </c>
      <c r="R375">
        <f>SUM(R371:R374)</f>
        <v>1880000</v>
      </c>
      <c r="S375" s="154">
        <f>SUM(S371:S374)/4</f>
        <v>159500</v>
      </c>
      <c r="T375" s="153">
        <f>0.1905*SUM(Q375,R375,R375)*10</f>
        <v>13775055</v>
      </c>
      <c r="U375" s="153">
        <f>SUM(T375*140/120,-C360*1000)</f>
        <v>16070897.5</v>
      </c>
      <c r="V375" s="153">
        <f>IF(U375&gt;0,U375,0)</f>
        <v>16070897.5</v>
      </c>
      <c r="X375" s="153" t="s">
        <v>747</v>
      </c>
      <c r="Y375">
        <f>SUM(Y371:Y374)</f>
        <v>7324</v>
      </c>
      <c r="Z375">
        <f t="shared" ref="Z375:AB375" si="44">SUM(Z371:Z374)</f>
        <v>12750</v>
      </c>
      <c r="AA375">
        <f t="shared" si="44"/>
        <v>3472596672.8584833</v>
      </c>
      <c r="AB375">
        <f t="shared" si="44"/>
        <v>1860119406.9001777</v>
      </c>
      <c r="AC375" s="153">
        <f>SUM(0.001952*AA375,2*0.001952*AB375)*140/120</f>
        <v>16380484.014951063</v>
      </c>
      <c r="AD375" s="153">
        <f>SUM(AC375,-Y375*1000,-Z375*1000)</f>
        <v>-3693515.9850489367</v>
      </c>
      <c r="AE375" s="153">
        <f>IF(AD375&gt;0,AD375,0)</f>
        <v>0</v>
      </c>
    </row>
    <row r="376" spans="1:31" x14ac:dyDescent="0.25">
      <c r="A376"/>
      <c r="B376"/>
      <c r="C376"/>
      <c r="D376"/>
      <c r="E376"/>
      <c r="F376"/>
      <c r="G376"/>
      <c r="H376"/>
      <c r="I376"/>
      <c r="J376"/>
      <c r="K376"/>
      <c r="L376"/>
      <c r="M376"/>
      <c r="N376"/>
      <c r="O376" s="153"/>
      <c r="P376"/>
      <c r="Q376" s="117"/>
      <c r="S376" s="154"/>
      <c r="T376"/>
    </row>
    <row r="377" spans="1:31" x14ac:dyDescent="0.25">
      <c r="A377"/>
      <c r="B377" t="s">
        <v>302</v>
      </c>
      <c r="C377">
        <v>63931</v>
      </c>
      <c r="D377">
        <v>16625</v>
      </c>
      <c r="E377">
        <v>47306</v>
      </c>
      <c r="F377">
        <v>3420</v>
      </c>
      <c r="G377">
        <v>5654</v>
      </c>
      <c r="H377">
        <v>9830</v>
      </c>
      <c r="I377">
        <v>691</v>
      </c>
      <c r="J377">
        <v>8911</v>
      </c>
      <c r="K377">
        <v>15576</v>
      </c>
      <c r="L377">
        <v>3888</v>
      </c>
      <c r="M377">
        <v>837</v>
      </c>
      <c r="N377">
        <v>6549</v>
      </c>
      <c r="O377">
        <v>629</v>
      </c>
      <c r="P377">
        <v>906000</v>
      </c>
      <c r="Q377">
        <v>744000</v>
      </c>
      <c r="R377">
        <v>162000</v>
      </c>
      <c r="S377">
        <v>314000</v>
      </c>
      <c r="T377" s="153">
        <f>0.1905*SUM(Q377,R377,R377)*10</f>
        <v>2034540</v>
      </c>
      <c r="U377" s="153">
        <f>SUM(T377*140/120,-C127*1000)</f>
        <v>-2210370</v>
      </c>
      <c r="V377" s="153">
        <f>IF(U377&gt;0,U377,0)</f>
        <v>0</v>
      </c>
      <c r="X377" t="s">
        <v>302</v>
      </c>
      <c r="Y377">
        <v>16625</v>
      </c>
      <c r="Z377">
        <v>47306</v>
      </c>
      <c r="AA377">
        <v>16371245691.777451</v>
      </c>
      <c r="AB377">
        <v>8340120942.8606682</v>
      </c>
      <c r="AC377" s="153">
        <f>SUM(0.001952*AA377,2*0.001952*AB377)*140/120</f>
        <v>75269254.376490563</v>
      </c>
      <c r="AD377" s="153">
        <f>SUM(AC377,-Y377*1000,-Z377*1000)</f>
        <v>11338254.376490563</v>
      </c>
      <c r="AE377" s="153">
        <f>IF(AD377&gt;0,AD377,0)</f>
        <v>11338254.376490563</v>
      </c>
    </row>
    <row r="378" spans="1:31" x14ac:dyDescent="0.25">
      <c r="A378"/>
      <c r="B378" t="s">
        <v>504</v>
      </c>
      <c r="C378">
        <v>1417</v>
      </c>
      <c r="D378">
        <v>912</v>
      </c>
      <c r="E378">
        <v>505</v>
      </c>
      <c r="F378">
        <v>0</v>
      </c>
      <c r="G378">
        <v>169</v>
      </c>
      <c r="H378">
        <v>77</v>
      </c>
      <c r="I378">
        <v>81</v>
      </c>
      <c r="J378">
        <v>830</v>
      </c>
      <c r="K378">
        <v>807</v>
      </c>
      <c r="L378">
        <v>88</v>
      </c>
      <c r="M378">
        <v>0</v>
      </c>
      <c r="N378">
        <v>440</v>
      </c>
      <c r="O378">
        <v>0</v>
      </c>
      <c r="P378">
        <v>25413000</v>
      </c>
      <c r="Q378">
        <v>16371000</v>
      </c>
      <c r="R378">
        <v>9042000</v>
      </c>
      <c r="S378">
        <v>272000</v>
      </c>
      <c r="T378" s="153">
        <f>0.1905*SUM(Q378,R378,R378)*10</f>
        <v>65636775</v>
      </c>
      <c r="U378" s="153">
        <f>SUM(T378*140/120,-C128*1000)</f>
        <v>62467237.5</v>
      </c>
      <c r="V378" s="153">
        <f>IF(U378&gt;0,U378,0)</f>
        <v>62467237.5</v>
      </c>
      <c r="X378" t="s">
        <v>504</v>
      </c>
      <c r="Y378">
        <v>912</v>
      </c>
      <c r="Z378">
        <v>505</v>
      </c>
      <c r="AA378">
        <v>693009118.54103351</v>
      </c>
      <c r="AB378">
        <v>131271120.35352221</v>
      </c>
      <c r="AC378" s="153">
        <f>SUM(0.001952*AA378,2*0.001952*AB378)*140/120</f>
        <v>2176108.9621276227</v>
      </c>
      <c r="AD378" s="153">
        <f>SUM(AC378,-Y378*1000,-Z378*1000)</f>
        <v>759108.96212762268</v>
      </c>
      <c r="AE378" s="153">
        <f>IF(AD378&gt;0,AD378,0)</f>
        <v>759108.96212762268</v>
      </c>
    </row>
    <row r="379" spans="1:31" x14ac:dyDescent="0.25">
      <c r="A379"/>
      <c r="B379" t="s">
        <v>302</v>
      </c>
      <c r="C379">
        <f>SUM(C377:C378)</f>
        <v>65348</v>
      </c>
      <c r="D379">
        <f t="shared" ref="D379:O379" si="45">SUM(D377:D378)</f>
        <v>17537</v>
      </c>
      <c r="E379">
        <f t="shared" si="45"/>
        <v>47811</v>
      </c>
      <c r="F379">
        <f t="shared" si="45"/>
        <v>3420</v>
      </c>
      <c r="G379">
        <f t="shared" si="45"/>
        <v>5823</v>
      </c>
      <c r="H379">
        <f t="shared" si="45"/>
        <v>9907</v>
      </c>
      <c r="I379">
        <f t="shared" si="45"/>
        <v>772</v>
      </c>
      <c r="J379">
        <f t="shared" si="45"/>
        <v>9741</v>
      </c>
      <c r="K379">
        <f t="shared" si="45"/>
        <v>16383</v>
      </c>
      <c r="L379">
        <f t="shared" si="45"/>
        <v>3976</v>
      </c>
      <c r="M379">
        <f t="shared" si="45"/>
        <v>837</v>
      </c>
      <c r="N379">
        <f t="shared" si="45"/>
        <v>6989</v>
      </c>
      <c r="O379">
        <f t="shared" si="45"/>
        <v>629</v>
      </c>
      <c r="P379">
        <f>SUM(P377:P378)</f>
        <v>26319000</v>
      </c>
      <c r="Q379">
        <f t="shared" ref="Q379:R379" si="46">SUM(Q377:Q378)</f>
        <v>17115000</v>
      </c>
      <c r="R379">
        <f t="shared" si="46"/>
        <v>9204000</v>
      </c>
      <c r="S379" s="154">
        <f>S378</f>
        <v>272000</v>
      </c>
      <c r="T379" s="153">
        <f>0.1905*SUM(Q379,R379,R379)*10</f>
        <v>67671315</v>
      </c>
      <c r="U379" s="153">
        <f>SUM(T379*140/120,-C129*1000)</f>
        <v>67603867.5</v>
      </c>
      <c r="V379" s="153">
        <f>IF(U379&gt;0,U379,0)</f>
        <v>67603867.5</v>
      </c>
      <c r="X379" t="s">
        <v>302</v>
      </c>
      <c r="Y379">
        <f>SUM(Y377:Y378)</f>
        <v>17537</v>
      </c>
      <c r="Z379">
        <f t="shared" ref="Z379:AB379" si="47">SUM(Z377:Z378)</f>
        <v>47811</v>
      </c>
      <c r="AA379">
        <f t="shared" si="47"/>
        <v>17064254810.318483</v>
      </c>
      <c r="AB379">
        <f t="shared" si="47"/>
        <v>8471392063.2141905</v>
      </c>
      <c r="AC379" s="153">
        <f>SUM(0.001952*AA379,2*0.001952*AB379)*140/120</f>
        <v>77445363.338618204</v>
      </c>
      <c r="AD379" s="153">
        <f>SUM(AC379,-Y379*1000,-Z379*1000)</f>
        <v>12097363.338618204</v>
      </c>
      <c r="AE379" s="153">
        <f>IF(AD379&gt;0,AD379,0)</f>
        <v>12097363.338618204</v>
      </c>
    </row>
    <row r="380" spans="1:31" x14ac:dyDescent="0.25">
      <c r="A380"/>
      <c r="B380"/>
      <c r="C380"/>
      <c r="D380"/>
      <c r="E380"/>
      <c r="F380"/>
      <c r="G380"/>
      <c r="H380"/>
      <c r="I380"/>
      <c r="J380"/>
      <c r="K380"/>
      <c r="L380"/>
      <c r="M380"/>
      <c r="N380"/>
      <c r="O380" s="153"/>
      <c r="P380"/>
      <c r="Q380" s="117"/>
      <c r="S380" s="154"/>
      <c r="T380"/>
    </row>
    <row r="381" spans="1:31" x14ac:dyDescent="0.25">
      <c r="A381"/>
      <c r="B381" t="s">
        <v>336</v>
      </c>
      <c r="C381">
        <v>5175</v>
      </c>
      <c r="D381">
        <v>2909</v>
      </c>
      <c r="E381">
        <v>2266</v>
      </c>
      <c r="F381">
        <v>0</v>
      </c>
      <c r="G381">
        <v>1674</v>
      </c>
      <c r="H381">
        <v>18</v>
      </c>
      <c r="I381">
        <v>227</v>
      </c>
      <c r="J381">
        <v>2365</v>
      </c>
      <c r="K381">
        <v>0</v>
      </c>
      <c r="L381">
        <v>481</v>
      </c>
      <c r="M381">
        <v>350</v>
      </c>
      <c r="N381">
        <v>856</v>
      </c>
      <c r="O381">
        <v>226</v>
      </c>
      <c r="P381">
        <v>3616000</v>
      </c>
      <c r="Q381">
        <v>3050000</v>
      </c>
      <c r="R381">
        <v>566000</v>
      </c>
      <c r="S381">
        <v>238000</v>
      </c>
      <c r="T381" s="153">
        <f t="shared" ref="T381:T386" si="48">0.1905*SUM(Q381,R381,R381)*10</f>
        <v>7966710</v>
      </c>
      <c r="U381" s="153">
        <f>SUM(T381*140/120,-C41*1000)</f>
        <v>5172495</v>
      </c>
      <c r="V381" s="153">
        <f t="shared" ref="V381:V386" si="49">IF(U381&gt;0,U381,0)</f>
        <v>5172495</v>
      </c>
      <c r="X381" t="s">
        <v>336</v>
      </c>
      <c r="Y381">
        <v>2767</v>
      </c>
      <c r="Z381">
        <v>2485</v>
      </c>
      <c r="AA381">
        <v>3040659340.6593409</v>
      </c>
      <c r="AB381">
        <v>541748419.44626117</v>
      </c>
      <c r="AC381" s="153">
        <f t="shared" ref="AC381:AC386" si="50">SUM(0.001952*AA381,2*0.001952*AB381)*140/120</f>
        <v>9392078.3395661097</v>
      </c>
      <c r="AD381" s="153">
        <f t="shared" ref="AD381:AD386" si="51">SUM(AC381,-Y381*1000,-Z381*1000)</f>
        <v>4140078.3395661097</v>
      </c>
      <c r="AE381" s="153">
        <f t="shared" ref="AE381:AE386" si="52">IF(AD381&gt;0,AD381,0)</f>
        <v>4140078.3395661097</v>
      </c>
    </row>
    <row r="382" spans="1:31" x14ac:dyDescent="0.25">
      <c r="A382"/>
      <c r="B382" t="s">
        <v>340</v>
      </c>
      <c r="C382">
        <v>2525</v>
      </c>
      <c r="D382">
        <v>1436</v>
      </c>
      <c r="E382">
        <v>1089</v>
      </c>
      <c r="F382">
        <v>4</v>
      </c>
      <c r="G382">
        <v>980</v>
      </c>
      <c r="H382">
        <v>51</v>
      </c>
      <c r="I382">
        <v>70</v>
      </c>
      <c r="J382">
        <v>1003</v>
      </c>
      <c r="K382">
        <v>0</v>
      </c>
      <c r="L382">
        <v>231</v>
      </c>
      <c r="M382">
        <v>286</v>
      </c>
      <c r="N382">
        <v>335</v>
      </c>
      <c r="O382">
        <v>23</v>
      </c>
      <c r="P382">
        <v>1604000</v>
      </c>
      <c r="Q382">
        <v>1327000</v>
      </c>
      <c r="R382">
        <v>277000</v>
      </c>
      <c r="S382">
        <v>238000</v>
      </c>
      <c r="T382" s="153">
        <f t="shared" si="48"/>
        <v>3583305</v>
      </c>
      <c r="U382" s="153">
        <f>SUM(T382*140/120,-C64*1000)</f>
        <v>-2133477.5</v>
      </c>
      <c r="V382" s="153">
        <f t="shared" si="49"/>
        <v>0</v>
      </c>
      <c r="X382" t="s">
        <v>340</v>
      </c>
      <c r="Y382">
        <v>1555</v>
      </c>
      <c r="Z382">
        <v>1313</v>
      </c>
      <c r="AA382">
        <v>1320033955.8573854</v>
      </c>
      <c r="AB382">
        <v>262075848.30339321</v>
      </c>
      <c r="AC382" s="153">
        <f t="shared" si="50"/>
        <v>4199825.4592117406</v>
      </c>
      <c r="AD382" s="153">
        <f t="shared" si="51"/>
        <v>1331825.4592117406</v>
      </c>
      <c r="AE382" s="153">
        <f t="shared" si="52"/>
        <v>1331825.4592117406</v>
      </c>
    </row>
    <row r="383" spans="1:31" x14ac:dyDescent="0.25">
      <c r="A383"/>
      <c r="B383" t="s">
        <v>353</v>
      </c>
      <c r="C383">
        <v>1815</v>
      </c>
      <c r="D383">
        <v>1379</v>
      </c>
      <c r="E383">
        <v>436</v>
      </c>
      <c r="F383">
        <v>0</v>
      </c>
      <c r="G383">
        <v>756</v>
      </c>
      <c r="H383">
        <v>53</v>
      </c>
      <c r="I383">
        <v>93</v>
      </c>
      <c r="J383">
        <v>1465</v>
      </c>
      <c r="K383">
        <v>0</v>
      </c>
      <c r="L383">
        <v>220</v>
      </c>
      <c r="M383">
        <v>213</v>
      </c>
      <c r="N383">
        <v>214</v>
      </c>
      <c r="O383">
        <v>8</v>
      </c>
      <c r="P383">
        <v>1182000</v>
      </c>
      <c r="Q383">
        <v>1053000</v>
      </c>
      <c r="R383">
        <v>129000</v>
      </c>
      <c r="S383">
        <v>227000</v>
      </c>
      <c r="T383" s="153">
        <f t="shared" si="48"/>
        <v>2497455</v>
      </c>
      <c r="U383" s="153">
        <f>SUM(T383*140/120,-C170*1000)</f>
        <v>-48595302.5</v>
      </c>
      <c r="V383" s="153">
        <f t="shared" si="49"/>
        <v>0</v>
      </c>
      <c r="X383" t="s">
        <v>353</v>
      </c>
      <c r="Y383">
        <v>1376</v>
      </c>
      <c r="Z383">
        <v>502</v>
      </c>
      <c r="AA383">
        <v>1049580472.9214342</v>
      </c>
      <c r="AB383">
        <v>121109770.80820267</v>
      </c>
      <c r="AC383" s="153">
        <f t="shared" si="50"/>
        <v>2941859.2331075068</v>
      </c>
      <c r="AD383" s="153">
        <f t="shared" si="51"/>
        <v>1063859.2331075068</v>
      </c>
      <c r="AE383" s="153">
        <f t="shared" si="52"/>
        <v>1063859.2331075068</v>
      </c>
    </row>
    <row r="384" spans="1:31" x14ac:dyDescent="0.25">
      <c r="A384"/>
      <c r="B384" t="s">
        <v>368</v>
      </c>
      <c r="C384">
        <v>6163</v>
      </c>
      <c r="D384">
        <v>3227</v>
      </c>
      <c r="E384">
        <v>2936</v>
      </c>
      <c r="F384">
        <v>21</v>
      </c>
      <c r="G384">
        <v>925</v>
      </c>
      <c r="H384">
        <v>0</v>
      </c>
      <c r="I384">
        <v>311</v>
      </c>
      <c r="J384">
        <v>1960</v>
      </c>
      <c r="K384">
        <v>0</v>
      </c>
      <c r="L384">
        <v>457</v>
      </c>
      <c r="M384">
        <v>290</v>
      </c>
      <c r="N384">
        <v>528</v>
      </c>
      <c r="O384">
        <v>61</v>
      </c>
      <c r="P384">
        <v>2955000</v>
      </c>
      <c r="Q384">
        <v>2401000</v>
      </c>
      <c r="R384">
        <v>554000</v>
      </c>
      <c r="S384">
        <v>234000</v>
      </c>
      <c r="T384" s="153">
        <f t="shared" si="48"/>
        <v>6684645</v>
      </c>
      <c r="U384" s="153">
        <f>SUM(T384*140/120,-C248*1000)</f>
        <v>1256752.5</v>
      </c>
      <c r="V384" s="153">
        <f t="shared" si="49"/>
        <v>1256752.5</v>
      </c>
      <c r="X384" t="s">
        <v>368</v>
      </c>
      <c r="Y384">
        <v>3346</v>
      </c>
      <c r="Z384">
        <v>3063</v>
      </c>
      <c r="AA384">
        <v>2438064704.167881</v>
      </c>
      <c r="AB384">
        <v>525187750.76300544</v>
      </c>
      <c r="AC384" s="153">
        <f t="shared" si="50"/>
        <v>7944341.1617668895</v>
      </c>
      <c r="AD384" s="153">
        <f t="shared" si="51"/>
        <v>1535341.1617668895</v>
      </c>
      <c r="AE384" s="153">
        <f t="shared" si="52"/>
        <v>1535341.1617668895</v>
      </c>
    </row>
    <row r="385" spans="1:31" x14ac:dyDescent="0.25">
      <c r="A385"/>
      <c r="B385" t="s">
        <v>376</v>
      </c>
      <c r="C385">
        <v>1489</v>
      </c>
      <c r="D385">
        <v>864</v>
      </c>
      <c r="E385">
        <v>625</v>
      </c>
      <c r="F385">
        <v>0</v>
      </c>
      <c r="G385">
        <v>540</v>
      </c>
      <c r="H385">
        <v>29</v>
      </c>
      <c r="I385">
        <v>86</v>
      </c>
      <c r="J385">
        <v>973</v>
      </c>
      <c r="K385">
        <v>0</v>
      </c>
      <c r="L385">
        <v>147</v>
      </c>
      <c r="M385">
        <v>152</v>
      </c>
      <c r="N385">
        <v>180</v>
      </c>
      <c r="O385">
        <v>10</v>
      </c>
      <c r="P385">
        <v>1032000</v>
      </c>
      <c r="Q385">
        <v>848000</v>
      </c>
      <c r="R385">
        <v>184000</v>
      </c>
      <c r="S385">
        <v>218000</v>
      </c>
      <c r="T385" s="153">
        <f t="shared" si="48"/>
        <v>2316480</v>
      </c>
      <c r="U385" s="153">
        <f>SUM(T385*140/120,-C300*1000)</f>
        <v>-5001440</v>
      </c>
      <c r="V385" s="153">
        <f t="shared" si="49"/>
        <v>0</v>
      </c>
      <c r="X385" t="s">
        <v>376</v>
      </c>
      <c r="Y385">
        <v>864</v>
      </c>
      <c r="Z385">
        <v>625</v>
      </c>
      <c r="AA385">
        <v>870090634.4410876</v>
      </c>
      <c r="AB385">
        <v>167336010.70950469</v>
      </c>
      <c r="AC385" s="153">
        <f t="shared" si="50"/>
        <v>2743646.1549453945</v>
      </c>
      <c r="AD385" s="153">
        <f t="shared" si="51"/>
        <v>1254646.1549453945</v>
      </c>
      <c r="AE385" s="153">
        <f t="shared" si="52"/>
        <v>1254646.1549453945</v>
      </c>
    </row>
    <row r="386" spans="1:31" x14ac:dyDescent="0.25">
      <c r="A386"/>
      <c r="B386" s="153" t="s">
        <v>748</v>
      </c>
      <c r="C386">
        <f>SUM(C381:C385)</f>
        <v>17167</v>
      </c>
      <c r="D386">
        <f t="shared" ref="D386:O386" si="53">SUM(D381:D385)</f>
        <v>9815</v>
      </c>
      <c r="E386">
        <f t="shared" si="53"/>
        <v>7352</v>
      </c>
      <c r="F386">
        <f t="shared" si="53"/>
        <v>25</v>
      </c>
      <c r="G386">
        <f t="shared" si="53"/>
        <v>4875</v>
      </c>
      <c r="H386">
        <f t="shared" si="53"/>
        <v>151</v>
      </c>
      <c r="I386">
        <f t="shared" si="53"/>
        <v>787</v>
      </c>
      <c r="J386">
        <f t="shared" si="53"/>
        <v>7766</v>
      </c>
      <c r="K386">
        <f t="shared" si="53"/>
        <v>0</v>
      </c>
      <c r="L386">
        <f t="shared" si="53"/>
        <v>1536</v>
      </c>
      <c r="M386">
        <f t="shared" si="53"/>
        <v>1291</v>
      </c>
      <c r="N386">
        <f t="shared" si="53"/>
        <v>2113</v>
      </c>
      <c r="O386">
        <f t="shared" si="53"/>
        <v>328</v>
      </c>
      <c r="P386" s="153">
        <f>SUM(P381:P385)</f>
        <v>10389000</v>
      </c>
      <c r="Q386" s="153">
        <f>SUM(Q381:Q385)</f>
        <v>8679000</v>
      </c>
      <c r="R386" s="153">
        <f>SUM(R381:R385)</f>
        <v>1710000</v>
      </c>
      <c r="S386" s="272">
        <f>SUM(S381:S385)/5</f>
        <v>231000</v>
      </c>
      <c r="T386" s="153">
        <f t="shared" si="48"/>
        <v>23048595</v>
      </c>
      <c r="U386" s="153">
        <f>SUM(T386*140/120,-C301*1000)</f>
        <v>20041027.5</v>
      </c>
      <c r="V386" s="153">
        <f t="shared" si="49"/>
        <v>20041027.5</v>
      </c>
      <c r="X386" s="153" t="s">
        <v>748</v>
      </c>
      <c r="Y386">
        <f>SUM(Y381:Y385)</f>
        <v>9908</v>
      </c>
      <c r="Z386">
        <f t="shared" ref="Z386:AB386" si="54">SUM(Z381:Z385)</f>
        <v>7988</v>
      </c>
      <c r="AA386">
        <f t="shared" si="54"/>
        <v>8718429108.0471287</v>
      </c>
      <c r="AB386">
        <f t="shared" si="54"/>
        <v>1617457800.0303671</v>
      </c>
      <c r="AC386" s="153">
        <f t="shared" si="50"/>
        <v>27221750.348597638</v>
      </c>
      <c r="AD386" s="153">
        <f t="shared" si="51"/>
        <v>9325750.3485976383</v>
      </c>
      <c r="AE386" s="153">
        <f t="shared" si="52"/>
        <v>9325750.3485976383</v>
      </c>
    </row>
    <row r="387" spans="1:31" x14ac:dyDescent="0.25">
      <c r="A387"/>
      <c r="B387" s="222"/>
      <c r="C387" s="222"/>
      <c r="D387" s="222"/>
      <c r="E387" s="222"/>
      <c r="O387" s="153"/>
      <c r="P387"/>
      <c r="S387" s="154"/>
      <c r="T387"/>
    </row>
    <row r="388" spans="1:31" x14ac:dyDescent="0.25">
      <c r="A388"/>
      <c r="B388" t="s">
        <v>148</v>
      </c>
      <c r="C388">
        <v>65724</v>
      </c>
      <c r="D388">
        <v>27440</v>
      </c>
      <c r="E388">
        <v>38284</v>
      </c>
      <c r="F388">
        <v>14503</v>
      </c>
      <c r="G388">
        <v>652</v>
      </c>
      <c r="H388">
        <v>1317</v>
      </c>
      <c r="I388">
        <v>975</v>
      </c>
      <c r="J388">
        <v>16129</v>
      </c>
      <c r="K388">
        <v>25739</v>
      </c>
      <c r="L388">
        <v>3461</v>
      </c>
      <c r="M388">
        <v>1326</v>
      </c>
      <c r="N388">
        <v>7139</v>
      </c>
      <c r="O388">
        <v>1094</v>
      </c>
      <c r="P388">
        <v>21655000</v>
      </c>
      <c r="Q388">
        <v>16486000</v>
      </c>
      <c r="R388">
        <v>5169000</v>
      </c>
      <c r="S388">
        <v>168000</v>
      </c>
      <c r="T388" s="153">
        <f>0.1905*SUM(Q388,R388,R388)*10</f>
        <v>51099720</v>
      </c>
      <c r="U388" s="153">
        <f>SUM(T388*140/120,-C121*1000)</f>
        <v>49381340</v>
      </c>
      <c r="V388" s="153">
        <f>IF(U388&gt;0,U388,0)</f>
        <v>49381340</v>
      </c>
      <c r="X388" t="s">
        <v>148</v>
      </c>
      <c r="Y388">
        <v>26563</v>
      </c>
      <c r="Z388">
        <v>48995</v>
      </c>
      <c r="AA388">
        <v>16417181705.809641</v>
      </c>
      <c r="AB388">
        <v>5498877665.5443325</v>
      </c>
      <c r="AC388" s="153">
        <f>SUM(0.001952*AA388,2*0.001952*AB388)*140/120</f>
        <v>62432949.945363075</v>
      </c>
      <c r="AD388" s="153">
        <f>SUM(AC388,-Y388*1000,-Z388*1000)</f>
        <v>-13125050.054636925</v>
      </c>
      <c r="AE388" s="153">
        <f>IF(AD388&gt;0,AD388,0)</f>
        <v>0</v>
      </c>
    </row>
    <row r="389" spans="1:31" x14ac:dyDescent="0.25">
      <c r="A389"/>
      <c r="B389" t="s">
        <v>160</v>
      </c>
      <c r="C389">
        <v>1513</v>
      </c>
      <c r="D389">
        <v>963</v>
      </c>
      <c r="E389">
        <v>550</v>
      </c>
      <c r="F389">
        <v>0</v>
      </c>
      <c r="G389">
        <v>0</v>
      </c>
      <c r="H389">
        <v>0</v>
      </c>
      <c r="I389">
        <v>0</v>
      </c>
      <c r="J389">
        <v>885</v>
      </c>
      <c r="K389">
        <v>819</v>
      </c>
      <c r="L389">
        <v>125</v>
      </c>
      <c r="M389">
        <v>41</v>
      </c>
      <c r="N389">
        <v>140</v>
      </c>
      <c r="O389">
        <v>0</v>
      </c>
      <c r="P389">
        <v>629000</v>
      </c>
      <c r="Q389">
        <v>507000</v>
      </c>
      <c r="R389">
        <v>122000</v>
      </c>
      <c r="S389">
        <v>175000</v>
      </c>
      <c r="T389" s="153">
        <f>0.1905*SUM(Q389,R389,R389)*10</f>
        <v>1430655</v>
      </c>
      <c r="U389" s="153">
        <f>SUM(T389*140/120,-C299*1000)</f>
        <v>-3230902.5</v>
      </c>
      <c r="V389" s="153">
        <f>IF(U389&gt;0,U389,0)</f>
        <v>0</v>
      </c>
      <c r="X389" t="s">
        <v>160</v>
      </c>
      <c r="Y389">
        <v>928</v>
      </c>
      <c r="Z389">
        <v>789</v>
      </c>
      <c r="AA389">
        <v>505997818.97491819</v>
      </c>
      <c r="AB389">
        <v>125536992.84009545</v>
      </c>
      <c r="AC389" s="153">
        <f>SUM(0.001952*AA389,2*0.001952*AB389)*140/120</f>
        <v>1724104.8564679017</v>
      </c>
      <c r="AD389" s="153">
        <f>SUM(AC389,-Y389*1000,-Z389*1000)</f>
        <v>7104.856467901729</v>
      </c>
      <c r="AE389" s="153">
        <f>IF(AD389&gt;0,AD389,0)</f>
        <v>7104.856467901729</v>
      </c>
    </row>
    <row r="390" spans="1:31" x14ac:dyDescent="0.25">
      <c r="A390" s="222"/>
      <c r="B390" t="s">
        <v>150</v>
      </c>
      <c r="C390">
        <v>5308</v>
      </c>
      <c r="D390">
        <v>4092</v>
      </c>
      <c r="E390">
        <v>1216</v>
      </c>
      <c r="F390">
        <v>518</v>
      </c>
      <c r="G390">
        <v>0</v>
      </c>
      <c r="H390">
        <v>117</v>
      </c>
      <c r="I390">
        <v>42</v>
      </c>
      <c r="J390">
        <v>2603</v>
      </c>
      <c r="K390">
        <v>1759</v>
      </c>
      <c r="L390">
        <v>376</v>
      </c>
      <c r="M390">
        <v>248</v>
      </c>
      <c r="N390">
        <v>935</v>
      </c>
      <c r="O390">
        <v>23</v>
      </c>
      <c r="P390">
        <v>2887000</v>
      </c>
      <c r="Q390">
        <v>2617000</v>
      </c>
      <c r="R390">
        <v>270000</v>
      </c>
      <c r="S390">
        <v>291000</v>
      </c>
      <c r="T390" s="153">
        <f>0.1905*SUM(Q390,R390,R390)*10</f>
        <v>6014085</v>
      </c>
      <c r="U390" s="153">
        <f>SUM(T390*140/120,-C133*1000)</f>
        <v>-1176567.5</v>
      </c>
      <c r="V390" s="153">
        <f>IF(U390&gt;0,U390,0)</f>
        <v>0</v>
      </c>
      <c r="X390" t="s">
        <v>150</v>
      </c>
      <c r="Y390">
        <v>4367</v>
      </c>
      <c r="Z390">
        <v>1410</v>
      </c>
      <c r="AA390">
        <v>2614970059.8802395</v>
      </c>
      <c r="AB390">
        <v>304535637.14902812</v>
      </c>
      <c r="AC390" s="153">
        <f>SUM(0.001952*AA390,2*0.001952*AB390)*140/120</f>
        <v>7342216.7983687054</v>
      </c>
      <c r="AD390" s="153">
        <f>SUM(AC390,-Y390*1000,-Z390*1000)</f>
        <v>1565216.7983687054</v>
      </c>
      <c r="AE390" s="153">
        <f>IF(AD390&gt;0,AD390,0)</f>
        <v>1565216.7983687054</v>
      </c>
    </row>
    <row r="391" spans="1:31" x14ac:dyDescent="0.25">
      <c r="A391" s="222"/>
      <c r="B391" t="s">
        <v>148</v>
      </c>
      <c r="C391">
        <f>SUM(C388:C390)</f>
        <v>72545</v>
      </c>
      <c r="D391">
        <f t="shared" ref="D391:O391" si="55">SUM(D388:D390)</f>
        <v>32495</v>
      </c>
      <c r="E391">
        <f t="shared" si="55"/>
        <v>40050</v>
      </c>
      <c r="F391">
        <f t="shared" si="55"/>
        <v>15021</v>
      </c>
      <c r="G391">
        <f t="shared" si="55"/>
        <v>652</v>
      </c>
      <c r="H391">
        <f t="shared" si="55"/>
        <v>1434</v>
      </c>
      <c r="I391">
        <f t="shared" si="55"/>
        <v>1017</v>
      </c>
      <c r="J391">
        <f t="shared" si="55"/>
        <v>19617</v>
      </c>
      <c r="K391">
        <f t="shared" si="55"/>
        <v>28317</v>
      </c>
      <c r="L391">
        <f t="shared" si="55"/>
        <v>3962</v>
      </c>
      <c r="M391">
        <f t="shared" si="55"/>
        <v>1615</v>
      </c>
      <c r="N391">
        <f t="shared" si="55"/>
        <v>8214</v>
      </c>
      <c r="O391">
        <f t="shared" si="55"/>
        <v>1117</v>
      </c>
      <c r="P391">
        <f>SUM(P388:P390)</f>
        <v>25171000</v>
      </c>
      <c r="Q391">
        <f>SUM(Q388:Q390)</f>
        <v>19610000</v>
      </c>
      <c r="R391">
        <f>SUM(R388:R390)</f>
        <v>5561000</v>
      </c>
      <c r="S391" s="154">
        <f>175000</f>
        <v>175000</v>
      </c>
      <c r="T391" s="153">
        <f>0.1905*SUM(Q391,R391,R391)*10</f>
        <v>58544460</v>
      </c>
      <c r="U391" s="153">
        <f>SUM(T391*140/120,-C134*1000)</f>
        <v>63201870</v>
      </c>
      <c r="V391" s="153">
        <f>IF(U391&gt;0,U391,0)</f>
        <v>63201870</v>
      </c>
      <c r="X391" t="s">
        <v>148</v>
      </c>
      <c r="Y391">
        <f>SUM(Y388:Y390)</f>
        <v>31858</v>
      </c>
      <c r="Z391">
        <f t="shared" ref="Z391:AB391" si="56">SUM(Z388:Z390)</f>
        <v>51194</v>
      </c>
      <c r="AA391">
        <f t="shared" si="56"/>
        <v>19538149584.664799</v>
      </c>
      <c r="AB391">
        <f t="shared" si="56"/>
        <v>5928950295.5334558</v>
      </c>
      <c r="AC391" s="153">
        <f>SUM(0.001952*AA391,2*0.001952*AB391)*140/120</f>
        <v>71499271.600199685</v>
      </c>
      <c r="AD391" s="153">
        <f>SUM(AC391,-Y391*1000,-Z391*1000)</f>
        <v>-11552728.399800315</v>
      </c>
      <c r="AE391" s="153">
        <f>IF(AD391&gt;0,AD391,0)</f>
        <v>0</v>
      </c>
    </row>
    <row r="392" spans="1:31" x14ac:dyDescent="0.25">
      <c r="A392" s="222"/>
      <c r="B392" s="222"/>
      <c r="C392" s="222"/>
      <c r="D392" s="222"/>
      <c r="E392" s="222"/>
      <c r="O392" s="153"/>
      <c r="P392"/>
      <c r="S392" s="154"/>
      <c r="T392"/>
    </row>
    <row r="393" spans="1:31" x14ac:dyDescent="0.25">
      <c r="A393" s="222"/>
      <c r="B393" t="s">
        <v>356</v>
      </c>
      <c r="C393">
        <v>4732</v>
      </c>
      <c r="D393">
        <v>2870</v>
      </c>
      <c r="E393">
        <v>1862</v>
      </c>
      <c r="F393">
        <v>509</v>
      </c>
      <c r="G393">
        <v>209</v>
      </c>
      <c r="H393">
        <v>0</v>
      </c>
      <c r="I393">
        <v>126</v>
      </c>
      <c r="J393">
        <v>2898</v>
      </c>
      <c r="K393">
        <v>1970</v>
      </c>
      <c r="L393">
        <v>385</v>
      </c>
      <c r="M393">
        <v>377</v>
      </c>
      <c r="N393">
        <v>484</v>
      </c>
      <c r="O393">
        <v>81</v>
      </c>
      <c r="P393">
        <v>2232000</v>
      </c>
      <c r="Q393">
        <v>1894000</v>
      </c>
      <c r="R393">
        <v>338000</v>
      </c>
      <c r="S393">
        <v>215000</v>
      </c>
      <c r="T393" s="153">
        <f>0.1905*SUM(Q393,R393,R393)*10</f>
        <v>4895850</v>
      </c>
      <c r="U393" s="153">
        <f>SUM(T393*140/120,-C181*1000)</f>
        <v>3920825</v>
      </c>
      <c r="V393" s="153">
        <f>IF(U393&gt;0,U393,0)</f>
        <v>3920825</v>
      </c>
      <c r="X393" t="s">
        <v>356</v>
      </c>
      <c r="Y393">
        <v>2963</v>
      </c>
      <c r="Z393">
        <v>2115</v>
      </c>
      <c r="AA393">
        <v>1863522012.5786164</v>
      </c>
      <c r="AB393">
        <v>341074020.31930327</v>
      </c>
      <c r="AC393" s="153">
        <f>SUM(0.001952*AA393,2*0.001952*AB393)*140/120</f>
        <v>5797339.2678600233</v>
      </c>
      <c r="AD393" s="153">
        <f>SUM(AC393,-Y393*1000,-Z393*1000)</f>
        <v>719339.2678600233</v>
      </c>
      <c r="AE393" s="153">
        <f>IF(AD393&gt;0,AD393,0)</f>
        <v>719339.2678600233</v>
      </c>
    </row>
    <row r="394" spans="1:31" x14ac:dyDescent="0.25">
      <c r="A394" s="222"/>
      <c r="B394" t="s">
        <v>282</v>
      </c>
      <c r="C394">
        <v>4170</v>
      </c>
      <c r="D394">
        <v>2090</v>
      </c>
      <c r="E394">
        <v>2080</v>
      </c>
      <c r="F394">
        <v>20</v>
      </c>
      <c r="G394">
        <v>12</v>
      </c>
      <c r="H394">
        <v>124</v>
      </c>
      <c r="I394">
        <v>143</v>
      </c>
      <c r="J394">
        <v>2180</v>
      </c>
      <c r="K394">
        <v>1825</v>
      </c>
      <c r="L394">
        <v>349</v>
      </c>
      <c r="M394">
        <v>221</v>
      </c>
      <c r="N394">
        <v>1085</v>
      </c>
      <c r="O394">
        <v>96</v>
      </c>
      <c r="P394">
        <v>2603000</v>
      </c>
      <c r="Q394">
        <v>2057000</v>
      </c>
      <c r="R394">
        <v>546000</v>
      </c>
      <c r="S394">
        <v>229000</v>
      </c>
      <c r="T394" s="153">
        <f>0.1905*SUM(Q394,R394,R394)*10</f>
        <v>5998845</v>
      </c>
      <c r="U394" s="153">
        <f>SUM(T394*140/120,-C330*1000)</f>
        <v>1771652.5</v>
      </c>
      <c r="V394" s="153">
        <f>IF(U394&gt;0,U394,0)</f>
        <v>1771652.5</v>
      </c>
      <c r="X394" t="s">
        <v>282</v>
      </c>
      <c r="Y394">
        <v>2013</v>
      </c>
      <c r="Z394">
        <v>2464</v>
      </c>
      <c r="AA394">
        <v>2004980079.6812747</v>
      </c>
      <c r="AB394">
        <v>516886930.98384726</v>
      </c>
      <c r="AC394" s="153">
        <f>SUM(0.001952*AA394,2*0.001952*AB394)*140/120</f>
        <v>6920255.6431152523</v>
      </c>
      <c r="AD394" s="153">
        <f>SUM(AC394,-Y394*1000,-Z394*1000)</f>
        <v>2443255.6431152523</v>
      </c>
      <c r="AE394" s="153">
        <f>IF(AD394&gt;0,AD394,0)</f>
        <v>2443255.6431152523</v>
      </c>
    </row>
    <row r="395" spans="1:31" x14ac:dyDescent="0.25">
      <c r="A395" s="222"/>
      <c r="B395" t="s">
        <v>384</v>
      </c>
      <c r="C395">
        <v>2718</v>
      </c>
      <c r="D395">
        <v>1704</v>
      </c>
      <c r="E395">
        <v>1014</v>
      </c>
      <c r="F395">
        <v>0</v>
      </c>
      <c r="G395">
        <v>837</v>
      </c>
      <c r="H395">
        <v>67</v>
      </c>
      <c r="I395">
        <v>0</v>
      </c>
      <c r="J395">
        <v>1410</v>
      </c>
      <c r="K395">
        <v>1046</v>
      </c>
      <c r="L395">
        <v>256</v>
      </c>
      <c r="M395">
        <v>144</v>
      </c>
      <c r="N395">
        <v>332</v>
      </c>
      <c r="O395">
        <v>17</v>
      </c>
      <c r="P395">
        <v>1703000</v>
      </c>
      <c r="Q395">
        <v>1393000</v>
      </c>
      <c r="R395">
        <v>310000</v>
      </c>
      <c r="S395">
        <v>258000</v>
      </c>
      <c r="T395" s="153">
        <f>0.1905*SUM(Q395,R395,R395)*10</f>
        <v>3834765</v>
      </c>
      <c r="U395" s="153">
        <f>SUM(T395*140/120,-C369*1000)</f>
        <v>-2307107.5</v>
      </c>
      <c r="V395" s="153">
        <f>IF(U395&gt;0,U395,0)</f>
        <v>0</v>
      </c>
      <c r="X395" t="s">
        <v>384</v>
      </c>
      <c r="Y395">
        <v>1699</v>
      </c>
      <c r="Z395">
        <v>1125</v>
      </c>
      <c r="AA395">
        <v>1401815181.5181518</v>
      </c>
      <c r="AB395">
        <v>306790291.7916553</v>
      </c>
      <c r="AC395" s="153">
        <f>SUM(0.001952*AA395,2*0.001952*AB395)*140/120</f>
        <v>4589727.9557243967</v>
      </c>
      <c r="AD395" s="153">
        <f>SUM(AC395,-Y395*1000,-Z395*1000)</f>
        <v>1765727.9557243967</v>
      </c>
      <c r="AE395" s="153">
        <f>IF(AD395&gt;0,AD395,0)</f>
        <v>1765727.9557243967</v>
      </c>
    </row>
    <row r="396" spans="1:31" x14ac:dyDescent="0.25">
      <c r="A396" s="222"/>
      <c r="B396" s="153" t="s">
        <v>752</v>
      </c>
      <c r="C396">
        <f>SUM(C393:C395)</f>
        <v>11620</v>
      </c>
      <c r="D396">
        <f t="shared" ref="D396:O396" si="57">SUM(D393:D395)</f>
        <v>6664</v>
      </c>
      <c r="E396">
        <f t="shared" si="57"/>
        <v>4956</v>
      </c>
      <c r="F396">
        <f t="shared" si="57"/>
        <v>529</v>
      </c>
      <c r="G396">
        <f t="shared" si="57"/>
        <v>1058</v>
      </c>
      <c r="H396">
        <f t="shared" si="57"/>
        <v>191</v>
      </c>
      <c r="I396">
        <f t="shared" si="57"/>
        <v>269</v>
      </c>
      <c r="J396">
        <f t="shared" si="57"/>
        <v>6488</v>
      </c>
      <c r="K396">
        <f t="shared" si="57"/>
        <v>4841</v>
      </c>
      <c r="L396">
        <f t="shared" si="57"/>
        <v>990</v>
      </c>
      <c r="M396">
        <f t="shared" si="57"/>
        <v>742</v>
      </c>
      <c r="N396">
        <f t="shared" si="57"/>
        <v>1901</v>
      </c>
      <c r="O396">
        <f t="shared" si="57"/>
        <v>194</v>
      </c>
      <c r="P396">
        <f>SUM(P393:P395)</f>
        <v>6538000</v>
      </c>
      <c r="Q396">
        <f t="shared" ref="Q396:R396" si="58">SUM(Q393:Q395)</f>
        <v>5344000</v>
      </c>
      <c r="R396">
        <f t="shared" si="58"/>
        <v>1194000</v>
      </c>
      <c r="S396" s="154">
        <f>SUM(S393:S395)/3</f>
        <v>234000</v>
      </c>
      <c r="T396" s="153">
        <f>0.1905*SUM(Q396,R396,R396)*10</f>
        <v>14729460</v>
      </c>
      <c r="U396" s="153">
        <f>SUM(T396*140/120,-C370*1000)</f>
        <v>17184370</v>
      </c>
      <c r="V396" s="153">
        <f>IF(U396&gt;0,U396,0)</f>
        <v>17184370</v>
      </c>
      <c r="X396" s="153" t="s">
        <v>752</v>
      </c>
      <c r="Y396">
        <f>SUM(Y393:Y395)</f>
        <v>6675</v>
      </c>
      <c r="Z396">
        <f t="shared" ref="Z396:AB396" si="59">SUM(Z393:Z395)</f>
        <v>5704</v>
      </c>
      <c r="AA396">
        <f t="shared" si="59"/>
        <v>5270317273.7780428</v>
      </c>
      <c r="AB396">
        <f t="shared" si="59"/>
        <v>1164751243.0948057</v>
      </c>
      <c r="AC396" s="153">
        <f>SUM(0.001952*AA396,2*0.001952*AB396)*140/120</f>
        <v>17307322.86669967</v>
      </c>
      <c r="AD396" s="153">
        <f>SUM(AC396,-Y396*1000,-Z396*1000)</f>
        <v>4928322.8666996695</v>
      </c>
      <c r="AE396" s="153">
        <f>IF(AD396&gt;0,AD396,0)</f>
        <v>4928322.8666996695</v>
      </c>
    </row>
    <row r="397" spans="1:31" x14ac:dyDescent="0.25">
      <c r="A397" s="222"/>
      <c r="B397" s="222"/>
      <c r="C397" s="222"/>
      <c r="D397" s="222"/>
      <c r="E397" s="222"/>
      <c r="O397" s="153"/>
      <c r="P397"/>
      <c r="S397" s="154"/>
      <c r="T397"/>
    </row>
    <row r="398" spans="1:31" x14ac:dyDescent="0.25">
      <c r="A398" s="222"/>
      <c r="B398" t="s">
        <v>365</v>
      </c>
      <c r="C398">
        <v>7343</v>
      </c>
      <c r="D398">
        <v>5076</v>
      </c>
      <c r="E398">
        <v>2267</v>
      </c>
      <c r="F398">
        <v>3100</v>
      </c>
      <c r="G398">
        <v>2953</v>
      </c>
      <c r="H398">
        <v>1836</v>
      </c>
      <c r="I398">
        <v>1061</v>
      </c>
      <c r="J398">
        <v>2371</v>
      </c>
      <c r="K398">
        <v>2924</v>
      </c>
      <c r="L398">
        <v>489</v>
      </c>
      <c r="M398">
        <v>179</v>
      </c>
      <c r="N398">
        <v>700</v>
      </c>
      <c r="O398">
        <v>79</v>
      </c>
      <c r="P398">
        <v>5137000</v>
      </c>
      <c r="Q398">
        <v>4342000</v>
      </c>
      <c r="R398">
        <v>795000</v>
      </c>
      <c r="S398">
        <v>345000</v>
      </c>
      <c r="T398" s="153">
        <f>0.1905*SUM(Q398,R398,R398)*10</f>
        <v>11300460</v>
      </c>
      <c r="U398" s="153">
        <f>SUM(T398*140/120,-C227*1000)</f>
        <v>11381870</v>
      </c>
      <c r="V398" s="153">
        <f>IF(U398&gt;0,U398,0)</f>
        <v>11381870</v>
      </c>
      <c r="X398" t="s">
        <v>365</v>
      </c>
      <c r="Y398">
        <v>5093</v>
      </c>
      <c r="Z398">
        <v>2482</v>
      </c>
      <c r="AA398">
        <v>4338160136.2862005</v>
      </c>
      <c r="AB398">
        <v>797045600.51380861</v>
      </c>
      <c r="AC398" s="153">
        <f>SUM(0.001952*AA398,2*0.001952*AB398)*140/120</f>
        <v>13509713.712176003</v>
      </c>
      <c r="AD398" s="153">
        <f>SUM(AC398,-Y398*1000,-Z398*1000)</f>
        <v>5934713.7121760026</v>
      </c>
      <c r="AE398" s="153">
        <f>IF(AD398&gt;0,AD398,0)</f>
        <v>5934713.7121760026</v>
      </c>
    </row>
    <row r="399" spans="1:31" x14ac:dyDescent="0.25">
      <c r="A399" s="222"/>
      <c r="B399" t="s">
        <v>366</v>
      </c>
      <c r="C399">
        <v>2809</v>
      </c>
      <c r="D399">
        <v>1674</v>
      </c>
      <c r="E399">
        <v>1135</v>
      </c>
      <c r="F399">
        <v>6</v>
      </c>
      <c r="G399">
        <v>1748</v>
      </c>
      <c r="H399">
        <v>458</v>
      </c>
      <c r="I399">
        <v>250</v>
      </c>
      <c r="J399">
        <v>2214</v>
      </c>
      <c r="K399">
        <v>1913</v>
      </c>
      <c r="L399">
        <v>253</v>
      </c>
      <c r="M399">
        <v>0</v>
      </c>
      <c r="N399">
        <v>447</v>
      </c>
      <c r="O399">
        <v>58</v>
      </c>
      <c r="P399">
        <v>2318000</v>
      </c>
      <c r="Q399">
        <v>1939000</v>
      </c>
      <c r="R399">
        <v>379000</v>
      </c>
      <c r="S399">
        <v>274000</v>
      </c>
      <c r="T399" s="153">
        <f>0.1905*SUM(Q399,R399,R399)*10</f>
        <v>5137785</v>
      </c>
      <c r="U399" s="153">
        <f>SUM(T399*140/120,-C228*1000)</f>
        <v>1581082.5</v>
      </c>
      <c r="V399" s="153">
        <f>IF(U399&gt;0,U399,0)</f>
        <v>1581082.5</v>
      </c>
      <c r="X399" t="s">
        <v>366</v>
      </c>
      <c r="Y399">
        <v>1667</v>
      </c>
      <c r="Z399">
        <v>1234</v>
      </c>
      <c r="AA399">
        <v>1947429906.5420561</v>
      </c>
      <c r="AB399">
        <v>391870435.0587489</v>
      </c>
      <c r="AC399" s="153">
        <f>SUM(0.001952*AA399,2*0.001952*AB399)*140/120</f>
        <v>6219786.2487126905</v>
      </c>
      <c r="AD399" s="153">
        <f>SUM(AC399,-Y399*1000,-Z399*1000)</f>
        <v>3318786.2487126905</v>
      </c>
      <c r="AE399" s="153">
        <f>IF(AD399&gt;0,AD399,0)</f>
        <v>3318786.2487126905</v>
      </c>
    </row>
    <row r="400" spans="1:31" x14ac:dyDescent="0.25">
      <c r="A400" s="222"/>
      <c r="B400" t="s">
        <v>365</v>
      </c>
      <c r="C400">
        <f>SUM(C398:C399)</f>
        <v>10152</v>
      </c>
      <c r="D400">
        <f t="shared" ref="D400:O400" si="60">SUM(D398:D399)</f>
        <v>6750</v>
      </c>
      <c r="E400">
        <f t="shared" si="60"/>
        <v>3402</v>
      </c>
      <c r="F400">
        <f t="shared" si="60"/>
        <v>3106</v>
      </c>
      <c r="G400">
        <f t="shared" si="60"/>
        <v>4701</v>
      </c>
      <c r="H400">
        <f t="shared" si="60"/>
        <v>2294</v>
      </c>
      <c r="I400">
        <f t="shared" si="60"/>
        <v>1311</v>
      </c>
      <c r="J400">
        <f t="shared" si="60"/>
        <v>4585</v>
      </c>
      <c r="K400">
        <f t="shared" si="60"/>
        <v>4837</v>
      </c>
      <c r="L400">
        <f t="shared" si="60"/>
        <v>742</v>
      </c>
      <c r="M400">
        <f t="shared" si="60"/>
        <v>179</v>
      </c>
      <c r="N400">
        <f t="shared" si="60"/>
        <v>1147</v>
      </c>
      <c r="O400">
        <f t="shared" si="60"/>
        <v>137</v>
      </c>
      <c r="P400">
        <f>SUM(P398:P399)</f>
        <v>7455000</v>
      </c>
      <c r="Q400">
        <f t="shared" ref="Q400:R400" si="61">SUM(Q398:Q399)</f>
        <v>6281000</v>
      </c>
      <c r="R400">
        <f t="shared" si="61"/>
        <v>1174000</v>
      </c>
      <c r="S400" s="154">
        <f>SUM(S398:S399)/2</f>
        <v>309500</v>
      </c>
      <c r="T400" s="153">
        <f>0.1905*SUM(Q400,R400,R400)*10</f>
        <v>16438245</v>
      </c>
      <c r="U400" s="153">
        <f>SUM(T400*140/120,-C229*1000)</f>
        <v>-30047.5</v>
      </c>
      <c r="V400" s="153">
        <f>IF(U400&gt;0,U400,0)</f>
        <v>0</v>
      </c>
      <c r="X400" t="s">
        <v>365</v>
      </c>
      <c r="Y400">
        <f>SUM(Y398:Y399)</f>
        <v>6760</v>
      </c>
      <c r="Z400">
        <f t="shared" ref="Z400:AB400" si="62">SUM(Z398:Z399)</f>
        <v>3716</v>
      </c>
      <c r="AA400">
        <f t="shared" si="62"/>
        <v>6285590042.8282566</v>
      </c>
      <c r="AB400">
        <f t="shared" si="62"/>
        <v>1188916035.5725574</v>
      </c>
      <c r="AC400" s="153">
        <f>SUM(0.001952*AA400,2*0.001952*AB400)*140/120</f>
        <v>19729499.960888695</v>
      </c>
      <c r="AD400" s="153">
        <f>SUM(AC400,-Y400*1000,-Z400*1000)</f>
        <v>9253499.960888695</v>
      </c>
      <c r="AE400" s="153">
        <f>IF(AD400&gt;0,AD400,0)</f>
        <v>9253499.960888695</v>
      </c>
    </row>
    <row r="401" spans="1:31" x14ac:dyDescent="0.25">
      <c r="A401" s="222"/>
      <c r="B401" s="222"/>
      <c r="C401" s="222"/>
      <c r="D401" s="222"/>
      <c r="E401" s="222"/>
      <c r="O401" s="153"/>
      <c r="P401"/>
      <c r="S401" s="154"/>
      <c r="T401"/>
    </row>
    <row r="402" spans="1:31" x14ac:dyDescent="0.25">
      <c r="A402" s="222"/>
      <c r="B402" t="s">
        <v>168</v>
      </c>
      <c r="C402">
        <v>4652</v>
      </c>
      <c r="D402">
        <v>2841</v>
      </c>
      <c r="E402">
        <v>1811</v>
      </c>
      <c r="F402">
        <v>461</v>
      </c>
      <c r="G402">
        <v>1802</v>
      </c>
      <c r="H402">
        <v>274</v>
      </c>
      <c r="I402">
        <v>207</v>
      </c>
      <c r="J402">
        <v>2514</v>
      </c>
      <c r="K402">
        <v>2425</v>
      </c>
      <c r="L402">
        <v>435</v>
      </c>
      <c r="M402">
        <v>144</v>
      </c>
      <c r="N402">
        <v>401</v>
      </c>
      <c r="O402">
        <v>64</v>
      </c>
      <c r="P402">
        <v>2115000</v>
      </c>
      <c r="Q402">
        <v>1631000</v>
      </c>
      <c r="R402">
        <v>484000</v>
      </c>
      <c r="S402">
        <v>150000</v>
      </c>
      <c r="T402" s="153">
        <f>0.1905*SUM(Q402,R402,R402)*10</f>
        <v>4951095</v>
      </c>
      <c r="U402" s="153">
        <f>SUM(T402*140/120,-C84*1000)</f>
        <v>-3566722.5</v>
      </c>
      <c r="V402" s="153">
        <f>IF(U402&gt;0,U402,0)</f>
        <v>0</v>
      </c>
      <c r="X402" t="s">
        <v>168</v>
      </c>
      <c r="Y402">
        <v>2841</v>
      </c>
      <c r="Z402">
        <v>2055</v>
      </c>
      <c r="AA402">
        <v>1617881548.9749432</v>
      </c>
      <c r="AB402">
        <v>473175224.49919403</v>
      </c>
      <c r="AC402" s="153">
        <f t="shared" ref="AC402" si="63">SUM(0.001952*AA402,2*0.001952*AB402)*140/120</f>
        <v>5839611.0033845995</v>
      </c>
      <c r="AD402" s="153">
        <f t="shared" ref="AD402" si="64">SUM(AC402,-Y402*1000,-Z402*1000)</f>
        <v>943611.00338459946</v>
      </c>
      <c r="AE402" s="153">
        <f t="shared" ref="AE402" si="65">IF(AD402&gt;0,AD402,0)</f>
        <v>943611.00338459946</v>
      </c>
    </row>
    <row r="403" spans="1:31" x14ac:dyDescent="0.25">
      <c r="A403" s="222"/>
      <c r="B403" t="s">
        <v>169</v>
      </c>
      <c r="C403">
        <v>1628</v>
      </c>
      <c r="D403">
        <v>1017</v>
      </c>
      <c r="E403">
        <v>611</v>
      </c>
      <c r="F403">
        <v>0</v>
      </c>
      <c r="G403">
        <v>0</v>
      </c>
      <c r="H403">
        <v>10</v>
      </c>
      <c r="I403">
        <v>11</v>
      </c>
      <c r="J403">
        <v>641</v>
      </c>
      <c r="K403">
        <v>991</v>
      </c>
      <c r="L403">
        <v>129</v>
      </c>
      <c r="M403">
        <v>15</v>
      </c>
      <c r="N403">
        <v>125</v>
      </c>
      <c r="O403">
        <v>0</v>
      </c>
      <c r="P403">
        <v>716000</v>
      </c>
      <c r="Q403">
        <v>548000</v>
      </c>
      <c r="R403">
        <v>168000</v>
      </c>
      <c r="S403">
        <v>153000</v>
      </c>
      <c r="T403" s="153">
        <f>0.1905*SUM(Q403,R403,R403)*10</f>
        <v>1684020</v>
      </c>
      <c r="U403" s="153">
        <f>SUM(T403*140/120,-C106*1000)</f>
        <v>-6542310</v>
      </c>
      <c r="V403" s="153">
        <f>IF(U403&gt;0,U403,0)</f>
        <v>0</v>
      </c>
      <c r="X403" t="s">
        <v>169</v>
      </c>
      <c r="Y403">
        <v>1025</v>
      </c>
      <c r="Z403">
        <v>713</v>
      </c>
      <c r="AA403">
        <v>540326831.83974695</v>
      </c>
      <c r="AB403">
        <v>161568094.26693857</v>
      </c>
      <c r="AC403" s="153">
        <f>SUM(0.001952*AA403,2*0.001952*AB403)*140/120</f>
        <v>1966393.1183975334</v>
      </c>
      <c r="AD403" s="153">
        <f>SUM(AC403,-Y403*1000,-Z403*1000)</f>
        <v>228393.11839753343</v>
      </c>
      <c r="AE403" s="153">
        <f>IF(AD403&gt;0,AD403,0)</f>
        <v>228393.11839753343</v>
      </c>
    </row>
    <row r="404" spans="1:31" x14ac:dyDescent="0.25">
      <c r="B404" t="s">
        <v>500</v>
      </c>
      <c r="C404">
        <v>2200</v>
      </c>
      <c r="D404">
        <v>1356</v>
      </c>
      <c r="E404">
        <v>844</v>
      </c>
      <c r="F404">
        <v>0</v>
      </c>
      <c r="G404">
        <v>1073</v>
      </c>
      <c r="H404">
        <v>47</v>
      </c>
      <c r="I404">
        <v>35</v>
      </c>
      <c r="J404">
        <v>1473</v>
      </c>
      <c r="K404">
        <v>918</v>
      </c>
      <c r="L404">
        <v>237</v>
      </c>
      <c r="M404">
        <v>130</v>
      </c>
      <c r="N404">
        <v>260</v>
      </c>
      <c r="O404">
        <v>10</v>
      </c>
      <c r="P404">
        <v>1161000</v>
      </c>
      <c r="Q404">
        <v>911000</v>
      </c>
      <c r="R404">
        <v>250000</v>
      </c>
      <c r="S404">
        <v>172000</v>
      </c>
      <c r="T404" s="153">
        <f>0.1905*SUM(Q404,R404,R404)*10</f>
        <v>2687955</v>
      </c>
      <c r="U404" s="153">
        <f>SUM(T404*140/120,-C169*1000)</f>
        <v>-28612052.5</v>
      </c>
      <c r="V404" s="153">
        <f>IF(U404&gt;0,U404,0)</f>
        <v>0</v>
      </c>
      <c r="X404" t="s">
        <v>500</v>
      </c>
      <c r="Y404">
        <v>1358</v>
      </c>
      <c r="Z404">
        <v>934</v>
      </c>
      <c r="AA404">
        <v>904127829.56058586</v>
      </c>
      <c r="AB404">
        <v>217715617.71561769</v>
      </c>
      <c r="AC404" s="153">
        <f>SUM(0.001952*AA404,2*0.001952*AB404)*140/120</f>
        <v>3050622.5106747076</v>
      </c>
      <c r="AD404" s="153">
        <f>SUM(AC404,-Y404*1000,-Z404*1000)</f>
        <v>758622.51067470759</v>
      </c>
      <c r="AE404" s="153">
        <f>IF(AD404&gt;0,AD404,0)</f>
        <v>758622.51067470759</v>
      </c>
    </row>
    <row r="405" spans="1:31" x14ac:dyDescent="0.25">
      <c r="B405" s="153" t="s">
        <v>751</v>
      </c>
      <c r="C405">
        <f>SUM(C402:C404)</f>
        <v>8480</v>
      </c>
      <c r="D405">
        <f t="shared" ref="D405:O405" si="66">SUM(D402:D404)</f>
        <v>5214</v>
      </c>
      <c r="E405">
        <f t="shared" si="66"/>
        <v>3266</v>
      </c>
      <c r="F405">
        <f t="shared" si="66"/>
        <v>461</v>
      </c>
      <c r="G405">
        <f t="shared" si="66"/>
        <v>2875</v>
      </c>
      <c r="H405">
        <f t="shared" si="66"/>
        <v>331</v>
      </c>
      <c r="I405">
        <f t="shared" si="66"/>
        <v>253</v>
      </c>
      <c r="J405">
        <f t="shared" si="66"/>
        <v>4628</v>
      </c>
      <c r="K405">
        <f t="shared" si="66"/>
        <v>4334</v>
      </c>
      <c r="L405">
        <f t="shared" si="66"/>
        <v>801</v>
      </c>
      <c r="M405">
        <f t="shared" si="66"/>
        <v>289</v>
      </c>
      <c r="N405">
        <f t="shared" si="66"/>
        <v>786</v>
      </c>
      <c r="O405">
        <f t="shared" si="66"/>
        <v>74</v>
      </c>
      <c r="P405">
        <f>SUM(P402:P404)</f>
        <v>3992000</v>
      </c>
      <c r="Q405">
        <f t="shared" ref="Q405:R405" si="67">SUM(Q402:Q404)</f>
        <v>3090000</v>
      </c>
      <c r="R405">
        <f t="shared" si="67"/>
        <v>902000</v>
      </c>
      <c r="S405" s="154">
        <f>SUM(S402:S404)/3</f>
        <v>158333.33333333334</v>
      </c>
      <c r="T405" s="153">
        <f>0.1905*SUM(Q405,R405,R405)*10</f>
        <v>9323070</v>
      </c>
      <c r="U405" s="153">
        <f>SUM(T405*140/120,-C170*1000)</f>
        <v>-40632085</v>
      </c>
      <c r="V405" s="153">
        <f>IF(U405&gt;0,U405,0)</f>
        <v>0</v>
      </c>
      <c r="X405" s="153" t="s">
        <v>751</v>
      </c>
      <c r="Y405">
        <f>SUM(Y402:Y404)</f>
        <v>5224</v>
      </c>
      <c r="Z405">
        <f t="shared" ref="Z405:AB405" si="68">SUM(Z402:Z404)</f>
        <v>3702</v>
      </c>
      <c r="AA405">
        <f t="shared" si="68"/>
        <v>3062336210.3752761</v>
      </c>
      <c r="AB405">
        <f t="shared" si="68"/>
        <v>852458936.48175025</v>
      </c>
      <c r="AC405" s="153">
        <f>SUM(0.001952*AA405,2*0.001952*AB405)*140/120</f>
        <v>10856626.632456841</v>
      </c>
      <c r="AD405" s="153">
        <f>SUM(AC405,-Y405*1000,-Z405*1000)</f>
        <v>1930626.6324568409</v>
      </c>
      <c r="AE405" s="153">
        <f>IF(AD405&gt;0,AD405,0)</f>
        <v>1930626.6324568409</v>
      </c>
    </row>
    <row r="406" spans="1:31" x14ac:dyDescent="0.25">
      <c r="A406" s="222"/>
      <c r="B406" s="222"/>
      <c r="C406" s="222"/>
      <c r="D406" s="222"/>
      <c r="E406" s="222"/>
      <c r="O406" s="153"/>
      <c r="P406"/>
      <c r="S406" s="154"/>
      <c r="T406"/>
    </row>
    <row r="407" spans="1:31" x14ac:dyDescent="0.25">
      <c r="A407" s="222"/>
      <c r="B407" t="s">
        <v>238</v>
      </c>
      <c r="C407">
        <v>2130</v>
      </c>
      <c r="D407">
        <v>1162</v>
      </c>
      <c r="E407">
        <v>968</v>
      </c>
      <c r="F407">
        <v>0</v>
      </c>
      <c r="G407">
        <v>1247</v>
      </c>
      <c r="H407">
        <v>0</v>
      </c>
      <c r="I407">
        <v>0</v>
      </c>
      <c r="J407">
        <v>2020</v>
      </c>
      <c r="K407">
        <v>0</v>
      </c>
      <c r="L407">
        <v>219</v>
      </c>
      <c r="M407">
        <v>120</v>
      </c>
      <c r="N407">
        <v>345</v>
      </c>
      <c r="O407">
        <v>14</v>
      </c>
      <c r="P407">
        <v>1521000</v>
      </c>
      <c r="Q407">
        <v>1197000</v>
      </c>
      <c r="R407">
        <v>324000</v>
      </c>
      <c r="S407">
        <v>261000</v>
      </c>
      <c r="T407" s="153">
        <f>0.1905*SUM(Q407,R407,R407)*10</f>
        <v>3514725</v>
      </c>
      <c r="U407" s="153">
        <f>SUM(T407*140/120,-C218*1000)</f>
        <v>-8418487.5</v>
      </c>
      <c r="V407" s="153">
        <f>IF(U407&gt;0,U407,0)</f>
        <v>0</v>
      </c>
      <c r="X407" t="s">
        <v>238</v>
      </c>
      <c r="Y407">
        <v>1162</v>
      </c>
      <c r="Z407">
        <v>968</v>
      </c>
      <c r="AA407">
        <v>1232237539.7667022</v>
      </c>
      <c r="AB407">
        <v>241396508.72817951</v>
      </c>
      <c r="AC407" s="153">
        <f>SUM(0.001952*AA407,2*0.001952*AB407)*140/120</f>
        <v>3905696.2556493185</v>
      </c>
      <c r="AD407" s="153">
        <f>SUM(AC407,-Y407*1000,-Z407*1000)</f>
        <v>1775696.2556493185</v>
      </c>
      <c r="AE407" s="153">
        <f>IF(AD407&gt;0,AD407,0)</f>
        <v>1775696.2556493185</v>
      </c>
    </row>
    <row r="408" spans="1:31" x14ac:dyDescent="0.25">
      <c r="A408" s="222"/>
      <c r="B408" t="s">
        <v>227</v>
      </c>
      <c r="C408">
        <v>7547</v>
      </c>
      <c r="D408">
        <v>4204</v>
      </c>
      <c r="E408">
        <v>3343</v>
      </c>
      <c r="F408">
        <v>346</v>
      </c>
      <c r="G408">
        <v>3067</v>
      </c>
      <c r="H408">
        <v>102</v>
      </c>
      <c r="I408">
        <v>194</v>
      </c>
      <c r="J408">
        <v>3618</v>
      </c>
      <c r="K408">
        <v>0</v>
      </c>
      <c r="L408">
        <v>501</v>
      </c>
      <c r="M408">
        <v>522</v>
      </c>
      <c r="N408">
        <v>702</v>
      </c>
      <c r="O408">
        <v>102</v>
      </c>
      <c r="P408">
        <v>3543000</v>
      </c>
      <c r="Q408">
        <v>2870000</v>
      </c>
      <c r="R408">
        <v>673000</v>
      </c>
      <c r="S408">
        <v>276000</v>
      </c>
      <c r="T408" s="153">
        <f>0.1905*SUM(Q408,R408,R408)*10</f>
        <v>8031480</v>
      </c>
      <c r="U408" s="153">
        <f>SUM(T408*140/120,-C108*1000)</f>
        <v>4597060</v>
      </c>
      <c r="V408" s="153">
        <f>IF(U408&gt;0,U408,0)</f>
        <v>4597060</v>
      </c>
      <c r="X408" t="s">
        <v>227</v>
      </c>
      <c r="Y408">
        <v>4204</v>
      </c>
      <c r="Z408">
        <v>3343</v>
      </c>
      <c r="AA408">
        <v>2879452054.7945209</v>
      </c>
      <c r="AB408">
        <v>585566649.15046418</v>
      </c>
      <c r="AC408" s="153">
        <f>SUM(0.001952*AA408,2*0.001952*AB408)*140/120</f>
        <v>9224533.044116037</v>
      </c>
      <c r="AD408" s="153">
        <f>SUM(AC408,-Y408*1000,-Z408*1000)</f>
        <v>1677533.044116037</v>
      </c>
      <c r="AE408" s="153">
        <f>IF(AD408&gt;0,AD408,0)</f>
        <v>1677533.044116037</v>
      </c>
    </row>
    <row r="409" spans="1:31" x14ac:dyDescent="0.25">
      <c r="A409" s="222"/>
      <c r="B409" t="s">
        <v>232</v>
      </c>
      <c r="C409">
        <v>2120</v>
      </c>
      <c r="D409">
        <v>1371</v>
      </c>
      <c r="E409">
        <v>749</v>
      </c>
      <c r="F409">
        <v>0</v>
      </c>
      <c r="G409">
        <v>245</v>
      </c>
      <c r="H409">
        <v>50</v>
      </c>
      <c r="I409">
        <v>0</v>
      </c>
      <c r="J409">
        <v>1443</v>
      </c>
      <c r="K409">
        <v>0</v>
      </c>
      <c r="L409">
        <v>180</v>
      </c>
      <c r="M409">
        <v>150</v>
      </c>
      <c r="N409">
        <v>254</v>
      </c>
      <c r="O409">
        <v>17</v>
      </c>
      <c r="P409">
        <v>1358000</v>
      </c>
      <c r="Q409">
        <v>1133000</v>
      </c>
      <c r="R409">
        <v>225000</v>
      </c>
      <c r="S409">
        <v>252000</v>
      </c>
      <c r="T409" s="153">
        <f>0.1905*SUM(Q409,R409,R409)*10</f>
        <v>3015615</v>
      </c>
      <c r="U409" s="153">
        <f>SUM(T409*140/120,-C189*1000)</f>
        <v>-14706782.5</v>
      </c>
      <c r="V409" s="153">
        <f>IF(U409&gt;0,U409,0)</f>
        <v>0</v>
      </c>
      <c r="X409" t="s">
        <v>232</v>
      </c>
      <c r="Y409">
        <v>1371</v>
      </c>
      <c r="Z409">
        <v>749</v>
      </c>
      <c r="AA409">
        <v>1114634146.3414633</v>
      </c>
      <c r="AB409">
        <v>214000000.00000003</v>
      </c>
      <c r="AC409" s="153">
        <f>SUM(0.001952*AA409,2*0.001952*AB409)*140/120</f>
        <v>3513092.162601626</v>
      </c>
      <c r="AD409" s="153">
        <f>SUM(AC409,-Y409*1000,-Z409*1000)</f>
        <v>1393092.162601626</v>
      </c>
      <c r="AE409" s="153">
        <f>IF(AD409&gt;0,AD409,0)</f>
        <v>1393092.162601626</v>
      </c>
    </row>
    <row r="410" spans="1:31" x14ac:dyDescent="0.25">
      <c r="A410" s="222"/>
      <c r="B410" s="153" t="s">
        <v>754</v>
      </c>
      <c r="C410">
        <f>SUM(C407:C409)</f>
        <v>11797</v>
      </c>
      <c r="D410">
        <f t="shared" ref="D410:O410" si="69">SUM(D407:D409)</f>
        <v>6737</v>
      </c>
      <c r="E410">
        <f t="shared" si="69"/>
        <v>5060</v>
      </c>
      <c r="F410">
        <f t="shared" si="69"/>
        <v>346</v>
      </c>
      <c r="G410">
        <f t="shared" si="69"/>
        <v>4559</v>
      </c>
      <c r="H410">
        <f t="shared" si="69"/>
        <v>152</v>
      </c>
      <c r="I410">
        <f t="shared" si="69"/>
        <v>194</v>
      </c>
      <c r="J410">
        <f t="shared" si="69"/>
        <v>7081</v>
      </c>
      <c r="K410">
        <f t="shared" si="69"/>
        <v>0</v>
      </c>
      <c r="L410">
        <f t="shared" si="69"/>
        <v>900</v>
      </c>
      <c r="M410">
        <f t="shared" si="69"/>
        <v>792</v>
      </c>
      <c r="N410">
        <f t="shared" si="69"/>
        <v>1301</v>
      </c>
      <c r="O410">
        <f t="shared" si="69"/>
        <v>133</v>
      </c>
      <c r="P410">
        <f>SUM(P407:P409)</f>
        <v>6422000</v>
      </c>
      <c r="Q410">
        <f t="shared" ref="Q410:R410" si="70">SUM(Q407:Q409)</f>
        <v>5200000</v>
      </c>
      <c r="R410">
        <f t="shared" si="70"/>
        <v>1222000</v>
      </c>
      <c r="S410" s="154">
        <f>SUM(S407:S409)/3</f>
        <v>263000</v>
      </c>
      <c r="T410" s="153">
        <f>0.1905*SUM(Q410,R410,R410)*10</f>
        <v>14561820</v>
      </c>
      <c r="U410" s="153">
        <f>SUM(T410*140/120,-C190*1000)</f>
        <v>9037790</v>
      </c>
      <c r="V410" s="153">
        <f>IF(U410&gt;0,U410,0)</f>
        <v>9037790</v>
      </c>
      <c r="X410" s="153" t="s">
        <v>754</v>
      </c>
      <c r="Y410">
        <f>SUM(Y407:Y409)</f>
        <v>6737</v>
      </c>
      <c r="Z410">
        <f t="shared" ref="Z410:AB410" si="71">SUM(Z407:Z409)</f>
        <v>5060</v>
      </c>
      <c r="AA410">
        <f t="shared" si="71"/>
        <v>5226323740.9026861</v>
      </c>
      <c r="AB410">
        <f t="shared" si="71"/>
        <v>1040963157.8786438</v>
      </c>
      <c r="AC410" s="153">
        <f>SUM(0.001952*AA410,2*0.001952*AB410)*140/120</f>
        <v>16643321.46236698</v>
      </c>
      <c r="AD410" s="153">
        <f>SUM(AC410,-Y410*1000,-Z410*1000)</f>
        <v>4846321.4623669796</v>
      </c>
      <c r="AE410" s="153">
        <f>IF(AD410&gt;0,AD410,0)</f>
        <v>4846321.4623669796</v>
      </c>
    </row>
    <row r="411" spans="1:31" x14ac:dyDescent="0.25">
      <c r="O411" s="153"/>
      <c r="P411"/>
      <c r="S411" s="154"/>
      <c r="T411"/>
    </row>
    <row r="412" spans="1:31" x14ac:dyDescent="0.25">
      <c r="B412" t="s">
        <v>343</v>
      </c>
      <c r="C412">
        <v>2736</v>
      </c>
      <c r="D412">
        <v>1873</v>
      </c>
      <c r="E412">
        <v>863</v>
      </c>
      <c r="F412">
        <v>0</v>
      </c>
      <c r="G412">
        <v>7</v>
      </c>
      <c r="H412">
        <v>0</v>
      </c>
      <c r="I412">
        <v>70</v>
      </c>
      <c r="J412">
        <v>1205</v>
      </c>
      <c r="K412">
        <v>1297</v>
      </c>
      <c r="L412">
        <v>262</v>
      </c>
      <c r="M412">
        <v>164</v>
      </c>
      <c r="N412">
        <v>759</v>
      </c>
      <c r="O412">
        <v>3</v>
      </c>
      <c r="P412">
        <v>3294000</v>
      </c>
      <c r="Q412">
        <v>2746000</v>
      </c>
      <c r="R412">
        <v>548000</v>
      </c>
      <c r="S412">
        <v>249000</v>
      </c>
      <c r="T412" s="153">
        <f>0.1905*SUM(Q412,R412,R412)*10</f>
        <v>7319010</v>
      </c>
      <c r="U412" s="153">
        <f>SUM(T412*140/120,-C212*1000)</f>
        <v>-1613155</v>
      </c>
      <c r="V412" s="153">
        <f>IF(U412&gt;0,U412,0)</f>
        <v>0</v>
      </c>
      <c r="X412" t="s">
        <v>343</v>
      </c>
      <c r="Y412">
        <v>1853</v>
      </c>
      <c r="Z412">
        <v>991</v>
      </c>
      <c r="AA412">
        <v>1655942806.0768545</v>
      </c>
      <c r="AB412">
        <v>320504527.81371284</v>
      </c>
      <c r="AC412" s="153">
        <f>SUM(0.001952*AA412,2*0.001952*AB412)*140/120</f>
        <v>5230925.0397212123</v>
      </c>
      <c r="AD412" s="153">
        <f>SUM(AC412,-Y412*1000,-Z412*1000)</f>
        <v>2386925.0397212123</v>
      </c>
      <c r="AE412" s="153">
        <f>IF(AD412&gt;0,AD412,0)</f>
        <v>2386925.0397212123</v>
      </c>
    </row>
    <row r="413" spans="1:31" x14ac:dyDescent="0.25">
      <c r="A413" s="222"/>
      <c r="B413" t="s">
        <v>363</v>
      </c>
      <c r="C413">
        <v>4898</v>
      </c>
      <c r="D413">
        <v>3011</v>
      </c>
      <c r="E413">
        <v>1887</v>
      </c>
      <c r="F413">
        <v>0</v>
      </c>
      <c r="G413">
        <v>1818</v>
      </c>
      <c r="H413">
        <v>58</v>
      </c>
      <c r="I413">
        <v>127</v>
      </c>
      <c r="J413">
        <v>3929</v>
      </c>
      <c r="K413">
        <v>1953</v>
      </c>
      <c r="L413">
        <v>496</v>
      </c>
      <c r="M413">
        <v>722</v>
      </c>
      <c r="N413">
        <v>893</v>
      </c>
      <c r="O413">
        <v>181</v>
      </c>
      <c r="P413">
        <v>1970000</v>
      </c>
      <c r="Q413">
        <v>1648000</v>
      </c>
      <c r="R413">
        <v>322000</v>
      </c>
      <c r="S413">
        <v>286000</v>
      </c>
      <c r="T413" s="153">
        <f>0.1905*SUM(Q413,R413,R413)*10</f>
        <v>4366260</v>
      </c>
      <c r="U413" s="153">
        <f>SUM(T413*140/120,-C112*1000)</f>
        <v>2475970</v>
      </c>
      <c r="V413" s="153">
        <f>IF(U413&gt;0,U413,0)</f>
        <v>2475970</v>
      </c>
      <c r="X413" t="s">
        <v>363</v>
      </c>
      <c r="Y413">
        <v>3023</v>
      </c>
      <c r="Z413">
        <v>2074</v>
      </c>
      <c r="AA413">
        <v>2745685740.2361488</v>
      </c>
      <c r="AB413">
        <v>550278588.48500931</v>
      </c>
      <c r="AC413" s="153">
        <f>SUM(0.001952*AA413,2*0.001952*AB413)*140/120</f>
        <v>8759177.2034508456</v>
      </c>
      <c r="AD413" s="153">
        <f>SUM(AC413,-Y413*1000,-Z413*1000)</f>
        <v>3662177.2034508456</v>
      </c>
      <c r="AE413" s="153">
        <f>IF(AD413&gt;0,AD413,0)</f>
        <v>3662177.2034508456</v>
      </c>
    </row>
    <row r="414" spans="1:31" x14ac:dyDescent="0.25">
      <c r="B414" s="153" t="s">
        <v>750</v>
      </c>
      <c r="C414">
        <f>SUM(C412:C413)</f>
        <v>7634</v>
      </c>
      <c r="D414">
        <f t="shared" ref="D414:O414" si="72">SUM(D412:D413)</f>
        <v>4884</v>
      </c>
      <c r="E414">
        <f t="shared" si="72"/>
        <v>2750</v>
      </c>
      <c r="F414">
        <f t="shared" si="72"/>
        <v>0</v>
      </c>
      <c r="G414">
        <f t="shared" si="72"/>
        <v>1825</v>
      </c>
      <c r="H414">
        <f t="shared" si="72"/>
        <v>58</v>
      </c>
      <c r="I414">
        <f t="shared" si="72"/>
        <v>197</v>
      </c>
      <c r="J414">
        <f t="shared" si="72"/>
        <v>5134</v>
      </c>
      <c r="K414">
        <f t="shared" si="72"/>
        <v>3250</v>
      </c>
      <c r="L414">
        <f t="shared" si="72"/>
        <v>758</v>
      </c>
      <c r="M414">
        <f t="shared" si="72"/>
        <v>886</v>
      </c>
      <c r="N414">
        <f t="shared" si="72"/>
        <v>1652</v>
      </c>
      <c r="O414">
        <f t="shared" si="72"/>
        <v>184</v>
      </c>
      <c r="P414">
        <f>SUM(P412:P413)</f>
        <v>5264000</v>
      </c>
      <c r="Q414">
        <f t="shared" ref="Q414:R414" si="73">SUM(Q412:Q413)</f>
        <v>4394000</v>
      </c>
      <c r="R414">
        <f t="shared" si="73"/>
        <v>870000</v>
      </c>
      <c r="S414">
        <f>SUM(S412:S413)/2</f>
        <v>267500</v>
      </c>
      <c r="T414" s="153">
        <f>0.1905*SUM(Q414,R414,R414)*10</f>
        <v>11685270</v>
      </c>
      <c r="U414" s="153">
        <f>SUM(T414*140/120,-C113*1000)</f>
        <v>-58912185</v>
      </c>
      <c r="V414" s="153">
        <f>IF(U414&gt;0,U414,0)</f>
        <v>0</v>
      </c>
      <c r="X414" s="153" t="s">
        <v>750</v>
      </c>
      <c r="Y414">
        <f>SUM(Y412:Y413)</f>
        <v>4876</v>
      </c>
      <c r="Z414">
        <f t="shared" ref="Z414:AB414" si="74">SUM(Z412:Z413)</f>
        <v>3065</v>
      </c>
      <c r="AA414">
        <f t="shared" si="74"/>
        <v>4401628546.3130035</v>
      </c>
      <c r="AB414">
        <f t="shared" si="74"/>
        <v>870783116.29872215</v>
      </c>
      <c r="AC414" s="153">
        <f>SUM(0.001952*AA414,2*0.001952*AB414)*140/120</f>
        <v>13990102.243172059</v>
      </c>
      <c r="AD414" s="153">
        <f>SUM(AC414,-Y414*1000,-Z414*1000)</f>
        <v>6049102.2431720588</v>
      </c>
      <c r="AE414" s="153">
        <f>IF(AD414&gt;0,AD414,0)</f>
        <v>6049102.2431720588</v>
      </c>
    </row>
    <row r="415" spans="1:31" x14ac:dyDescent="0.25">
      <c r="O415" s="153"/>
      <c r="P415"/>
      <c r="S415" s="154"/>
      <c r="T415"/>
    </row>
    <row r="416" spans="1:31" x14ac:dyDescent="0.25">
      <c r="B416" t="s">
        <v>149</v>
      </c>
      <c r="C416">
        <v>1901</v>
      </c>
      <c r="D416">
        <v>1241</v>
      </c>
      <c r="E416">
        <v>660</v>
      </c>
      <c r="F416">
        <v>0</v>
      </c>
      <c r="G416">
        <v>0</v>
      </c>
      <c r="H416">
        <v>0</v>
      </c>
      <c r="I416">
        <v>0</v>
      </c>
      <c r="J416">
        <v>1250</v>
      </c>
      <c r="K416">
        <v>1288</v>
      </c>
      <c r="L416">
        <v>205</v>
      </c>
      <c r="M416">
        <v>100</v>
      </c>
      <c r="N416">
        <v>170</v>
      </c>
      <c r="O416">
        <v>3</v>
      </c>
      <c r="P416">
        <v>1117000</v>
      </c>
      <c r="Q416">
        <v>949000</v>
      </c>
      <c r="R416">
        <v>168000</v>
      </c>
      <c r="S416">
        <v>200000</v>
      </c>
      <c r="T416" s="153">
        <f>0.1905*SUM(Q416,R416,R416)*10</f>
        <v>2447925</v>
      </c>
      <c r="U416" s="153">
        <f>SUM(T416*140/120,-C122*1000)</f>
        <v>-548087.5</v>
      </c>
      <c r="V416" s="153">
        <f>IF(U416&gt;0,U416,0)</f>
        <v>0</v>
      </c>
      <c r="X416" t="s">
        <v>149</v>
      </c>
      <c r="Y416">
        <v>1232</v>
      </c>
      <c r="Z416">
        <v>721</v>
      </c>
      <c r="AA416">
        <v>944785276.07361972</v>
      </c>
      <c r="AB416">
        <v>168457943.9252336</v>
      </c>
      <c r="AC416" s="153">
        <f>SUM(0.001952*AA416,2*0.001952*AB416)*140/120</f>
        <v>2918860.7839764538</v>
      </c>
      <c r="AD416" s="153">
        <f>SUM(AC416,-Y416*1000,-Z416*1000)</f>
        <v>965860.78397645382</v>
      </c>
      <c r="AE416" s="153">
        <f>IF(AD416&gt;0,AD416,0)</f>
        <v>965860.78397645382</v>
      </c>
    </row>
    <row r="417" spans="2:31" x14ac:dyDescent="0.25">
      <c r="B417" t="s">
        <v>152</v>
      </c>
      <c r="C417">
        <v>3798</v>
      </c>
      <c r="D417">
        <v>2685</v>
      </c>
      <c r="E417">
        <v>1113</v>
      </c>
      <c r="F417">
        <v>0</v>
      </c>
      <c r="G417">
        <v>0</v>
      </c>
      <c r="H417">
        <v>0</v>
      </c>
      <c r="I417">
        <v>5</v>
      </c>
      <c r="J417">
        <v>2090</v>
      </c>
      <c r="K417">
        <v>2135</v>
      </c>
      <c r="L417">
        <v>310</v>
      </c>
      <c r="M417">
        <v>183</v>
      </c>
      <c r="N417">
        <v>526</v>
      </c>
      <c r="O417">
        <v>75</v>
      </c>
      <c r="P417">
        <v>1987000</v>
      </c>
      <c r="Q417">
        <v>1652000</v>
      </c>
      <c r="R417">
        <v>335000</v>
      </c>
      <c r="S417">
        <v>195000</v>
      </c>
      <c r="T417" s="153">
        <f>0.1905*SUM(Q417,R417,R417)*10</f>
        <v>4423410</v>
      </c>
      <c r="U417" s="153">
        <f>SUM(T417*140/120,-C180*1000)</f>
        <v>2481645</v>
      </c>
      <c r="V417" s="153">
        <f>IF(U417&gt;0,U417,0)</f>
        <v>2481645</v>
      </c>
      <c r="X417" t="s">
        <v>152</v>
      </c>
      <c r="Y417">
        <v>2741</v>
      </c>
      <c r="Z417">
        <v>1349</v>
      </c>
      <c r="AA417">
        <v>1645258103.2412965</v>
      </c>
      <c r="AB417">
        <v>331531088.71958715</v>
      </c>
      <c r="AC417" s="153">
        <f>SUM(0.001952*AA417,2*0.001952*AB417)*140/120</f>
        <v>5256814.7192029916</v>
      </c>
      <c r="AD417" s="153">
        <f>SUM(AC417,-Y417*1000,-Z417*1000)</f>
        <v>1166814.7192029916</v>
      </c>
      <c r="AE417" s="153">
        <f>IF(AD417&gt;0,AD417,0)</f>
        <v>1166814.7192029916</v>
      </c>
    </row>
    <row r="418" spans="2:31" x14ac:dyDescent="0.25">
      <c r="B418" t="s">
        <v>154</v>
      </c>
      <c r="C418">
        <v>1710</v>
      </c>
      <c r="D418">
        <v>1107</v>
      </c>
      <c r="E418">
        <v>603</v>
      </c>
      <c r="F418">
        <v>0</v>
      </c>
      <c r="G418">
        <v>0</v>
      </c>
      <c r="H418">
        <v>0</v>
      </c>
      <c r="I418">
        <v>0</v>
      </c>
      <c r="J418">
        <v>1129</v>
      </c>
      <c r="K418">
        <v>1163</v>
      </c>
      <c r="L418">
        <v>144</v>
      </c>
      <c r="M418">
        <v>78</v>
      </c>
      <c r="N418">
        <v>200</v>
      </c>
      <c r="O418">
        <v>0</v>
      </c>
      <c r="P418">
        <v>1089000</v>
      </c>
      <c r="Q418">
        <v>923000</v>
      </c>
      <c r="R418">
        <v>166000</v>
      </c>
      <c r="S418">
        <v>221000</v>
      </c>
      <c r="T418" s="153">
        <f>0.1905*SUM(Q418,R418,R418)*10</f>
        <v>2390775</v>
      </c>
      <c r="U418" s="153">
        <f>SUM(T418*140/120,-C201*1000)</f>
        <v>-2073762.5</v>
      </c>
      <c r="V418" s="153">
        <f>IF(U418&gt;0,U418,0)</f>
        <v>0</v>
      </c>
      <c r="X418" t="s">
        <v>154</v>
      </c>
      <c r="Y418">
        <v>1115</v>
      </c>
      <c r="Z418">
        <v>682</v>
      </c>
      <c r="AA418">
        <v>916940789.47368419</v>
      </c>
      <c r="AB418">
        <v>163942307.69230771</v>
      </c>
      <c r="AC418" s="153">
        <f>SUM(0.001952*AA418,2*0.001952*AB418)*140/120</f>
        <v>2834882.3886639681</v>
      </c>
      <c r="AD418" s="153">
        <f>SUM(AC418,-Y418*1000,-Z418*1000)</f>
        <v>1037882.3886639681</v>
      </c>
      <c r="AE418" s="153">
        <f>IF(AD418&gt;0,AD418,0)</f>
        <v>1037882.3886639681</v>
      </c>
    </row>
    <row r="419" spans="2:31" x14ac:dyDescent="0.25">
      <c r="B419" t="s">
        <v>164</v>
      </c>
      <c r="C419">
        <v>4810</v>
      </c>
      <c r="D419">
        <v>2392</v>
      </c>
      <c r="E419">
        <v>2418</v>
      </c>
      <c r="F419">
        <v>4</v>
      </c>
      <c r="G419">
        <v>0</v>
      </c>
      <c r="H419">
        <v>0</v>
      </c>
      <c r="I419">
        <v>27</v>
      </c>
      <c r="J419">
        <v>1330</v>
      </c>
      <c r="K419">
        <v>1726</v>
      </c>
      <c r="L419">
        <v>300</v>
      </c>
      <c r="M419">
        <v>171</v>
      </c>
      <c r="N419">
        <v>532</v>
      </c>
      <c r="O419">
        <v>13</v>
      </c>
      <c r="P419">
        <v>2034000</v>
      </c>
      <c r="Q419">
        <v>1489000</v>
      </c>
      <c r="R419">
        <v>545000</v>
      </c>
      <c r="S419">
        <v>195000</v>
      </c>
      <c r="T419" s="153">
        <f>0.1905*SUM(Q419,R419,R419)*10</f>
        <v>4912995</v>
      </c>
      <c r="U419" s="153">
        <f>SUM(T419*140/120,-C375*1000)</f>
        <v>-13243172.5</v>
      </c>
      <c r="V419" s="153">
        <f>IF(U419&gt;0,U419,0)</f>
        <v>0</v>
      </c>
      <c r="X419" t="s">
        <v>164</v>
      </c>
      <c r="Y419">
        <v>2395</v>
      </c>
      <c r="Z419">
        <v>2482</v>
      </c>
      <c r="AA419">
        <v>1482054455.4455445</v>
      </c>
      <c r="AB419">
        <v>546214788.73239434</v>
      </c>
      <c r="AC419" s="153">
        <f>SUM(0.001952*AA419,2*0.001952*AB419)*140/120</f>
        <v>5862958.3042811323</v>
      </c>
      <c r="AD419" s="153">
        <f>SUM(AC419,-Y419*1000,-Z419*1000)</f>
        <v>985958.3042811323</v>
      </c>
      <c r="AE419" s="153">
        <f>IF(AD419&gt;0,AD419,0)</f>
        <v>985958.3042811323</v>
      </c>
    </row>
    <row r="420" spans="2:31" x14ac:dyDescent="0.25">
      <c r="B420" s="153" t="s">
        <v>755</v>
      </c>
      <c r="C420">
        <f>SUM(C416:C419)</f>
        <v>12219</v>
      </c>
      <c r="D420">
        <f t="shared" ref="D420:O420" si="75">SUM(D416:D419)</f>
        <v>7425</v>
      </c>
      <c r="E420">
        <f t="shared" si="75"/>
        <v>4794</v>
      </c>
      <c r="F420">
        <f t="shared" si="75"/>
        <v>4</v>
      </c>
      <c r="G420">
        <f t="shared" si="75"/>
        <v>0</v>
      </c>
      <c r="H420">
        <f t="shared" si="75"/>
        <v>0</v>
      </c>
      <c r="I420">
        <f t="shared" si="75"/>
        <v>32</v>
      </c>
      <c r="J420">
        <f t="shared" si="75"/>
        <v>5799</v>
      </c>
      <c r="K420">
        <f t="shared" si="75"/>
        <v>6312</v>
      </c>
      <c r="L420">
        <f t="shared" si="75"/>
        <v>959</v>
      </c>
      <c r="M420">
        <f t="shared" si="75"/>
        <v>532</v>
      </c>
      <c r="N420">
        <f t="shared" si="75"/>
        <v>1428</v>
      </c>
      <c r="O420">
        <f t="shared" si="75"/>
        <v>91</v>
      </c>
      <c r="P420">
        <f>SUM(P416:P419)</f>
        <v>6227000</v>
      </c>
      <c r="Q420">
        <f t="shared" ref="Q420:R420" si="76">SUM(Q416:Q419)</f>
        <v>5013000</v>
      </c>
      <c r="R420">
        <f t="shared" si="76"/>
        <v>1214000</v>
      </c>
      <c r="S420">
        <f>SUM(S416:S419)/4</f>
        <v>202750</v>
      </c>
      <c r="T420" s="153">
        <f>0.1905*SUM(Q420,R420,R420)*10</f>
        <v>14175105</v>
      </c>
      <c r="U420" s="153">
        <f>SUM(T420*140/120,-C376*1000)</f>
        <v>16537622.5</v>
      </c>
      <c r="V420" s="153">
        <f>IF(U420&gt;0,U420,0)</f>
        <v>16537622.5</v>
      </c>
      <c r="X420" s="153" t="s">
        <v>755</v>
      </c>
      <c r="Y420">
        <f>SUM(Y416:Y419)</f>
        <v>7483</v>
      </c>
      <c r="Z420">
        <f t="shared" ref="Z420:AB420" si="77">SUM(Z416:Z419)</f>
        <v>5234</v>
      </c>
      <c r="AA420">
        <f t="shared" si="77"/>
        <v>4989038624.2341452</v>
      </c>
      <c r="AB420">
        <f t="shared" si="77"/>
        <v>1210146129.0695229</v>
      </c>
      <c r="AC420" s="153">
        <f>SUM(0.001952*AA420,2*0.001952*AB420)*140/120</f>
        <v>16873516.196124546</v>
      </c>
      <c r="AD420" s="153">
        <f>SUM(AC420,-Y420*1000,-Z420*1000)</f>
        <v>4156516.1961245462</v>
      </c>
      <c r="AE420" s="153">
        <f>IF(AD420&gt;0,AD420,0)</f>
        <v>4156516.1961245462</v>
      </c>
    </row>
    <row r="426" spans="2:31" x14ac:dyDescent="0.25">
      <c r="B426"/>
      <c r="C426"/>
      <c r="D426"/>
      <c r="E426"/>
      <c r="F426"/>
      <c r="G426"/>
      <c r="H426"/>
      <c r="I426"/>
      <c r="J426"/>
      <c r="K426"/>
      <c r="L426"/>
      <c r="M426"/>
      <c r="N426"/>
      <c r="O426"/>
    </row>
  </sheetData>
  <sheetProtection algorithmName="SHA-512" hashValue="MPydAkckYQ2a64yP8OCeLb6aDYfOTg+k2sv79IJkYeR/ReaPB9sQgjgTwT2D5SZv8wFbQ+9XXBdy7oUZt4/NQA==" saltValue="avO7onslBxyCU1gVa18lTA==" spinCount="100000" sheet="1" objects="1" scenarios="1" selectLockedCells="1" selectUnlockedCells="1"/>
  <sortState ref="B2:O356">
    <sortCondition ref="B2:B356"/>
  </sortState>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5"/>
  <sheetViews>
    <sheetView showGridLines="0" zoomScaleNormal="100" workbookViewId="0">
      <selection activeCell="B14" sqref="B14"/>
    </sheetView>
  </sheetViews>
  <sheetFormatPr defaultColWidth="9.109375" defaultRowHeight="13.2" x14ac:dyDescent="0.25"/>
  <cols>
    <col min="1" max="1" width="53.6640625" style="14" bestFit="1" customWidth="1"/>
    <col min="2" max="2" width="21" style="14" customWidth="1"/>
    <col min="3" max="3" width="18.5546875" style="14" customWidth="1"/>
    <col min="4" max="4" width="9.109375" style="14"/>
    <col min="5" max="5" width="50.44140625" style="14" bestFit="1" customWidth="1"/>
    <col min="6" max="6" width="19" style="14" customWidth="1"/>
    <col min="7" max="7" width="20.5546875" style="14" customWidth="1"/>
    <col min="8" max="16384" width="9.109375" style="14"/>
  </cols>
  <sheetData>
    <row r="1" spans="1:7" x14ac:dyDescent="0.25">
      <c r="A1" s="45" t="s">
        <v>102</v>
      </c>
      <c r="B1" s="59">
        <f>Macrogegevens!C1</f>
        <v>2019</v>
      </c>
      <c r="C1" s="59"/>
      <c r="D1" s="59"/>
    </row>
    <row r="2" spans="1:7" x14ac:dyDescent="0.25">
      <c r="A2" s="45" t="s">
        <v>547</v>
      </c>
      <c r="B2" s="61" t="str">
        <f>Macrogegevens!C2</f>
        <v>Amstelveen</v>
      </c>
      <c r="C2" s="60"/>
      <c r="D2" s="60"/>
    </row>
    <row r="3" spans="1:7" x14ac:dyDescent="0.25">
      <c r="A3" s="45"/>
      <c r="B3" s="67" t="s">
        <v>116</v>
      </c>
      <c r="C3" s="63" t="s">
        <v>116</v>
      </c>
      <c r="D3" s="62"/>
      <c r="F3" s="67" t="s">
        <v>116</v>
      </c>
      <c r="G3" s="63" t="s">
        <v>116</v>
      </c>
    </row>
    <row r="4" spans="1:7" x14ac:dyDescent="0.25">
      <c r="A4" s="65" t="s">
        <v>110</v>
      </c>
      <c r="B4" s="68">
        <f>SUM(B1,-1)</f>
        <v>2018</v>
      </c>
      <c r="C4" s="64">
        <f>B1</f>
        <v>2019</v>
      </c>
      <c r="D4" s="58"/>
      <c r="E4" s="65" t="s">
        <v>111</v>
      </c>
      <c r="F4" s="68">
        <f>SUM(B1,-1)</f>
        <v>2018</v>
      </c>
      <c r="G4" s="64">
        <f>B1</f>
        <v>2019</v>
      </c>
    </row>
    <row r="5" spans="1:7" x14ac:dyDescent="0.25">
      <c r="A5" s="188" t="s">
        <v>621</v>
      </c>
      <c r="B5" s="69"/>
      <c r="C5" s="58"/>
      <c r="D5" s="58"/>
      <c r="E5" s="188" t="s">
        <v>624</v>
      </c>
      <c r="F5" s="70"/>
      <c r="G5" s="29"/>
    </row>
    <row r="6" spans="1:7" x14ac:dyDescent="0.25">
      <c r="A6" s="119" t="s">
        <v>620</v>
      </c>
      <c r="B6" s="159">
        <f>VLOOKUP(Macrogegevens!$C$2,'Balans &amp; kengetallen 2017'!$A$2:$W$357,2,0)*1000</f>
        <v>973000</v>
      </c>
      <c r="C6" s="320">
        <f>SUM(C9,-C8)</f>
        <v>214633686.48333332</v>
      </c>
      <c r="E6" s="119" t="s">
        <v>520</v>
      </c>
      <c r="F6" s="228">
        <f>SUM(F30,-F21,-F19,-F17,-F13,-F8)</f>
        <v>199563000</v>
      </c>
      <c r="G6" s="29">
        <f>SUM(G30,-G21,-G19,-G17,-G13,-G8)</f>
        <v>200015000.20499867</v>
      </c>
    </row>
    <row r="7" spans="1:7" x14ac:dyDescent="0.25">
      <c r="A7" s="119" t="s">
        <v>528</v>
      </c>
      <c r="B7" s="159">
        <f>VLOOKUP(Macrogegevens!$C$2,'Balans &amp; kengetallen 2017'!$A$2:$W$357,3,0)*1000</f>
        <v>199206000</v>
      </c>
      <c r="C7" s="320"/>
      <c r="F7" s="120"/>
      <c r="G7" s="121"/>
    </row>
    <row r="8" spans="1:7" x14ac:dyDescent="0.25">
      <c r="A8" s="119" t="s">
        <v>516</v>
      </c>
      <c r="B8" s="159"/>
      <c r="C8" s="162">
        <f>SUM($B$8,-'Investeringen &amp; financiering'!$D$6,-'Investeringen &amp; financiering'!$D$7)</f>
        <v>0</v>
      </c>
      <c r="E8" s="119" t="s">
        <v>517</v>
      </c>
      <c r="F8" s="159">
        <f>VLOOKUP(Macrogegevens!$C$2,'Balans &amp; kengetallen 2017'!$A$2:$W$357,16,0)*1000</f>
        <v>23908000</v>
      </c>
      <c r="G8" s="162">
        <f>SUM(F8,G37)</f>
        <v>23908000</v>
      </c>
    </row>
    <row r="9" spans="1:7" x14ac:dyDescent="0.25">
      <c r="A9" s="45" t="s">
        <v>529</v>
      </c>
      <c r="B9" s="79">
        <f>SUM(B6,B7,B8)</f>
        <v>200179000</v>
      </c>
      <c r="C9" s="72">
        <f>SUM(B9,-'Investeringen &amp; financiering'!C6,-'Investeringen &amp; financiering'!C7,-'Investeringen &amp; financiering'!D6,-'Investeringen &amp; financiering'!D7,-C35,-C36,C39)</f>
        <v>214633686.48333332</v>
      </c>
      <c r="E9" s="45" t="s">
        <v>708</v>
      </c>
      <c r="F9" s="74">
        <f>SUM(F6,F8)</f>
        <v>223471000</v>
      </c>
      <c r="G9" s="72">
        <f>SUM(G6,G8)</f>
        <v>223923000.20499867</v>
      </c>
    </row>
    <row r="10" spans="1:7" x14ac:dyDescent="0.25">
      <c r="A10" s="45"/>
      <c r="B10" s="187"/>
      <c r="C10" s="72"/>
      <c r="F10" s="69"/>
    </row>
    <row r="11" spans="1:7" x14ac:dyDescent="0.25">
      <c r="A11" s="45" t="s">
        <v>105</v>
      </c>
      <c r="B11" s="237">
        <f>VLOOKUP(Macrogegevens!$C$2,'Balans &amp; kengetallen 2017'!$A$2:$W$357,4,0)*1000</f>
        <v>0</v>
      </c>
      <c r="C11" s="72">
        <f>SUM(B11,-'Investeringen &amp; financiering'!G6,-'Investeringen &amp; financiering'!G7,C40)</f>
        <v>0</v>
      </c>
      <c r="E11" s="119" t="s">
        <v>519</v>
      </c>
      <c r="F11" s="159">
        <f>VLOOKUP(Macrogegevens!$C$2,'Balans &amp; kengetallen 2017'!$A$2:$W$357,17,0)*1000</f>
        <v>77875000</v>
      </c>
      <c r="G11" s="72"/>
    </row>
    <row r="12" spans="1:7" x14ac:dyDescent="0.25">
      <c r="A12" s="119"/>
      <c r="B12" s="187"/>
      <c r="C12" s="162"/>
      <c r="E12" s="119" t="s">
        <v>518</v>
      </c>
      <c r="F12" s="159">
        <f>VLOOKUP(Macrogegevens!$C$2,'Balans &amp; kengetallen 2017'!$A$2:$W$357,18,0)*1000</f>
        <v>110000</v>
      </c>
      <c r="G12" s="72"/>
    </row>
    <row r="13" spans="1:7" x14ac:dyDescent="0.25">
      <c r="A13" s="119" t="s">
        <v>106</v>
      </c>
      <c r="B13" s="159">
        <f>VLOOKUP(Macrogegevens!$C$2,'Balans &amp; kengetallen 2017'!$A$2:$W$357,5,0)*1000</f>
        <v>7693000</v>
      </c>
      <c r="C13" s="162">
        <f>SUM(B13,-'Investeringen &amp; financiering'!C79,C41)</f>
        <v>7693000</v>
      </c>
      <c r="E13" s="45" t="s">
        <v>522</v>
      </c>
      <c r="F13" s="79">
        <f>SUM(F11,F12)</f>
        <v>77985000</v>
      </c>
      <c r="G13" s="72">
        <f>SUM(F13,Macrogegevens!S4,-Macrogegevens!S5,F21,-G21,F19,-G19,F17,-G17,-B28,C28,-B26,C26,-B24,C24,-B17,C17,-B15,C15)</f>
        <v>99564171.253397152</v>
      </c>
    </row>
    <row r="14" spans="1:7" x14ac:dyDescent="0.25">
      <c r="A14" s="119" t="s">
        <v>107</v>
      </c>
      <c r="B14" s="159">
        <f>VLOOKUP(Macrogegevens!$C$2,'Balans &amp; kengetallen 2017'!$A$2:$W$357,6,0)*1000</f>
        <v>14388000</v>
      </c>
      <c r="C14" s="162">
        <f>SUM(B14,-'Investeringen &amp; financiering'!D79,C42)</f>
        <v>14388000</v>
      </c>
      <c r="F14" s="69"/>
      <c r="G14" s="58"/>
    </row>
    <row r="15" spans="1:7" x14ac:dyDescent="0.25">
      <c r="A15" s="45" t="s">
        <v>108</v>
      </c>
      <c r="B15" s="79">
        <f>SUM($B$13,$B$14)</f>
        <v>22081000</v>
      </c>
      <c r="C15" s="72">
        <f>SUM(C13,C14)</f>
        <v>22081000</v>
      </c>
      <c r="F15" s="69"/>
      <c r="G15" s="58"/>
    </row>
    <row r="16" spans="1:7" x14ac:dyDescent="0.25">
      <c r="A16" s="45"/>
      <c r="B16" s="79"/>
      <c r="C16" s="72"/>
      <c r="E16" s="188" t="s">
        <v>623</v>
      </c>
      <c r="F16" s="69"/>
      <c r="G16" s="58"/>
    </row>
    <row r="17" spans="1:7" x14ac:dyDescent="0.25">
      <c r="A17" s="45" t="s">
        <v>108</v>
      </c>
      <c r="B17" s="237">
        <f>VLOOKUP(Macrogegevens!$C$2,'Balans &amp; kengetallen 2017'!$A$2:$W$357,7,0)*1000</f>
        <v>0</v>
      </c>
      <c r="C17" s="72">
        <f>SUM(B17,-'Investeringen &amp; financiering'!E79,C43)</f>
        <v>0</v>
      </c>
      <c r="E17" s="45" t="s">
        <v>694</v>
      </c>
      <c r="F17" s="237">
        <f>VLOOKUP(Macrogegevens!$C$2,'Balans &amp; kengetallen 2017'!$A$2:$W$357,19,0)*1000</f>
        <v>0</v>
      </c>
      <c r="G17" s="72">
        <f>SUM(F17,'Investeringen &amp; financiering'!K79)</f>
        <v>0</v>
      </c>
    </row>
    <row r="18" spans="1:7" x14ac:dyDescent="0.25">
      <c r="A18" s="45"/>
      <c r="B18" s="69"/>
      <c r="C18" s="72"/>
      <c r="E18" s="45"/>
      <c r="F18" s="69"/>
      <c r="G18" s="162"/>
    </row>
    <row r="19" spans="1:7" x14ac:dyDescent="0.25">
      <c r="A19" s="188" t="s">
        <v>622</v>
      </c>
      <c r="B19" s="69"/>
      <c r="E19" s="45" t="s">
        <v>32</v>
      </c>
      <c r="F19" s="237">
        <f>VLOOKUP(Macrogegevens!$C$2,'Balans &amp; kengetallen 2017'!$A$2:$W$357,20,0)*1000</f>
        <v>5694000</v>
      </c>
      <c r="G19" s="72">
        <f>SUM(F19,'Investeringen &amp; financiering'!L79)</f>
        <v>5694000</v>
      </c>
    </row>
    <row r="20" spans="1:7" x14ac:dyDescent="0.25">
      <c r="A20" s="119" t="s">
        <v>530</v>
      </c>
      <c r="B20" s="159">
        <f>VLOOKUP(Macrogegevens!$C$2,'Balans &amp; kengetallen 2017'!$A$2:$W$357,8,0)*1000</f>
        <v>-154000</v>
      </c>
      <c r="C20" s="162">
        <f>SUM(B20,'Investeringen &amp; financiering'!D6,-'Investeringen &amp; financiering'!E6,-C45)</f>
        <v>7414250</v>
      </c>
      <c r="E20" s="45"/>
      <c r="F20" s="79"/>
      <c r="G20" s="72"/>
    </row>
    <row r="21" spans="1:7" x14ac:dyDescent="0.25">
      <c r="A21" s="119" t="s">
        <v>26</v>
      </c>
      <c r="B21" s="159">
        <f>VLOOKUP(Macrogegevens!$C$2,'Balans &amp; kengetallen 2017'!$A$2:$W$357,9,0)*1000</f>
        <v>360000</v>
      </c>
      <c r="C21" s="162">
        <f>SUM(B21,-'Investeringen &amp; financiering'!F6,-'Investeringen &amp; financiering'!F7)</f>
        <v>368234.97506248148</v>
      </c>
      <c r="E21" s="45" t="s">
        <v>28</v>
      </c>
      <c r="F21" s="237">
        <f>VLOOKUP(Macrogegevens!$C$2,'Balans &amp; kengetallen 2017'!$A$2:$W$357,21,0)*1000</f>
        <v>23153000</v>
      </c>
      <c r="G21" s="118">
        <f>SUM(F21,'Investeringen &amp; financiering'!M79)</f>
        <v>23153000</v>
      </c>
    </row>
    <row r="22" spans="1:7" x14ac:dyDescent="0.25">
      <c r="A22" s="45" t="s">
        <v>521</v>
      </c>
      <c r="B22" s="79">
        <f>SUM(B20,B21)</f>
        <v>206000</v>
      </c>
      <c r="C22" s="72">
        <f>SUM(C20,C21)</f>
        <v>7782484.9750624811</v>
      </c>
      <c r="F22" s="69"/>
      <c r="G22" s="58"/>
    </row>
    <row r="23" spans="1:7" x14ac:dyDescent="0.25">
      <c r="B23" s="70"/>
      <c r="F23" s="79"/>
      <c r="G23" s="72"/>
    </row>
    <row r="24" spans="1:7" x14ac:dyDescent="0.25">
      <c r="A24" s="45" t="s">
        <v>652</v>
      </c>
      <c r="B24" s="237">
        <f>VLOOKUP(Macrogegevens!$C$2,'Balans &amp; kengetallen 2017'!$A$2:$W$357,13,0)*1000</f>
        <v>10490000</v>
      </c>
      <c r="C24" s="72">
        <f>SUM(B24,-'Investeringen &amp; financiering'!F79)</f>
        <v>10490000</v>
      </c>
      <c r="F24" s="79"/>
      <c r="G24" s="72"/>
    </row>
    <row r="25" spans="1:7" x14ac:dyDescent="0.25">
      <c r="B25" s="70"/>
      <c r="F25" s="79"/>
      <c r="G25" s="72"/>
    </row>
    <row r="26" spans="1:7" x14ac:dyDescent="0.25">
      <c r="A26" s="45" t="s">
        <v>653</v>
      </c>
      <c r="B26" s="237">
        <f>SUM(VLOOKUP(Macrogegevens!$C$2,'Balans &amp; kengetallen 2017'!$A$2:$W$357,10,0),VLOOKUP(Macrogegevens!$C$2,'Balans &amp; kengetallen 2017'!$A$2:$W$357,11,0),VLOOKUP(Macrogegevens!$C$2,'Balans &amp; kengetallen 2017'!$A$2:$W$357,12,0))*1000</f>
        <v>83178000</v>
      </c>
      <c r="C26" s="146">
        <f>SUM(B26,-'Investeringen &amp; financiering'!G79)</f>
        <v>83178000</v>
      </c>
      <c r="F26" s="79"/>
      <c r="G26" s="72"/>
    </row>
    <row r="27" spans="1:7" x14ac:dyDescent="0.25">
      <c r="B27" s="70"/>
      <c r="F27" s="69"/>
      <c r="G27" s="58"/>
    </row>
    <row r="28" spans="1:7" x14ac:dyDescent="0.25">
      <c r="A28" s="65" t="s">
        <v>27</v>
      </c>
      <c r="B28" s="238">
        <f>VLOOKUP(Macrogegevens!$C$2,'Balans &amp; kengetallen 2017'!$A$2:$W$357,14,0)*1000</f>
        <v>14169000</v>
      </c>
      <c r="C28" s="73">
        <f>SUM(B28,-'Investeringen &amp; financiering'!H79)</f>
        <v>14169000</v>
      </c>
      <c r="E28" s="66"/>
      <c r="F28" s="122"/>
      <c r="G28" s="147"/>
    </row>
    <row r="29" spans="1:7" x14ac:dyDescent="0.25">
      <c r="B29" s="70"/>
      <c r="E29" s="46"/>
      <c r="F29" s="69"/>
    </row>
    <row r="30" spans="1:7" x14ac:dyDescent="0.25">
      <c r="A30" s="45" t="s">
        <v>109</v>
      </c>
      <c r="B30" s="74">
        <f>SUM(B9,B11,B15,B17,B22,B24,B26,B28)</f>
        <v>330303000</v>
      </c>
      <c r="C30" s="72">
        <f>SUM(C9,C11,C15,C17,C22,C24,C26,C28)</f>
        <v>352334171.45839584</v>
      </c>
      <c r="E30" s="45" t="s">
        <v>109</v>
      </c>
      <c r="F30" s="74">
        <f>B30</f>
        <v>330303000</v>
      </c>
      <c r="G30" s="72">
        <f>C30</f>
        <v>352334171.45839584</v>
      </c>
    </row>
    <row r="31" spans="1:7" x14ac:dyDescent="0.25">
      <c r="B31" s="70"/>
      <c r="F31" s="46"/>
    </row>
    <row r="32" spans="1:7" x14ac:dyDescent="0.25">
      <c r="F32" s="46"/>
    </row>
    <row r="33" spans="1:7" x14ac:dyDescent="0.25">
      <c r="F33" s="46"/>
    </row>
    <row r="34" spans="1:7" x14ac:dyDescent="0.25">
      <c r="A34" s="45" t="s">
        <v>21</v>
      </c>
      <c r="C34" s="65" t="s">
        <v>772</v>
      </c>
      <c r="E34" s="45" t="s">
        <v>21</v>
      </c>
      <c r="F34" s="122" t="s">
        <v>771</v>
      </c>
      <c r="G34" s="210" t="s">
        <v>773</v>
      </c>
    </row>
    <row r="35" spans="1:7" x14ac:dyDescent="0.25">
      <c r="A35" s="14" t="s">
        <v>775</v>
      </c>
      <c r="C35" s="123">
        <v>0</v>
      </c>
      <c r="E35" s="14" t="s">
        <v>566</v>
      </c>
      <c r="F35" s="157">
        <f>VLOOKUP(Macrogegevens!$C$2,Inkomsten!$A$2:$OK$357,15,0)*1000</f>
        <v>234760000</v>
      </c>
      <c r="G35" s="231">
        <f>VLOOKUP(Macrogegevens!$C$2,Inkomsten!$A$2:$O$357,12,0)*1000</f>
        <v>226242000</v>
      </c>
    </row>
    <row r="36" spans="1:7" x14ac:dyDescent="0.25">
      <c r="A36" s="14" t="s">
        <v>776</v>
      </c>
      <c r="C36" s="163">
        <f>VLOOKUP(Macrogegevens!$C$2,Uitgaven!B2:K357,8,0)*1000</f>
        <v>10048000</v>
      </c>
      <c r="E36" s="14" t="s">
        <v>567</v>
      </c>
      <c r="F36" s="163">
        <f>VLOOKUP(Macrogegevens!$C$2,Uitgaven!$B$2:$H$357,5,0)*1000</f>
        <v>238505000</v>
      </c>
      <c r="G36" s="211">
        <f>VLOOKUP(Macrogegevens!$C$2,Uitgaven!$B$2:$H$357,2,0)*1000</f>
        <v>225790000</v>
      </c>
    </row>
    <row r="37" spans="1:7" x14ac:dyDescent="0.25">
      <c r="E37" s="14" t="s">
        <v>524</v>
      </c>
      <c r="F37" s="124"/>
      <c r="G37" s="163">
        <v>0</v>
      </c>
    </row>
    <row r="38" spans="1:7" x14ac:dyDescent="0.25">
      <c r="C38" s="135"/>
      <c r="E38" s="14" t="s">
        <v>85</v>
      </c>
      <c r="F38" s="177">
        <f>F6/F30</f>
        <v>0.60418161506253354</v>
      </c>
      <c r="G38" s="18">
        <f>G6/G30</f>
        <v>0.56768549975464633</v>
      </c>
    </row>
    <row r="39" spans="1:7" x14ac:dyDescent="0.25">
      <c r="A39" s="155" t="s">
        <v>554</v>
      </c>
      <c r="B39" s="156"/>
      <c r="C39" s="157">
        <v>0</v>
      </c>
      <c r="E39" s="14" t="s">
        <v>90</v>
      </c>
      <c r="F39" s="177">
        <f>SUM(F13,F17,F19,F21)/F30</f>
        <v>0.3234363599482899</v>
      </c>
      <c r="G39" s="18">
        <f>SUM(G13,G17,G19,G21)/G30</f>
        <v>0.36445846487688788</v>
      </c>
    </row>
    <row r="40" spans="1:7" x14ac:dyDescent="0.25">
      <c r="A40" s="158" t="s">
        <v>538</v>
      </c>
      <c r="B40" s="46"/>
      <c r="C40" s="159">
        <v>0</v>
      </c>
      <c r="E40" s="14" t="s">
        <v>553</v>
      </c>
      <c r="F40" s="151">
        <f>SUM(B24,B26,B28)/SUM(F17,F19,F21)</f>
        <v>3.7382396783027696</v>
      </c>
      <c r="G40" s="152">
        <f>SUM(C24,C26,C28)/SUM(G17,G19,G21)</f>
        <v>3.7382396783027696</v>
      </c>
    </row>
    <row r="41" spans="1:7" x14ac:dyDescent="0.25">
      <c r="A41" s="158" t="s">
        <v>122</v>
      </c>
      <c r="B41" s="46"/>
      <c r="C41" s="159">
        <f>'Investeringen &amp; financiering'!C79</f>
        <v>512866.66666666669</v>
      </c>
      <c r="E41" s="14" t="s">
        <v>672</v>
      </c>
      <c r="F41" s="177">
        <f>F17/F35</f>
        <v>0</v>
      </c>
      <c r="G41" s="18">
        <f>G17/G35</f>
        <v>0</v>
      </c>
    </row>
    <row r="42" spans="1:7" x14ac:dyDescent="0.25">
      <c r="A42" s="158" t="s">
        <v>123</v>
      </c>
      <c r="B42" s="46"/>
      <c r="C42" s="159">
        <f>'Investeringen &amp; financiering'!D79</f>
        <v>959200</v>
      </c>
      <c r="E42" s="14" t="s">
        <v>560</v>
      </c>
      <c r="F42" s="177">
        <f>SUM(F13,F17,F19,F21,-B15,-B17,-B24,-B26,-B28)/F35</f>
        <v>-9.8338728914636228E-2</v>
      </c>
      <c r="G42" s="18">
        <f>SUM(G13,G17,G19,G21,-C15,-C17,-C24,-C26,-C28)/G35</f>
        <v>-6.6602520601959326E-3</v>
      </c>
    </row>
    <row r="43" spans="1:7" x14ac:dyDescent="0.25">
      <c r="A43" s="158" t="s">
        <v>548</v>
      </c>
      <c r="B43" s="46"/>
      <c r="C43" s="159">
        <f>'Investeringen &amp; financiering'!E79</f>
        <v>0</v>
      </c>
      <c r="E43" s="14" t="s">
        <v>84</v>
      </c>
      <c r="F43" s="177">
        <f>B15/F35</f>
        <v>9.4057761117737268E-2</v>
      </c>
      <c r="G43" s="18">
        <f>C15/G35</f>
        <v>9.7599031125962465E-2</v>
      </c>
    </row>
    <row r="44" spans="1:7" x14ac:dyDescent="0.25">
      <c r="A44" s="158" t="s">
        <v>625</v>
      </c>
      <c r="B44" s="46"/>
      <c r="C44" s="159">
        <v>0</v>
      </c>
      <c r="E44" s="14" t="s">
        <v>697</v>
      </c>
      <c r="F44" s="177">
        <f>SUM(B8,B22)/F35</f>
        <v>8.7749190662804563E-4</v>
      </c>
      <c r="G44" s="178">
        <f>SUM(C8,C22)/G35</f>
        <v>3.4398939962794181E-2</v>
      </c>
    </row>
    <row r="45" spans="1:7" x14ac:dyDescent="0.25">
      <c r="A45" s="160" t="s">
        <v>574</v>
      </c>
      <c r="B45" s="66"/>
      <c r="C45" s="242">
        <f>VLOOKUP(Macrogegevens!C2,'Data investeringen'!B2:H357,7,0)*1000</f>
        <v>6680000</v>
      </c>
      <c r="E45" s="14" t="s">
        <v>673</v>
      </c>
      <c r="F45" s="177">
        <f>SUM(F42,0.12*F43,-0.7*F44)</f>
        <v>-8.7666041915147389E-2</v>
      </c>
      <c r="G45" s="221">
        <f>SUM(G42,0.12*G43,-0.7*G44)</f>
        <v>-1.9027626299036364E-2</v>
      </c>
    </row>
    <row r="46" spans="1:7" x14ac:dyDescent="0.25">
      <c r="E46" s="14" t="s">
        <v>678</v>
      </c>
      <c r="F46" s="177">
        <f>SUM(F35,-F36)/F35</f>
        <v>-1.59524620889419E-2</v>
      </c>
      <c r="G46" s="221">
        <f>SUM(G35,-G36)/G35</f>
        <v>1.9978606978368297E-3</v>
      </c>
    </row>
    <row r="47" spans="1:7" x14ac:dyDescent="0.25">
      <c r="E47" s="14" t="s">
        <v>674</v>
      </c>
      <c r="F47" s="177">
        <f>SUM(B9,-VLOOKUP(Balansprognose!$B$2,'Data investeringen'!$B$2:$AE$357,30,0)*1000)/(4*F35)</f>
        <v>-1.0382944283523598E-3</v>
      </c>
      <c r="G47" s="18">
        <f>SUM(C9,-VLOOKUP(Balansprognose!$B$2,'Data investeringen'!$B$2:$AE$357,29,0)*1000)/(4*G35)</f>
        <v>1.1428786966316289E-2</v>
      </c>
    </row>
    <row r="48" spans="1:7" x14ac:dyDescent="0.25">
      <c r="E48" s="14" t="s">
        <v>774</v>
      </c>
      <c r="G48" s="212">
        <f>SUM(-G13,F13,-G17,F17,-G19,F19,-G21,F21,C11,-B11,C15,-B15,C17,-B17,C24,-B24,C26,-B26,C28,-B28,-C40)</f>
        <v>-21579171.253397152</v>
      </c>
    </row>
    <row r="49" spans="1:1" x14ac:dyDescent="0.25">
      <c r="A49" s="140"/>
    </row>
    <row r="50" spans="1:1" x14ac:dyDescent="0.25">
      <c r="A50" s="140"/>
    </row>
    <row r="52" spans="1:1" x14ac:dyDescent="0.25">
      <c r="A52" s="29"/>
    </row>
    <row r="53" spans="1:1" x14ac:dyDescent="0.25">
      <c r="A53" s="29"/>
    </row>
    <row r="54" spans="1:1" x14ac:dyDescent="0.25">
      <c r="A54" s="213"/>
    </row>
    <row r="55" spans="1:1" x14ac:dyDescent="0.25">
      <c r="A55" s="140"/>
    </row>
  </sheetData>
  <sheetProtection algorithmName="SHA-512" hashValue="F6iq6by8qPfBvog0OcJw6qXIoPr6UabEFtutl7H1URc0AzLAnaX+4R/6vRsW5D/4MMpUHL84pr3W+XIf7k7Hyw==" saltValue="NL4S0oHTKRZIH8cP9D7NZg==" spinCount="100000" sheet="1" scenarios="1" selectLockedCells="1"/>
  <mergeCells count="1">
    <mergeCell ref="C6:C7"/>
  </mergeCells>
  <dataValidations xWindow="437" yWindow="586" count="18">
    <dataValidation allowBlank="1" showInputMessage="1" showErrorMessage="1" promptTitle="Afschrijvingskosten 1" prompt="Vul de afschrijvingskosten immateriele activa in van het lopende boekjaar. Hieronder vallen ook de afschrijvingskosten op bijdragen aan investeringen van derden en afschrijvingkosten die worden gedekt uit bestemmingsreserves.    " sqref="C35" xr:uid="{00000000-0002-0000-0100-000000000000}"/>
    <dataValidation allowBlank="1" showInputMessage="1" showErrorMessage="1" promptTitle="Boekwinst / boekverlies" prompt="Vul de boekwinst of het boekverlies in dat in 2019 wordt behaald bij de verkoop van materiele vaste activa. Vul bij winst een positief getal in en bij verlies een negatief getal in.      " sqref="C39" xr:uid="{00000000-0002-0000-0100-000001000000}"/>
    <dataValidation allowBlank="1" showInputMessage="1" showErrorMessage="1" promptTitle="Boekwinst / boekverlies" prompt="Vul de boekwinst of het boekverlies in dat wordt behaald bij de verkoop, het afstoten of liquideren van deelnemingen in 2019. Vul bij winst een positief getal en bij verlies een negatief getal in." sqref="C40" xr:uid="{00000000-0002-0000-0100-000002000000}"/>
    <dataValidation operator="greaterThanOrEqual" allowBlank="1" showInputMessage="1" showErrorMessage="1" errorTitle="Foutieve invoer" error="U hebt een negatief bedrag ingevuld." promptTitle="Verstrekken nieuwe leningen " prompt="Vul voor de te verstrekken nieuwe leningen aan verbonden partijen in 2019 een positief bedrag in. Aflossingen op oude leningen moeten op het blad Investeringen &amp; financiering worden ingevuld.  " sqref="C41" xr:uid="{00000000-0002-0000-0100-000003000000}"/>
    <dataValidation operator="greaterThanOrEqual" allowBlank="1" showInputMessage="1" showErrorMessage="1" errorTitle="Foutieve invoer" error="U hebt een negatief bedrag ingevuld." promptTitle="Verstrekken nieuwe leningen" prompt="Vul voor de te verstrekken nieuwe leningen aan derden in 2019 een positief bedrag in. Aflossingen op leningen aan derden moeten op het blad Investeringen &amp; financiering worden ingevuld." sqref="C42" xr:uid="{00000000-0002-0000-0100-000004000000}"/>
    <dataValidation type="whole" operator="greaterThanOrEqual" allowBlank="1" showInputMessage="1" showErrorMessage="1" errorTitle="Foutieve invoer" error="U hebt een negatief bedrag ingevuld." promptTitle="Nieuwe langlopende uitzettingen" prompt="Vul voor de nieuwe langlopende uitzettingen die in 2019 worden geplaatst, een positief bedrag in. Hieronder vallen ook langlopende uitzettingen bij de schatkist.   " sqref="C43" xr:uid="{00000000-0002-0000-0100-000005000000}">
      <formula1>0</formula1>
    </dataValidation>
    <dataValidation allowBlank="1" showErrorMessage="1" sqref="G48" xr:uid="{00000000-0002-0000-0100-000006000000}"/>
    <dataValidation type="whole" operator="greaterThanOrEqual" allowBlank="1" showInputMessage="1" showErrorMessage="1" errorTitle="Foutieve invoer" error="U hebt een negatief bedrag ingevuld" promptTitle="Voorraad NIEGG eindbalans" prompt="Voer hier de waardestijging (positief) in die ontstaat bij de overboeking in 2019 van Niet in Exploitatie Genomen Grond naar Onderhanden werk. " sqref="C44" xr:uid="{00000000-0002-0000-0100-000007000000}">
      <formula1>0</formula1>
    </dataValidation>
    <dataValidation type="whole" operator="lessThanOrEqual" allowBlank="1" showInputMessage="1" showErrorMessage="1" errorTitle="positief getal ingevoerd" error="U dient een negatief getal in te voeren" promptTitle="Mutatie onderhanden werk" prompt="Voer eerst op blad Investeringen &amp; financiering de investeringen onderhanden werk in en corrigeer hierboven afname NIEG grond. Vul dan pas hier de afname (negatief) van het onderhanden werk (kostprijs verkopen) in voor stand eindbalans 2017." sqref="C46" xr:uid="{00000000-0002-0000-0100-000008000000}">
      <formula1>0</formula1>
    </dataValidation>
    <dataValidation allowBlank="1" showInputMessage="1" showErrorMessage="1" promptTitle="Mutatie voorzieningen 2019" prompt="Voer het bedrag in waarmee de voorzieningen in 2019 toenemen (positief bedrag) of afnemen (negatief bedrag)." sqref="G37" xr:uid="{00000000-0002-0000-0100-000009000000}"/>
    <dataValidation operator="greaterThanOrEqual" allowBlank="1" showInputMessage="1" showErrorMessage="1" errorTitle="Foutieve invoer" error="U hebt een negatief bedrag ingevuld. Vul een positief bedrag in." promptTitle="Afname voorraad onderhanden werk" prompt="Vul een positief bedrag in voor de afname van de voorraad onderhanden werk als gevolg van de verwachte verkopen in 2019. Vul op het blad Investeringen &amp; financiering de opbrengst uit deze verkopen in." sqref="C45" xr:uid="{00000000-0002-0000-0100-00000A000000}"/>
    <dataValidation allowBlank="1" sqref="F21 F19 B11 B13:B14 B17 B24 B26 B20:B21 F6 B28 F8 F11:F12 F17 B7:B8" xr:uid="{00000000-0002-0000-0100-00000B000000}"/>
    <dataValidation allowBlank="1" showInputMessage="1" promptTitle="Afschrijvingskosten 2 " prompt="Vul de afschrijvingskosten van de materiele activa in van het lopende boekjaar. Hieronder vallen ook de afschrijvingskosten die worden gedekt uit bestemmingsreserves." sqref="C36" xr:uid="{00000000-0002-0000-0100-00000C000000}"/>
    <dataValidation allowBlank="1" showInputMessage="1" promptTitle="Baten voor mutatie reserves 2018" prompt="Vul een positief bedrag in voor de hoogte van de baten voor mutatie van de reserves van het rekeningjaar 2018." sqref="F35" xr:uid="{00000000-0002-0000-0100-00000D000000}"/>
    <dataValidation allowBlank="1" showInputMessage="1" promptTitle="Lasten v. mutatie reserves 2018" prompt="Vul een positief bedrag in voor de hoogte van de lasten voor mutatie van de reserves van het rekeningjaar 2018." sqref="F36" xr:uid="{00000000-0002-0000-0100-00000E000000}"/>
    <dataValidation allowBlank="1" showInputMessage="1" promptTitle="Baten voor mutatie reserves 2019" prompt="Voer een positief bedrag in voor de hoogte van de baten voor mutatie van de reserves van het begrotingsjaar 2019." sqref="G35" xr:uid="{00000000-0002-0000-0100-00000F000000}"/>
    <dataValidation allowBlank="1" showInputMessage="1" promptTitle="Lasten v. mutatie reserves 2019" prompt="Voer een positief bedrag in voor de hoogte van de lasten voor mutatie van de reserves van het begrotingsjaar 2019.  " sqref="G36" xr:uid="{00000000-0002-0000-0100-000010000000}"/>
    <dataValidation allowBlank="1" showInputMessage="1" promptTitle="Balans 2018" prompt="Schrijf de balansstanden over met de gegevens uit de (voorlopige) jaarrekening 2018  " sqref="B6" xr:uid="{0B3E6E69-CC11-4D7B-AEAE-4CEAEEEA2D04}"/>
  </dataValidations>
  <pageMargins left="0.7" right="0.7" top="0.75" bottom="0.75" header="0.3" footer="0.3"/>
  <pageSetup paperSize="9" orientation="portrait"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9"/>
  <sheetViews>
    <sheetView showGridLines="0" zoomScale="85" zoomScaleNormal="85" workbookViewId="0">
      <selection activeCell="C79" sqref="C79"/>
    </sheetView>
  </sheetViews>
  <sheetFormatPr defaultColWidth="9.109375" defaultRowHeight="13.2" x14ac:dyDescent="0.25"/>
  <cols>
    <col min="1" max="1" width="3" style="14" customWidth="1"/>
    <col min="2" max="2" width="37.6640625" style="14" bestFit="1" customWidth="1"/>
    <col min="3" max="3" width="34.109375" style="14" bestFit="1" customWidth="1"/>
    <col min="4" max="4" width="31" style="14" bestFit="1" customWidth="1"/>
    <col min="5" max="5" width="30.5546875" style="14" customWidth="1"/>
    <col min="6" max="6" width="31" style="14" customWidth="1"/>
    <col min="7" max="7" width="37.5546875" style="14" bestFit="1" customWidth="1"/>
    <col min="8" max="8" width="32" style="14" customWidth="1"/>
    <col min="9" max="9" width="24.44140625" style="14" customWidth="1"/>
    <col min="10" max="10" width="24.5546875" style="14" customWidth="1"/>
    <col min="11" max="11" width="30.88671875" style="14" customWidth="1"/>
    <col min="12" max="12" width="26.33203125" style="14" customWidth="1"/>
    <col min="13" max="13" width="26.44140625" style="14" customWidth="1"/>
    <col min="14" max="14" width="21.44140625" style="3" hidden="1" customWidth="1"/>
    <col min="15" max="15" width="25.5546875" style="3" hidden="1" customWidth="1"/>
    <col min="16" max="17" width="16.109375" style="3" hidden="1" customWidth="1"/>
    <col min="18" max="18" width="27.6640625" style="3" hidden="1" customWidth="1"/>
    <col min="19" max="19" width="19.33203125" style="3" hidden="1" customWidth="1"/>
    <col min="20" max="20" width="25.33203125" style="3" hidden="1" customWidth="1"/>
    <col min="21" max="21" width="61.109375" style="3" hidden="1" customWidth="1"/>
    <col min="22" max="22" width="16.33203125" style="3" hidden="1" customWidth="1"/>
    <col min="23" max="23" width="16.6640625" style="14" hidden="1" customWidth="1"/>
    <col min="24" max="24" width="8.33203125" style="14" hidden="1" customWidth="1"/>
    <col min="25" max="25" width="10.33203125" style="14" hidden="1" customWidth="1"/>
    <col min="26" max="26" width="23" style="14" hidden="1" customWidth="1"/>
    <col min="27" max="27" width="22.44140625" style="14" hidden="1" customWidth="1"/>
    <col min="28" max="28" width="15.109375" style="14" hidden="1" customWidth="1"/>
    <col min="29" max="29" width="9.109375" style="14" customWidth="1"/>
    <col min="30" max="16384" width="9.109375" style="14"/>
  </cols>
  <sheetData>
    <row r="1" spans="1:30" x14ac:dyDescent="0.25">
      <c r="A1" s="319" t="s">
        <v>102</v>
      </c>
      <c r="B1" s="319"/>
      <c r="C1" s="57">
        <f>Macrogegevens!C1</f>
        <v>2019</v>
      </c>
      <c r="H1" s="45"/>
      <c r="J1" s="45"/>
      <c r="K1" s="45"/>
      <c r="L1" s="45"/>
      <c r="N1" s="14"/>
      <c r="O1" s="2" t="s">
        <v>60</v>
      </c>
      <c r="R1" s="2" t="s">
        <v>61</v>
      </c>
      <c r="U1" s="2" t="s">
        <v>0</v>
      </c>
      <c r="V1" s="2"/>
      <c r="W1" s="2" t="s">
        <v>43</v>
      </c>
      <c r="X1" s="3"/>
      <c r="Y1" s="78" t="s">
        <v>21</v>
      </c>
      <c r="Z1" s="14" t="s">
        <v>124</v>
      </c>
      <c r="AA1" s="14" t="s">
        <v>126</v>
      </c>
      <c r="AB1" s="14" t="s">
        <v>125</v>
      </c>
    </row>
    <row r="2" spans="1:30" x14ac:dyDescent="0.25">
      <c r="A2" s="44" t="s">
        <v>98</v>
      </c>
      <c r="C2" s="14" t="s">
        <v>556</v>
      </c>
      <c r="D2" s="93" t="s">
        <v>570</v>
      </c>
      <c r="E2" s="14" t="s">
        <v>571</v>
      </c>
      <c r="F2" s="14" t="s">
        <v>26</v>
      </c>
      <c r="G2" s="14" t="s">
        <v>25</v>
      </c>
      <c r="H2" s="5"/>
      <c r="I2" s="10"/>
      <c r="K2" s="17"/>
      <c r="L2" s="10"/>
      <c r="M2" s="10"/>
      <c r="N2" s="10" t="s">
        <v>557</v>
      </c>
      <c r="O2" s="3" t="s">
        <v>41</v>
      </c>
      <c r="P2" s="3" t="s">
        <v>42</v>
      </c>
      <c r="Q2" s="3" t="s">
        <v>63</v>
      </c>
      <c r="R2" s="3" t="s">
        <v>52</v>
      </c>
      <c r="S2" s="3" t="s">
        <v>42</v>
      </c>
      <c r="T2" s="3" t="s">
        <v>96</v>
      </c>
      <c r="U2" s="3" t="s">
        <v>1</v>
      </c>
      <c r="W2" s="8">
        <f>Macrogegevens!C4</f>
        <v>1.4E-2</v>
      </c>
      <c r="X2" s="8">
        <f>SUM(1,W2)</f>
        <v>1.014</v>
      </c>
      <c r="Y2" s="14">
        <v>1995</v>
      </c>
      <c r="Z2" s="24">
        <v>6.9000000000000006E-2</v>
      </c>
      <c r="AA2" s="24">
        <f t="shared" ref="AA2:AA22" si="0">SUM(Z2,0.4%)</f>
        <v>7.3000000000000009E-2</v>
      </c>
      <c r="AB2" s="24">
        <f t="shared" ref="AB2:AB22" si="1">SUM(AA2,0.2%)</f>
        <v>7.5000000000000011E-2</v>
      </c>
    </row>
    <row r="3" spans="1:30" x14ac:dyDescent="0.25">
      <c r="B3" s="15" t="s">
        <v>784</v>
      </c>
      <c r="C3" s="9">
        <f>SUM(Balansprognose!B6,Balansprognose!B7)</f>
        <v>200179000</v>
      </c>
      <c r="D3" s="9">
        <f>SUM(Balansprognose!B8)</f>
        <v>0</v>
      </c>
      <c r="E3" s="9">
        <f>Balansprognose!B20</f>
        <v>-154000</v>
      </c>
      <c r="F3" s="41">
        <f>Balansprognose!B21</f>
        <v>360000</v>
      </c>
      <c r="G3" s="9">
        <f>Balansprognose!B11</f>
        <v>0</v>
      </c>
      <c r="H3" s="167"/>
      <c r="I3" s="10"/>
      <c r="K3" s="17"/>
      <c r="L3" s="10"/>
      <c r="M3" s="10"/>
      <c r="N3" s="10"/>
      <c r="O3" s="12"/>
      <c r="U3" s="3" t="s">
        <v>569</v>
      </c>
      <c r="W3" s="8">
        <f>SUM(Macrogegevens!C6,-W5)</f>
        <v>1.29E-2</v>
      </c>
      <c r="X3" s="3"/>
      <c r="Y3" s="14">
        <f t="shared" ref="Y3:Y25" si="2">SUM(Y2,1)</f>
        <v>1996</v>
      </c>
      <c r="Z3" s="24">
        <v>6.1499999999999999E-2</v>
      </c>
      <c r="AA3" s="24">
        <f t="shared" si="0"/>
        <v>6.5500000000000003E-2</v>
      </c>
      <c r="AB3" s="24">
        <f t="shared" si="1"/>
        <v>6.7500000000000004E-2</v>
      </c>
    </row>
    <row r="4" spans="1:30" x14ac:dyDescent="0.25">
      <c r="B4" s="15" t="s">
        <v>777</v>
      </c>
      <c r="C4" s="227">
        <f>267.4*X24</f>
        <v>267.39999999999998</v>
      </c>
      <c r="D4" s="16"/>
      <c r="E4" s="16"/>
      <c r="F4" s="16"/>
      <c r="G4" s="16"/>
      <c r="K4" s="17"/>
      <c r="L4" s="17"/>
      <c r="N4" s="14"/>
      <c r="O4" s="12"/>
      <c r="U4" s="3" t="s">
        <v>2</v>
      </c>
      <c r="W4" s="8">
        <f>Macrogegevens!C7</f>
        <v>1.9E-2</v>
      </c>
      <c r="X4" s="3"/>
      <c r="Y4" s="14">
        <f t="shared" si="2"/>
        <v>1997</v>
      </c>
      <c r="Z4" s="24">
        <v>5.5800000000000002E-2</v>
      </c>
      <c r="AA4" s="24">
        <f t="shared" si="0"/>
        <v>5.9800000000000006E-2</v>
      </c>
      <c r="AB4" s="24">
        <f t="shared" si="1"/>
        <v>6.1800000000000008E-2</v>
      </c>
    </row>
    <row r="5" spans="1:30" x14ac:dyDescent="0.25">
      <c r="B5" s="15" t="s">
        <v>523</v>
      </c>
      <c r="C5" s="18">
        <f>SUM(Balansprognose!C35,Balansprognose!C36)/C3</f>
        <v>5.0195075407510281E-2</v>
      </c>
      <c r="D5" s="16"/>
      <c r="E5" s="16"/>
      <c r="F5" s="18"/>
      <c r="G5" s="18"/>
      <c r="J5" s="3"/>
      <c r="K5" s="7"/>
      <c r="L5" s="7"/>
      <c r="N5" s="14"/>
      <c r="O5" s="12"/>
      <c r="U5" s="3" t="s">
        <v>18</v>
      </c>
      <c r="W5" s="8">
        <f>Macrogegevens!C11</f>
        <v>3.0999999999999999E-3</v>
      </c>
      <c r="X5" s="3"/>
      <c r="Y5" s="14">
        <f t="shared" si="2"/>
        <v>1998</v>
      </c>
      <c r="Z5" s="24">
        <v>4.6199999999999998E-2</v>
      </c>
      <c r="AA5" s="24">
        <f t="shared" si="0"/>
        <v>5.0199999999999995E-2</v>
      </c>
      <c r="AB5" s="24">
        <f t="shared" si="1"/>
        <v>5.2199999999999996E-2</v>
      </c>
    </row>
    <row r="6" spans="1:30" x14ac:dyDescent="0.25">
      <c r="B6" s="14" t="s">
        <v>648</v>
      </c>
      <c r="C6" s="233">
        <f>Macrogegevens!Y5*-C4</f>
        <v>-24502686.483333331</v>
      </c>
      <c r="D6" s="233">
        <v>0</v>
      </c>
      <c r="E6" s="233">
        <f>-VLOOKUP(Macrogegevens!C2,'Data investeringen'!B2:H357,3,0)*1000</f>
        <v>-14248250</v>
      </c>
      <c r="F6" s="233">
        <f>-SUM(F3*SUM(1,Macrogegevens!C4,Macrogegevens!C12),-F3)</f>
        <v>-8234.9750624814769</v>
      </c>
      <c r="G6" s="233">
        <f>-SUM(G3*SUM(1,Macrogegevens!C5,Macrogegevens!C6,-Macrogegevens!C11,Macrogegevens!C12),-G3)</f>
        <v>0</v>
      </c>
      <c r="K6" s="17"/>
      <c r="L6" s="17"/>
      <c r="N6" s="14"/>
      <c r="O6" s="43">
        <f>SUM(C6:G6,C7,E7,F7,G7)</f>
        <v>-28454171.458395816</v>
      </c>
      <c r="P6" s="21">
        <f>W10*0.5*O6</f>
        <v>-85362.514375187457</v>
      </c>
      <c r="Q6" s="21">
        <f>SUM(O6:P6)</f>
        <v>-28539533.972771004</v>
      </c>
      <c r="R6" s="43">
        <f>SUM(C6:G6,C7,E7,F7,G7)</f>
        <v>-28454171.458395816</v>
      </c>
      <c r="S6" s="21">
        <f>W10*R6*0.5</f>
        <v>-85362.514375187457</v>
      </c>
      <c r="T6" s="21">
        <f>SUM(R6:S6)</f>
        <v>-28539533.972771004</v>
      </c>
      <c r="U6" s="3" t="s">
        <v>23</v>
      </c>
      <c r="W6" s="8">
        <f>Macrogegevens!C12</f>
        <v>8.8749307291150579E-3</v>
      </c>
      <c r="X6" s="3"/>
      <c r="Y6" s="14">
        <f t="shared" si="2"/>
        <v>1999</v>
      </c>
      <c r="Z6" s="24">
        <v>4.65E-2</v>
      </c>
      <c r="AA6" s="24">
        <f t="shared" si="0"/>
        <v>5.0500000000000003E-2</v>
      </c>
      <c r="AB6" s="24">
        <f t="shared" si="1"/>
        <v>5.2500000000000005E-2</v>
      </c>
    </row>
    <row r="7" spans="1:30" x14ac:dyDescent="0.25">
      <c r="B7" s="14" t="s">
        <v>53</v>
      </c>
      <c r="C7" s="11">
        <v>0</v>
      </c>
      <c r="D7" s="11">
        <v>0</v>
      </c>
      <c r="E7" s="11">
        <f>VLOOKUP(Macrogegevens!C2,'Data investeringen'!B2:H357,6,0)*1000</f>
        <v>10305000</v>
      </c>
      <c r="F7" s="11">
        <v>0</v>
      </c>
      <c r="G7" s="11">
        <v>0</v>
      </c>
      <c r="L7" s="17"/>
      <c r="N7" s="56">
        <f>SUM(C7,E7,F7,G7)</f>
        <v>10305000</v>
      </c>
      <c r="O7" s="21"/>
      <c r="P7" s="21"/>
      <c r="Q7" s="21"/>
      <c r="R7" s="21"/>
      <c r="S7" s="21"/>
      <c r="T7" s="21"/>
      <c r="U7" s="3" t="s">
        <v>31</v>
      </c>
      <c r="W7" s="8">
        <f>Macrogegevens!C17</f>
        <v>1.0999999999999999E-2</v>
      </c>
      <c r="X7" s="3"/>
      <c r="Y7" s="14">
        <f t="shared" si="2"/>
        <v>2000</v>
      </c>
      <c r="Z7" s="24">
        <v>5.4100000000000002E-2</v>
      </c>
      <c r="AA7" s="24">
        <f t="shared" si="0"/>
        <v>5.8099999999999999E-2</v>
      </c>
      <c r="AB7" s="24">
        <f t="shared" si="1"/>
        <v>6.0100000000000001E-2</v>
      </c>
      <c r="AD7" s="186"/>
    </row>
    <row r="8" spans="1:30" hidden="1" x14ac:dyDescent="0.25">
      <c r="B8" s="14" t="s">
        <v>778</v>
      </c>
      <c r="C8" s="42">
        <f>-C4*Macrogegevens!Y6*SUM(1,Macrogegevens!C5,Macrogegevens!C6,-Macrogegevens!C11)</f>
        <v>-25385118.059408132</v>
      </c>
      <c r="D8" s="42"/>
      <c r="E8" s="42">
        <f>-VLOOKUP(Macrogegevens!$C$2,'Data investeringen'!$B$2:$AB$364,3,0)*1000</f>
        <v>-14248250</v>
      </c>
      <c r="F8" s="42">
        <f>-SUM(SUM(F3,-F6)*SUM(1,Macrogegevens!C4,Macrogegevens!C12),-SUM(F3,-F6))</f>
        <v>-8423.3495465916931</v>
      </c>
      <c r="G8" s="42">
        <f>-SUM(SUM(G3,-G6)*SUM(1,Macrogegevens!C5,Macrogegevens!C6,-Macrogegevens!C11,Macrogegevens!C12),-SUM(G3,-G6))</f>
        <v>0</v>
      </c>
      <c r="L8" s="17"/>
      <c r="N8" s="14"/>
      <c r="O8" s="43">
        <f>SUM(C8:G9)</f>
        <v>-23597791.408954717</v>
      </c>
      <c r="P8" s="21">
        <f>SUM(Q6,0.5*O8)*W10</f>
        <v>-242030.57806349016</v>
      </c>
      <c r="Q8" s="21">
        <f>SUM(O8:P8)</f>
        <v>-23839821.987018209</v>
      </c>
      <c r="R8" s="43">
        <f>SUM(C8:H9)</f>
        <v>-23597791.408954717</v>
      </c>
      <c r="S8" s="21">
        <f>SUM(W10*T6,SUM(W10,W21)*R8*0.5)</f>
        <v>-360019.53510826378</v>
      </c>
      <c r="T8" s="21">
        <f>SUM(R8:S8)</f>
        <v>-23957810.944062982</v>
      </c>
      <c r="U8" s="3" t="s">
        <v>38</v>
      </c>
      <c r="W8" s="8">
        <f>Macrogegevens!C14</f>
        <v>0</v>
      </c>
      <c r="X8" s="3"/>
      <c r="Y8" s="14">
        <f t="shared" si="2"/>
        <v>2001</v>
      </c>
      <c r="Z8" s="24">
        <v>4.9599999999999998E-2</v>
      </c>
      <c r="AA8" s="24">
        <f t="shared" si="0"/>
        <v>5.3599999999999995E-2</v>
      </c>
      <c r="AB8" s="24">
        <f t="shared" si="1"/>
        <v>5.5599999999999997E-2</v>
      </c>
    </row>
    <row r="9" spans="1:30" hidden="1" x14ac:dyDescent="0.25">
      <c r="B9" s="14" t="s">
        <v>54</v>
      </c>
      <c r="C9" s="9"/>
      <c r="D9" s="41"/>
      <c r="E9" s="16">
        <f>VLOOKUP(Macrogegevens!C2,'Data investeringen'!B2:AB364,2,0)*X15*1000</f>
        <v>16044000</v>
      </c>
      <c r="F9" s="9"/>
      <c r="G9" s="9"/>
      <c r="N9" s="56">
        <f>SUM(C9:H9)</f>
        <v>16044000</v>
      </c>
      <c r="O9" s="21"/>
      <c r="P9" s="21"/>
      <c r="Q9" s="21"/>
      <c r="R9" s="21"/>
      <c r="S9" s="21"/>
      <c r="T9" s="21"/>
      <c r="U9" s="3" t="s">
        <v>30</v>
      </c>
      <c r="W9" s="8">
        <f>Macrogegevens!C15</f>
        <v>0</v>
      </c>
      <c r="X9" s="3"/>
      <c r="Y9" s="14">
        <f t="shared" si="2"/>
        <v>2002</v>
      </c>
      <c r="Z9" s="24">
        <v>4.8899999999999999E-2</v>
      </c>
      <c r="AA9" s="24">
        <f t="shared" si="0"/>
        <v>5.2900000000000003E-2</v>
      </c>
      <c r="AB9" s="24">
        <f t="shared" si="1"/>
        <v>5.4900000000000004E-2</v>
      </c>
    </row>
    <row r="10" spans="1:30" hidden="1" x14ac:dyDescent="0.25">
      <c r="B10" s="14" t="s">
        <v>724</v>
      </c>
      <c r="C10" s="42">
        <f>-C4*Macrogegevens!Y7*SUM(1,Macrogegevens!C5,Macrogegevens!C6,-Macrogegevens!C11,Macrogegevens!C12)</f>
        <v>-25831745.875605442</v>
      </c>
      <c r="D10" s="42"/>
      <c r="E10" s="42">
        <f>E8</f>
        <v>-14248250</v>
      </c>
      <c r="F10" s="42">
        <f>-SUM(SUM(F3,-F6,-F8)*SUM(1,Macrogegevens!C4,Macrogegevens!C12),-SUM(F3,-F6,-F8))</f>
        <v>-8616.0330839771195</v>
      </c>
      <c r="G10" s="42">
        <f>-SUM(SUM(G3,-G6,-G8)*SUM(1,Macrogegevens!C5,Macrogegevens!C6,-Macrogegevens!C11,Macrogegevens!C12),-SUM(G3,-G6,-G8))</f>
        <v>0</v>
      </c>
      <c r="N10" s="14"/>
      <c r="O10" s="43">
        <f>SUM(C10:G11)</f>
        <v>-24044611.908689417</v>
      </c>
      <c r="P10" s="21">
        <f>SUM(Q6,Q8,0.5*O10)*W10</f>
        <v>-386409.97148480354</v>
      </c>
      <c r="Q10" s="21">
        <f>SUM(O10:P10)</f>
        <v>-24431021.88017422</v>
      </c>
      <c r="R10" s="43">
        <f>SUM(C10:H11)</f>
        <v>-24044611.908689417</v>
      </c>
      <c r="S10" s="21">
        <f>SUM(W10*T6,SUM(W10,W21)*T8,SUM(W10,W22)*R10*0.5)</f>
        <v>-867142.13375459623</v>
      </c>
      <c r="T10" s="21">
        <f>SUM(R10:S10)</f>
        <v>-24911754.042444013</v>
      </c>
      <c r="U10" s="3" t="s">
        <v>24</v>
      </c>
      <c r="W10" s="8">
        <f>Macrogegevens!C16</f>
        <v>6.0000000000000001E-3</v>
      </c>
      <c r="X10" s="3"/>
      <c r="Y10" s="14">
        <f t="shared" si="2"/>
        <v>2003</v>
      </c>
      <c r="Z10" s="24">
        <v>4.1200000000000001E-2</v>
      </c>
      <c r="AA10" s="24">
        <f t="shared" si="0"/>
        <v>4.5200000000000004E-2</v>
      </c>
      <c r="AB10" s="24">
        <f t="shared" si="1"/>
        <v>4.7200000000000006E-2</v>
      </c>
    </row>
    <row r="11" spans="1:30" hidden="1" x14ac:dyDescent="0.25">
      <c r="B11" s="14" t="s">
        <v>55</v>
      </c>
      <c r="C11" s="16"/>
      <c r="E11" s="16">
        <f>VLOOKUP(Macrogegevens!C2,'Data investeringen'!B2:AB364,2,0)*X16*1000</f>
        <v>16044000</v>
      </c>
      <c r="F11" s="9"/>
      <c r="G11" s="9"/>
      <c r="N11" s="56">
        <f>SUM(C11:H11)</f>
        <v>16044000</v>
      </c>
      <c r="O11" s="21"/>
      <c r="P11" s="21"/>
      <c r="Q11" s="21"/>
      <c r="R11" s="21"/>
      <c r="S11" s="21"/>
      <c r="T11" s="21"/>
      <c r="U11" s="3" t="s">
        <v>523</v>
      </c>
      <c r="W11" s="8">
        <f>C5</f>
        <v>5.0195075407510281E-2</v>
      </c>
      <c r="X11" s="3"/>
      <c r="Y11" s="14">
        <f t="shared" si="2"/>
        <v>2004</v>
      </c>
      <c r="Z11" s="24">
        <v>4.0899999999999999E-2</v>
      </c>
      <c r="AA11" s="24">
        <f t="shared" si="0"/>
        <v>4.4899999999999995E-2</v>
      </c>
      <c r="AB11" s="24">
        <f t="shared" si="1"/>
        <v>4.6899999999999997E-2</v>
      </c>
    </row>
    <row r="12" spans="1:30" hidden="1" x14ac:dyDescent="0.25">
      <c r="B12" s="14" t="s">
        <v>779</v>
      </c>
      <c r="C12" s="42">
        <f>-C4*Macrogegevens!Y8*SUM(1,Macrogegevens!C5,Macrogegevens!C6,-Macrogegevens!C11)</f>
        <v>-25837699.83154073</v>
      </c>
      <c r="D12" s="41"/>
      <c r="E12" s="42">
        <f>E8</f>
        <v>-14248250</v>
      </c>
      <c r="F12" s="42">
        <f>-SUM(SUM(F3,-F6,-F8,-F10)*SUM(1,Macrogegevens!C4,Macrogegevens!C12),-SUM(F3,-F6,-F8,-F10))</f>
        <v>-8813.1242439328926</v>
      </c>
      <c r="G12" s="42">
        <f>-SUM(SUM(G3,-G6,-G8,-G10)*SUM(1,Macrogegevens!C5,Macrogegevens!C6,-Macrogegevens!C11,Macrogegevens!C12),-SUM(G3,-G6,-G8,-G10))</f>
        <v>0</v>
      </c>
      <c r="N12" s="14"/>
      <c r="O12" s="43">
        <f>SUM(C12:G13)</f>
        <v>-24299150.455784664</v>
      </c>
      <c r="P12" s="21">
        <f>SUM(Q6,Q8,Q10,0.5*O12)*W10</f>
        <v>-533759.71840713464</v>
      </c>
      <c r="Q12" s="21">
        <f>SUM(O12:P12)</f>
        <v>-24832910.174191799</v>
      </c>
      <c r="R12" s="43">
        <f>SUM(C12:H13)</f>
        <v>-24299150.455784664</v>
      </c>
      <c r="S12" s="21">
        <f>SUM(W10*T6,SUM(W10,W21)*T8,SUM(W10,W22)*T10,SUM(W10,W23)*R12*0.5)</f>
        <v>-1639652.4922493021</v>
      </c>
      <c r="T12" s="21">
        <f>SUM(R12:S12)</f>
        <v>-25938802.948033966</v>
      </c>
      <c r="W12" s="3"/>
      <c r="X12" s="3"/>
      <c r="Y12" s="14">
        <f t="shared" si="2"/>
        <v>2005</v>
      </c>
      <c r="Z12" s="24">
        <v>3.3700000000000001E-2</v>
      </c>
      <c r="AA12" s="24">
        <f t="shared" si="0"/>
        <v>3.7699999999999997E-2</v>
      </c>
      <c r="AB12" s="24">
        <f t="shared" si="1"/>
        <v>3.9699999999999999E-2</v>
      </c>
    </row>
    <row r="13" spans="1:30" hidden="1" x14ac:dyDescent="0.25">
      <c r="B13" s="14" t="s">
        <v>56</v>
      </c>
      <c r="C13" s="16"/>
      <c r="D13" s="41"/>
      <c r="E13" s="16">
        <f>SUM(E11,1/4*$V$60)</f>
        <v>15795612.5</v>
      </c>
      <c r="F13" s="9"/>
      <c r="G13" s="9"/>
      <c r="N13" s="56">
        <f>SUM(C13:H13)</f>
        <v>15795612.5</v>
      </c>
      <c r="O13" s="21"/>
      <c r="P13" s="21"/>
      <c r="Q13" s="21"/>
      <c r="R13" s="21"/>
      <c r="S13" s="21"/>
      <c r="T13" s="21"/>
      <c r="W13" s="3"/>
      <c r="X13" s="3"/>
      <c r="Y13" s="14">
        <f t="shared" si="2"/>
        <v>2006</v>
      </c>
      <c r="Z13" s="24">
        <v>3.78E-2</v>
      </c>
      <c r="AA13" s="24">
        <f t="shared" si="0"/>
        <v>4.1800000000000004E-2</v>
      </c>
      <c r="AB13" s="24">
        <f t="shared" si="1"/>
        <v>4.3800000000000006E-2</v>
      </c>
    </row>
    <row r="14" spans="1:30" hidden="1" x14ac:dyDescent="0.25">
      <c r="B14" s="14" t="s">
        <v>112</v>
      </c>
      <c r="C14" s="42">
        <f>-C4*Macrogegevens!Y9*SUM(1,Macrogegevens!C5,Macrogegevens!C6,-Macrogegevens!C11)</f>
        <v>-26067007.627745323</v>
      </c>
      <c r="D14" s="42"/>
      <c r="E14" s="42">
        <f>E8</f>
        <v>-14248250</v>
      </c>
      <c r="F14" s="42">
        <f>-SUM(SUM(F3,-F6,-F8,-F10,-F12)*SUM(1,Macrogegevens!C4,Macrogegevens!C12),-SUM(F3,-F6,-F8,-F10,-F12))</f>
        <v>-9014.7238505199202</v>
      </c>
      <c r="G14" s="42">
        <f>-SUM(SUM(G3,-G6,-G8,-G10,-G12)*SUM(1,Macrogegevens!C5,Macrogegevens!C6,-Macrogegevens!C11,Macrogegevens!C12),-SUM(G3,-G6,-G8,-G10,-G12))</f>
        <v>0</v>
      </c>
      <c r="I14" s="45"/>
      <c r="J14" s="45"/>
      <c r="K14" s="45"/>
      <c r="L14" s="45"/>
      <c r="M14" s="45"/>
      <c r="N14" s="40"/>
      <c r="O14" s="43">
        <f>SUM(C14:G15)</f>
        <v>-24777047.351595841</v>
      </c>
      <c r="P14" s="21">
        <f>SUM(Q6,Q8,Q10,Q12,0.5*O14)*W10</f>
        <v>-684190.87013971899</v>
      </c>
      <c r="Q14" s="21">
        <f>SUM(O14:P14)</f>
        <v>-25461238.221735559</v>
      </c>
      <c r="R14" s="43">
        <f>SUM(C14:H15)</f>
        <v>-24777047.351595841</v>
      </c>
      <c r="S14" s="21">
        <f>SUM(W10*T6,SUM(W10,W21)*T8,SUM(W10,W22)*T10,SUM(W10,W23)*SUM(T12,R14*0.5))</f>
        <v>-2582051.542503126</v>
      </c>
      <c r="T14" s="21">
        <f>SUM(R14:S14)</f>
        <v>-27359098.894098967</v>
      </c>
      <c r="U14" s="2" t="s">
        <v>29</v>
      </c>
      <c r="V14" s="2"/>
      <c r="W14" s="2" t="s">
        <v>43</v>
      </c>
      <c r="X14" s="2"/>
      <c r="Y14" s="14">
        <f t="shared" si="2"/>
        <v>2007</v>
      </c>
      <c r="Z14" s="24">
        <v>4.2900000000000001E-2</v>
      </c>
      <c r="AA14" s="24">
        <f t="shared" si="0"/>
        <v>4.6899999999999997E-2</v>
      </c>
      <c r="AB14" s="24">
        <f t="shared" si="1"/>
        <v>4.8899999999999999E-2</v>
      </c>
    </row>
    <row r="15" spans="1:30" hidden="1" x14ac:dyDescent="0.25">
      <c r="B15" s="14" t="s">
        <v>113</v>
      </c>
      <c r="C15" s="16"/>
      <c r="D15" s="16"/>
      <c r="E15" s="16">
        <f>SUM(E11,2/4*$V$60)</f>
        <v>15547225</v>
      </c>
      <c r="F15" s="16"/>
      <c r="G15" s="16"/>
      <c r="J15" s="17"/>
      <c r="K15" s="17"/>
      <c r="L15" s="17"/>
      <c r="M15" s="17"/>
      <c r="N15" s="56">
        <f>SUM(C15:H15)</f>
        <v>15547225</v>
      </c>
      <c r="O15" s="21"/>
      <c r="P15" s="21"/>
      <c r="Q15" s="21"/>
      <c r="R15" s="21"/>
      <c r="S15" s="21"/>
      <c r="T15" s="21"/>
      <c r="U15" s="3" t="s">
        <v>730</v>
      </c>
      <c r="W15" s="7">
        <f>Macrogegevens!G7</f>
        <v>0.2</v>
      </c>
      <c r="X15" s="7">
        <f>SUM(1,-W15)</f>
        <v>0.8</v>
      </c>
      <c r="Y15" s="14">
        <f t="shared" si="2"/>
        <v>2008</v>
      </c>
      <c r="Z15" s="24">
        <v>4.2299999999999997E-2</v>
      </c>
      <c r="AA15" s="24">
        <f t="shared" si="0"/>
        <v>4.6299999999999994E-2</v>
      </c>
      <c r="AB15" s="24">
        <f t="shared" si="1"/>
        <v>4.8299999999999996E-2</v>
      </c>
    </row>
    <row r="16" spans="1:30" hidden="1" x14ac:dyDescent="0.25">
      <c r="B16" s="14" t="s">
        <v>541</v>
      </c>
      <c r="C16" s="42">
        <f>-C4*Macrogegevens!Y10*SUM(1,Macrogegevens!C5,Macrogegevens!C6,-Macrogegevens!C11)</f>
        <v>-26298350.514756877</v>
      </c>
      <c r="D16" s="42"/>
      <c r="E16" s="42">
        <f>E8</f>
        <v>-14248250</v>
      </c>
      <c r="F16" s="42">
        <f>-SUM(SUM(F3,-F6,-F8,-F10,-F12,-F14)*SUM(1,Macrogegevens!C4,Macrogegevens!C12),-SUM(F3,-F6,-F8,-F10,-F12,-F14))</f>
        <v>-9220.9350341426907</v>
      </c>
      <c r="G16" s="42">
        <f>-SUM(SUM(G3,-G6,-G8,-G10,-G12,-G14)*SUM(1,Macrogegevens!$C$5,Macrogegevens!C6,-Macrogegevens!C11,Macrogegevens!$C$12),-SUM(G3,-G6,-G8,-G10,-G12,-G14))</f>
        <v>0</v>
      </c>
      <c r="J16" s="17"/>
      <c r="K16" s="17"/>
      <c r="L16" s="17"/>
      <c r="M16" s="17"/>
      <c r="N16" s="17"/>
      <c r="O16" s="43">
        <f>SUM(C16:G17)</f>
        <v>-25256983.949791014</v>
      </c>
      <c r="P16" s="21">
        <f>SUM(Q6,Q8,Q10,Q12,Q14,0.5*O16)*W10</f>
        <v>-838398.1092647179</v>
      </c>
      <c r="Q16" s="21">
        <f>SUM(O16:P16)</f>
        <v>-26095382.059055731</v>
      </c>
      <c r="R16" s="43">
        <f>SUM(C16:H17)</f>
        <v>-25256983.949791014</v>
      </c>
      <c r="S16" s="21">
        <f>SUM(W10*T6,SUM(W10,W21)*T8,SUM(W10,W22)*T10,SUM(W10,W23)*SUM(T12,T14,R16*0.5))</f>
        <v>-3575617.9614582015</v>
      </c>
      <c r="T16" s="21">
        <f>SUM(R16:S16)</f>
        <v>-28832601.911249217</v>
      </c>
      <c r="U16" s="3" t="s">
        <v>731</v>
      </c>
      <c r="W16" s="7">
        <f>Macrogegevens!G8</f>
        <v>0.2</v>
      </c>
      <c r="X16" s="7">
        <f>SUM(1,-W16)</f>
        <v>0.8</v>
      </c>
      <c r="Y16" s="14">
        <f t="shared" si="2"/>
        <v>2009</v>
      </c>
      <c r="Z16" s="24">
        <v>3.6900000000000002E-2</v>
      </c>
      <c r="AA16" s="24">
        <f t="shared" si="0"/>
        <v>4.0900000000000006E-2</v>
      </c>
      <c r="AB16" s="24">
        <f t="shared" si="1"/>
        <v>4.2900000000000008E-2</v>
      </c>
    </row>
    <row r="17" spans="2:28" hidden="1" x14ac:dyDescent="0.25">
      <c r="B17" s="14" t="s">
        <v>542</v>
      </c>
      <c r="C17" s="16"/>
      <c r="D17" s="16"/>
      <c r="E17" s="16">
        <f>SUM(E11,3/4*V60)</f>
        <v>15298837.5</v>
      </c>
      <c r="F17" s="16"/>
      <c r="G17" s="16"/>
      <c r="J17" s="17"/>
      <c r="K17" s="17"/>
      <c r="L17" s="17"/>
      <c r="M17" s="17"/>
      <c r="N17" s="56">
        <f>SUM(C17:H17)</f>
        <v>15298837.5</v>
      </c>
      <c r="O17" s="21"/>
      <c r="P17" s="21"/>
      <c r="Q17" s="21"/>
      <c r="R17" s="21"/>
      <c r="S17" s="21"/>
      <c r="T17" s="21"/>
      <c r="W17" s="7"/>
      <c r="X17" s="7"/>
      <c r="Y17" s="14">
        <f t="shared" si="2"/>
        <v>2010</v>
      </c>
      <c r="Z17" s="24">
        <v>2.9899999999999999E-2</v>
      </c>
      <c r="AA17" s="24">
        <f t="shared" si="0"/>
        <v>3.39E-2</v>
      </c>
      <c r="AB17" s="24">
        <f t="shared" si="1"/>
        <v>3.5900000000000001E-2</v>
      </c>
    </row>
    <row r="18" spans="2:28" hidden="1" x14ac:dyDescent="0.25">
      <c r="B18" s="14" t="s">
        <v>561</v>
      </c>
      <c r="C18" s="42">
        <f>-C4*Macrogegevens!Y11*SUM(1,Macrogegevens!C5,Macrogegevens!C6,-Macrogegevens!C11)</f>
        <v>-26531746.553865336</v>
      </c>
      <c r="D18" s="42"/>
      <c r="E18" s="42">
        <f>E8</f>
        <v>-14248250</v>
      </c>
      <c r="F18" s="42">
        <f>-SUM(SUM(F3,-F6,-F8,-F10,-F12,-F14,-F16)*SUM(1,Macrogegevens!C4,Macrogegevens!C12),-SUM(F3,-F6,-F8,-F10,-F12,-F14,-F16))</f>
        <v>-9431.8632843063679</v>
      </c>
      <c r="G18" s="42">
        <f>-SUM(SUM(G3,-G6,-G8,-G10,-G12,-G14,-G16)*SUM(1,Macrogegevens!C5,Macrogegevens!C6,-Macrogegevens!C11,Macrogegevens!C12),-SUM(G3,-G6,-G8,-G10,-G12,-G14,-G16))</f>
        <v>0</v>
      </c>
      <c r="J18" s="7"/>
      <c r="K18" s="7"/>
      <c r="L18" s="7"/>
      <c r="M18" s="7"/>
      <c r="N18" s="14"/>
      <c r="O18" s="43">
        <f>SUM(C18:G19)</f>
        <v>-25738978.417149641</v>
      </c>
      <c r="P18" s="21">
        <f>SUM(Q6,Q8,Q10,Q12,Q14,Q16,0.5*O18)*W10</f>
        <v>-996416.38502112834</v>
      </c>
      <c r="Q18" s="21">
        <f>SUM(O18:P18)</f>
        <v>-26735394.802170768</v>
      </c>
      <c r="R18" s="43">
        <f>SUM(C18:H19)</f>
        <v>-25738978.417149641</v>
      </c>
      <c r="S18" s="21">
        <f>SUM(W10*T6,SUM(W10,W21)*T8,SUM(W10,W22)*T10,SUM(W10,W23)*SUM(T12,T14,T16,R18*0.5))</f>
        <v>-4622267.5306756282</v>
      </c>
      <c r="T18" s="21">
        <f>SUM(R18:S18)</f>
        <v>-30361245.947825268</v>
      </c>
      <c r="W18" s="7"/>
      <c r="X18" s="7"/>
      <c r="Y18" s="14">
        <f t="shared" si="2"/>
        <v>2011</v>
      </c>
      <c r="Z18" s="24">
        <v>2.98E-2</v>
      </c>
      <c r="AA18" s="24">
        <f t="shared" si="0"/>
        <v>3.3799999999999997E-2</v>
      </c>
      <c r="AB18" s="24">
        <f t="shared" si="1"/>
        <v>3.5799999999999998E-2</v>
      </c>
    </row>
    <row r="19" spans="2:28" hidden="1" x14ac:dyDescent="0.25">
      <c r="B19" s="14" t="s">
        <v>562</v>
      </c>
      <c r="C19" s="16"/>
      <c r="D19" s="16"/>
      <c r="E19" s="16">
        <f>SUM(E11,V60)</f>
        <v>15050450</v>
      </c>
      <c r="F19" s="16"/>
      <c r="G19" s="16"/>
      <c r="N19" s="56">
        <f>SUM(C19:H19)</f>
        <v>15050450</v>
      </c>
      <c r="O19" s="21"/>
      <c r="P19" s="21"/>
      <c r="Q19" s="21"/>
      <c r="R19" s="21"/>
      <c r="S19" s="21"/>
      <c r="T19" s="21"/>
      <c r="U19" s="3" t="s">
        <v>45</v>
      </c>
      <c r="W19" s="7">
        <f>Macrogegevens!G9</f>
        <v>0.12</v>
      </c>
      <c r="X19" s="7">
        <f>SUM(1,-W19)</f>
        <v>0.88</v>
      </c>
      <c r="Y19" s="14">
        <f t="shared" si="2"/>
        <v>2012</v>
      </c>
      <c r="Z19" s="24">
        <v>1.9300000000000001E-2</v>
      </c>
      <c r="AA19" s="24">
        <f t="shared" si="0"/>
        <v>2.3300000000000001E-2</v>
      </c>
      <c r="AB19" s="24">
        <f t="shared" si="1"/>
        <v>2.5300000000000003E-2</v>
      </c>
    </row>
    <row r="20" spans="2:28" hidden="1" x14ac:dyDescent="0.25">
      <c r="B20" s="14" t="s">
        <v>649</v>
      </c>
      <c r="C20" s="42">
        <f>-C4*Macrogegevens!Y12*SUM(1,Macrogegevens!C5,Macrogegevens!C6,-Macrogegevens!C11)</f>
        <v>-26767213.966653321</v>
      </c>
      <c r="D20" s="42"/>
      <c r="E20" s="42">
        <f>E8</f>
        <v>-14248250</v>
      </c>
      <c r="F20" s="42">
        <f>-SUM(SUM(F3,-F6,-F8,-F10,-F12,-F14,-F16,-F18)*SUM(1,Macrogegevens!C4,Macrogegevens!C12),-SUM(F3,-F6,-F8,-F10,-F12,-F14,-F16,-F18))</f>
        <v>-9647.6165035813465</v>
      </c>
      <c r="G20" s="42">
        <f>-SUM(SUM(G3,-G6,-G8,-G10,-G12,-G14,-G16,-G18)*SUM(1,Macrogegevens!C5,Macrogegevens!C6,-Macrogegevens!C11,Macrogegevens!C12),-SUM(G3,-G6,-G8,-G10,-G12,-G14,-G16,-G18))</f>
        <v>0</v>
      </c>
      <c r="N20" s="14"/>
      <c r="O20" s="43">
        <f>SUM(C20:G21)</f>
        <v>-25974661.583156899</v>
      </c>
      <c r="P20" s="21">
        <f>SUM(Q6,Q8,Q10,Q12,Q14,Q16,Q18,0.5*O20)*W10</f>
        <v>-1157535.8033321744</v>
      </c>
      <c r="Q20" s="21">
        <f>SUM(O20:P20)</f>
        <v>-27132197.386489075</v>
      </c>
      <c r="R20" s="43">
        <f>SUM(C20:H21)</f>
        <v>-25974661.583156899</v>
      </c>
      <c r="S20" s="21">
        <f>SUM(W10*T6,SUM(W10,W21)*T8,SUM(W10,W22)*T10,SUM(W10,W23)*SUM(T12,T14,T16,T18,R20*0.5))</f>
        <v>-5719514.6817854699</v>
      </c>
      <c r="T20" s="21">
        <f>SUM(R20:S20)</f>
        <v>-31694176.26494237</v>
      </c>
      <c r="U20" s="3" t="s">
        <v>44</v>
      </c>
      <c r="W20" s="7">
        <f>Macrogegevens!G10</f>
        <v>0.12</v>
      </c>
      <c r="X20" s="7">
        <f>SUM(1,-W20)</f>
        <v>0.88</v>
      </c>
      <c r="Y20" s="14">
        <f t="shared" si="2"/>
        <v>2013</v>
      </c>
      <c r="Z20" s="24">
        <v>1.9599999999999999E-2</v>
      </c>
      <c r="AA20" s="24">
        <f t="shared" si="0"/>
        <v>2.3599999999999999E-2</v>
      </c>
      <c r="AB20" s="24">
        <f t="shared" si="1"/>
        <v>2.5599999999999998E-2</v>
      </c>
    </row>
    <row r="21" spans="2:28" hidden="1" x14ac:dyDescent="0.25">
      <c r="B21" s="14" t="s">
        <v>650</v>
      </c>
      <c r="C21" s="16"/>
      <c r="D21" s="16"/>
      <c r="E21" s="16">
        <f>SUM(E11,V60)</f>
        <v>15050450</v>
      </c>
      <c r="F21" s="16"/>
      <c r="G21" s="16"/>
      <c r="N21" s="56">
        <f>SUM(C21:H21)</f>
        <v>15050450</v>
      </c>
      <c r="O21" s="21"/>
      <c r="P21" s="21"/>
      <c r="Q21" s="21"/>
      <c r="R21" s="21"/>
      <c r="S21" s="21"/>
      <c r="T21" s="21"/>
      <c r="U21" s="3" t="s">
        <v>700</v>
      </c>
      <c r="W21" s="19">
        <f>Macrogegevens!G12</f>
        <v>0.01</v>
      </c>
      <c r="X21" s="3"/>
      <c r="Y21" s="14">
        <f t="shared" si="2"/>
        <v>2014</v>
      </c>
      <c r="Z21" s="24">
        <v>1.4500000000000001E-2</v>
      </c>
      <c r="AA21" s="24">
        <f t="shared" si="0"/>
        <v>1.8500000000000003E-2</v>
      </c>
      <c r="AB21" s="24">
        <f t="shared" si="1"/>
        <v>2.0500000000000004E-2</v>
      </c>
    </row>
    <row r="22" spans="2:28" hidden="1" x14ac:dyDescent="0.25">
      <c r="B22" s="14" t="s">
        <v>780</v>
      </c>
      <c r="C22" s="42">
        <f>-C4*Macrogegevens!Y13*SUM(1,Macrogegevens!C5,Macrogegevens!C6,-Macrogegevens!C11)</f>
        <v>-27004771.136418771</v>
      </c>
      <c r="D22" s="42"/>
      <c r="E22" s="42">
        <f>E8</f>
        <v>-14248250</v>
      </c>
      <c r="F22" s="42">
        <f>-SUM(SUM(F3,-F6,-F8,-F10,-F12,-F14,-F16,-F18,-F20)*SUM(1,Macrogegevens!C4,Macrogegevens!C12),-SUM(F3,-F6,-F8,-F10,-F12,-F14,-F16,-F18,-F20))</f>
        <v>-9868.30506280181</v>
      </c>
      <c r="G22" s="42">
        <f>-SUM(SUM(G3,-G6,-G8,-G10,-G12,-G14,-G16,-G18,-G20)*SUM(1,Macrogegevens!C5,Macrogegevens!C6,-Macrogegevens!C11,Macrogegevens!C12),-SUM(G3,-G6,-G8,-G10,-G12,-G14,-G16,-G18,-G20))</f>
        <v>0</v>
      </c>
      <c r="N22" s="14"/>
      <c r="O22" s="43">
        <f>SUM(C22:G23)</f>
        <v>-26212439.441481575</v>
      </c>
      <c r="P22" s="21">
        <f>SUM(Q6,Q8,Q10,Q12,Q14,Q16,Q18,Q20,0.5*O22)*W10</f>
        <v>-1321042.321226083</v>
      </c>
      <c r="Q22" s="21">
        <f>SUM(O22:P22)</f>
        <v>-27533481.762707658</v>
      </c>
      <c r="R22" s="43">
        <f>SUM(C22:H23)</f>
        <v>-26212439.441481575</v>
      </c>
      <c r="S22" s="21">
        <f>SUM(W10*T6,SUM(W10,W21)*T8,SUM(W10,W22)*T10,SUM(W10,W23)*SUM(T12,T14,T16,T18,T20,R22*0.5))</f>
        <v>-6864785.0287732389</v>
      </c>
      <c r="T22" s="21">
        <f>SUM(R22:S22)</f>
        <v>-33077224.470254816</v>
      </c>
      <c r="U22" s="3" t="s">
        <v>701</v>
      </c>
      <c r="W22" s="19">
        <f>Macrogegevens!G13</f>
        <v>0.02</v>
      </c>
      <c r="X22" s="3"/>
      <c r="Y22" s="14">
        <f t="shared" si="2"/>
        <v>2015</v>
      </c>
      <c r="Z22" s="24">
        <v>6.8999999999999999E-3</v>
      </c>
      <c r="AA22" s="24">
        <f t="shared" si="0"/>
        <v>1.09E-2</v>
      </c>
      <c r="AB22" s="24">
        <f t="shared" si="1"/>
        <v>1.29E-2</v>
      </c>
    </row>
    <row r="23" spans="2:28" hidden="1" x14ac:dyDescent="0.25">
      <c r="B23" s="14" t="s">
        <v>781</v>
      </c>
      <c r="C23" s="16"/>
      <c r="D23" s="16"/>
      <c r="E23" s="16">
        <f>SUM(E11,V60)</f>
        <v>15050450</v>
      </c>
      <c r="F23" s="16"/>
      <c r="G23" s="16"/>
      <c r="N23" s="56">
        <f>SUM(C23:H23)</f>
        <v>15050450</v>
      </c>
      <c r="O23" s="21"/>
      <c r="P23" s="21"/>
      <c r="Q23" s="21"/>
      <c r="R23" s="21"/>
      <c r="S23" s="21"/>
      <c r="T23" s="21"/>
      <c r="U23" s="3" t="s">
        <v>702</v>
      </c>
      <c r="W23" s="19">
        <f>Macrogegevens!G14</f>
        <v>0.03</v>
      </c>
      <c r="X23" s="3"/>
      <c r="Y23" s="14">
        <f t="shared" si="2"/>
        <v>2016</v>
      </c>
      <c r="Z23" s="24">
        <v>2.8999999999999998E-3</v>
      </c>
      <c r="AA23" s="24">
        <f>SUM(Z23,0.4%)</f>
        <v>6.8999999999999999E-3</v>
      </c>
      <c r="AB23" s="24">
        <f>SUM(AA23,0.2%)</f>
        <v>8.8999999999999999E-3</v>
      </c>
    </row>
    <row r="24" spans="2:28" hidden="1" x14ac:dyDescent="0.25">
      <c r="B24" s="14" t="s">
        <v>782</v>
      </c>
      <c r="C24" s="42">
        <f>-C4*Macrogegevens!Y14*SUM(1,Macrogegevens!C5,Macrogegevens!C6,-Macrogegevens!C11)</f>
        <v>-27244436.609610092</v>
      </c>
      <c r="D24" s="42"/>
      <c r="E24" s="42">
        <f>E8</f>
        <v>-14248250</v>
      </c>
      <c r="F24" s="42">
        <f>-SUM(SUM(F3,-F6,-F8,-F10,-F12,-F14,-F16,-F18,-F20,-F22)*SUM(1,Macrogegevens!C4,Macrogegevens!C12),-SUM(F3,-F6,-F8,-F10,-F12,-F14,-F16,-F18,-F20,-F22))</f>
        <v>-10094.04185752722</v>
      </c>
      <c r="G24" s="42">
        <f>-SUM(SUM(G3,-G6,-G8,-G10,-G12,-G14,-G16,-G18,-G20,-G22)*SUM(1,Macrogegevens!C5,Macrogegevens!C6,-Macrogegevens!C11,Macrogegevens!C12),-SUM(G3,-G6,-G8,-G10,-G12,-G14,-G16,-G18,-G20,-G22))</f>
        <v>0</v>
      </c>
      <c r="N24" s="14"/>
      <c r="O24" s="43">
        <f>SUM(C24:G25)</f>
        <v>-26452330.651467621</v>
      </c>
      <c r="P24" s="21">
        <f>SUM(Q6,Q8,Q10,Q12,Q14,Q16,Q18,Q20,Q22,0.5*O24)*W10</f>
        <v>-1486962.8854322871</v>
      </c>
      <c r="Q24" s="21">
        <f>SUM(O24:P24)</f>
        <v>-27939293.536899909</v>
      </c>
      <c r="R24" s="43">
        <f>SUM(C24:H25)</f>
        <v>-26452330.651467621</v>
      </c>
      <c r="S24" s="21">
        <f>SUM(W10*T6,SUM(W10,W21)*T8,SUM(W10,W22)*T10,SUM(W10,W23)*SUM(T12,T14,T16,T18,T20,T22,R24*0.5))</f>
        <v>-8059883.1514821602</v>
      </c>
      <c r="T24" s="21">
        <f>SUM(R24:S24)</f>
        <v>-34512213.802949779</v>
      </c>
      <c r="U24" s="14" t="s">
        <v>573</v>
      </c>
      <c r="V24" s="14"/>
      <c r="W24" s="7">
        <f>Macrogegevens!G19</f>
        <v>0</v>
      </c>
      <c r="X24" s="7">
        <f>SUM(1,-W24)</f>
        <v>1</v>
      </c>
      <c r="Y24" s="14">
        <f t="shared" si="2"/>
        <v>2017</v>
      </c>
      <c r="Z24" s="24">
        <v>5.1999999999999998E-3</v>
      </c>
      <c r="AA24" s="24">
        <f>SUM(Z24,0.4%)</f>
        <v>9.1999999999999998E-3</v>
      </c>
      <c r="AB24" s="24">
        <f>SUM(AA24,0.2%)</f>
        <v>1.12E-2</v>
      </c>
    </row>
    <row r="25" spans="2:28" hidden="1" x14ac:dyDescent="0.25">
      <c r="B25" s="14" t="s">
        <v>783</v>
      </c>
      <c r="C25" s="16"/>
      <c r="D25" s="16"/>
      <c r="E25" s="16">
        <f>SUM(E11,V60)</f>
        <v>15050450</v>
      </c>
      <c r="F25" s="16"/>
      <c r="G25" s="16"/>
      <c r="N25" s="56">
        <f>SUM(C25:H25)</f>
        <v>15050450</v>
      </c>
      <c r="O25" s="12"/>
      <c r="P25" s="12"/>
      <c r="W25" s="3"/>
      <c r="X25" s="3"/>
      <c r="Y25" s="14">
        <f t="shared" si="2"/>
        <v>2018</v>
      </c>
      <c r="Z25" s="24">
        <v>5.7999999999999996E-3</v>
      </c>
      <c r="AA25" s="24">
        <f>SUM(Z25,0.4%)</f>
        <v>9.7999999999999997E-3</v>
      </c>
      <c r="AB25" s="24">
        <f>SUM(AA25,0.2%)</f>
        <v>1.18E-2</v>
      </c>
    </row>
    <row r="26" spans="2:28" hidden="1" x14ac:dyDescent="0.25">
      <c r="N26" s="14"/>
      <c r="W26" s="3"/>
      <c r="Z26" s="24"/>
      <c r="AA26" s="24"/>
      <c r="AB26" s="24"/>
    </row>
    <row r="27" spans="2:28" hidden="1" x14ac:dyDescent="0.25">
      <c r="N27" s="14"/>
      <c r="W27" s="3"/>
      <c r="Z27" s="24"/>
      <c r="AA27" s="24"/>
      <c r="AB27" s="24"/>
    </row>
    <row r="28" spans="2:28" hidden="1" x14ac:dyDescent="0.25">
      <c r="N28" s="14"/>
      <c r="W28" s="3"/>
    </row>
    <row r="29" spans="2:28" hidden="1" x14ac:dyDescent="0.25">
      <c r="N29" s="14"/>
      <c r="W29" s="3"/>
    </row>
    <row r="30" spans="2:28" hidden="1" x14ac:dyDescent="0.25">
      <c r="N30" s="14"/>
      <c r="W30" s="3"/>
    </row>
    <row r="31" spans="2:28" hidden="1" x14ac:dyDescent="0.25">
      <c r="N31" s="14"/>
      <c r="W31" s="3"/>
    </row>
    <row r="32" spans="2:28" hidden="1" x14ac:dyDescent="0.25">
      <c r="N32" s="14"/>
      <c r="W32" s="3"/>
    </row>
    <row r="33" spans="14:23" hidden="1" x14ac:dyDescent="0.25">
      <c r="N33" s="14"/>
      <c r="W33" s="3"/>
    </row>
    <row r="34" spans="14:23" hidden="1" x14ac:dyDescent="0.25">
      <c r="N34" s="14"/>
      <c r="W34" s="3"/>
    </row>
    <row r="35" spans="14:23" hidden="1" x14ac:dyDescent="0.25">
      <c r="N35" s="14"/>
      <c r="W35" s="3"/>
    </row>
    <row r="36" spans="14:23" hidden="1" x14ac:dyDescent="0.25">
      <c r="N36" s="14"/>
      <c r="W36" s="3"/>
    </row>
    <row r="37" spans="14:23" hidden="1" x14ac:dyDescent="0.25">
      <c r="N37" s="14"/>
      <c r="W37" s="3"/>
    </row>
    <row r="38" spans="14:23" hidden="1" x14ac:dyDescent="0.25">
      <c r="N38" s="14"/>
      <c r="W38" s="3"/>
    </row>
    <row r="39" spans="14:23" hidden="1" x14ac:dyDescent="0.25">
      <c r="N39" s="14"/>
      <c r="W39" s="3"/>
    </row>
    <row r="40" spans="14:23" hidden="1" x14ac:dyDescent="0.25">
      <c r="N40" s="14"/>
      <c r="W40" s="3"/>
    </row>
    <row r="41" spans="14:23" hidden="1" x14ac:dyDescent="0.25">
      <c r="N41" s="14"/>
      <c r="W41" s="3"/>
    </row>
    <row r="42" spans="14:23" hidden="1" x14ac:dyDescent="0.25">
      <c r="N42" s="14"/>
      <c r="W42" s="3"/>
    </row>
    <row r="43" spans="14:23" hidden="1" x14ac:dyDescent="0.25">
      <c r="N43" s="14"/>
      <c r="W43" s="3"/>
    </row>
    <row r="44" spans="14:23" hidden="1" x14ac:dyDescent="0.25">
      <c r="N44" s="14"/>
      <c r="W44" s="3"/>
    </row>
    <row r="45" spans="14:23" hidden="1" x14ac:dyDescent="0.25">
      <c r="N45" s="14"/>
      <c r="W45" s="3"/>
    </row>
    <row r="46" spans="14:23" hidden="1" x14ac:dyDescent="0.25">
      <c r="N46" s="14"/>
      <c r="W46" s="3"/>
    </row>
    <row r="47" spans="14:23" hidden="1" x14ac:dyDescent="0.25">
      <c r="N47" s="14"/>
      <c r="W47" s="3"/>
    </row>
    <row r="48" spans="14:23" hidden="1" x14ac:dyDescent="0.25">
      <c r="N48" s="14"/>
      <c r="W48" s="3"/>
    </row>
    <row r="49" spans="1:28" hidden="1" x14ac:dyDescent="0.25">
      <c r="N49" s="14"/>
      <c r="W49" s="3"/>
    </row>
    <row r="50" spans="1:28" hidden="1" x14ac:dyDescent="0.25">
      <c r="N50" s="14"/>
      <c r="W50" s="3"/>
    </row>
    <row r="51" spans="1:28" hidden="1" x14ac:dyDescent="0.25">
      <c r="N51" s="14"/>
      <c r="W51" s="3"/>
    </row>
    <row r="52" spans="1:28" hidden="1" x14ac:dyDescent="0.25">
      <c r="N52" s="16"/>
      <c r="Y52" s="78" t="s">
        <v>128</v>
      </c>
      <c r="Z52" s="78">
        <v>15</v>
      </c>
      <c r="AA52" s="14" t="s">
        <v>126</v>
      </c>
      <c r="AB52" s="14" t="s">
        <v>125</v>
      </c>
    </row>
    <row r="53" spans="1:28" hidden="1" x14ac:dyDescent="0.25">
      <c r="A53" s="44" t="s">
        <v>99</v>
      </c>
      <c r="C53" s="14" t="s">
        <v>33</v>
      </c>
      <c r="D53" s="14" t="s">
        <v>34</v>
      </c>
      <c r="E53" s="14" t="s">
        <v>35</v>
      </c>
      <c r="F53" s="14" t="s">
        <v>652</v>
      </c>
      <c r="G53" s="14" t="s">
        <v>654</v>
      </c>
      <c r="H53" s="14" t="s">
        <v>27</v>
      </c>
      <c r="I53" s="14" t="s">
        <v>36</v>
      </c>
      <c r="J53" s="14" t="s">
        <v>37</v>
      </c>
      <c r="K53" s="14" t="s">
        <v>655</v>
      </c>
      <c r="L53" s="14" t="s">
        <v>32</v>
      </c>
      <c r="M53" s="14" t="s">
        <v>28</v>
      </c>
      <c r="N53" s="3" t="s">
        <v>39</v>
      </c>
      <c r="O53" s="3" t="s">
        <v>40</v>
      </c>
      <c r="P53" s="3" t="s">
        <v>41</v>
      </c>
      <c r="Q53" s="3" t="s">
        <v>42</v>
      </c>
      <c r="R53" s="3" t="s">
        <v>62</v>
      </c>
      <c r="S53" s="3" t="s">
        <v>115</v>
      </c>
      <c r="T53" s="3" t="s">
        <v>95</v>
      </c>
      <c r="U53" s="2" t="s">
        <v>532</v>
      </c>
      <c r="Y53" s="78" t="s">
        <v>127</v>
      </c>
      <c r="Z53" s="78"/>
    </row>
    <row r="54" spans="1:28" hidden="1" x14ac:dyDescent="0.25">
      <c r="B54" s="14" t="s">
        <v>784</v>
      </c>
      <c r="C54" s="9">
        <f>Balansprognose!B13</f>
        <v>7693000</v>
      </c>
      <c r="D54" s="9">
        <f>Balansprognose!B14</f>
        <v>14388000</v>
      </c>
      <c r="E54" s="9">
        <f>Balansprognose!B17</f>
        <v>0</v>
      </c>
      <c r="F54" s="9">
        <f>Balansprognose!B24</f>
        <v>10490000</v>
      </c>
      <c r="G54" s="9">
        <f>Balansprognose!B26</f>
        <v>83178000</v>
      </c>
      <c r="H54" s="9">
        <f>Balansprognose!B28</f>
        <v>14169000</v>
      </c>
      <c r="I54" s="87">
        <f>-Balansprognose!F11</f>
        <v>-77875000</v>
      </c>
      <c r="J54" s="87">
        <f>-Balansprognose!F12</f>
        <v>-110000</v>
      </c>
      <c r="K54" s="87">
        <f>-Balansprognose!F17</f>
        <v>0</v>
      </c>
      <c r="L54" s="87">
        <f>-Balansprognose!F19</f>
        <v>-5694000</v>
      </c>
      <c r="M54" s="87">
        <f>-Balansprognose!F21</f>
        <v>-23153000</v>
      </c>
      <c r="N54" s="21"/>
      <c r="O54" s="21"/>
      <c r="P54" s="21">
        <f>SUM(C54:O54)</f>
        <v>23086000</v>
      </c>
      <c r="Q54" s="21"/>
      <c r="R54" s="21"/>
      <c r="Y54" s="14">
        <f>SUM(Y25,1)</f>
        <v>2019</v>
      </c>
      <c r="Z54" s="14">
        <f>Z52</f>
        <v>15</v>
      </c>
      <c r="AA54" s="24">
        <f>SUM(AA11*1/Z54,AA12*1/Z54,AA13*1/Z54,AA14*1/Z54,AA15*1/Z54,AA16*1/$Z$54,AA17*1/$Z$54,AA18*1/$Z$54,AA19*1/$Z$54,AA20*1/$Z$54,AA21*1/$Z$54,AA22*1/$Z$54,AA23*1/$Z$54,AA24*1/$Z$54,AA25*1/$Z$54)</f>
        <v>2.8559999999999999E-2</v>
      </c>
      <c r="AB54" s="24">
        <f>SUM(AA54,0.2%)</f>
        <v>3.0559999999999997E-2</v>
      </c>
    </row>
    <row r="55" spans="1:28" hidden="1" x14ac:dyDescent="0.25">
      <c r="B55" s="14" t="s">
        <v>785</v>
      </c>
      <c r="C55" s="9">
        <f>C54/Z54</f>
        <v>512866.66666666669</v>
      </c>
      <c r="D55" s="9">
        <f>D54/Z54</f>
        <v>959200</v>
      </c>
      <c r="E55" s="9">
        <f>E54/Z54</f>
        <v>0</v>
      </c>
      <c r="F55" s="9">
        <v>0</v>
      </c>
      <c r="G55" s="9">
        <v>0</v>
      </c>
      <c r="H55" s="9">
        <v>0</v>
      </c>
      <c r="I55" s="42">
        <f>I54/Z54</f>
        <v>-5191666.666666667</v>
      </c>
      <c r="J55" s="42">
        <f>J54/Z54</f>
        <v>-7333.333333333333</v>
      </c>
      <c r="K55" s="9">
        <v>0</v>
      </c>
      <c r="L55" s="9">
        <v>0</v>
      </c>
      <c r="M55" s="9">
        <v>0</v>
      </c>
      <c r="N55" s="55">
        <f>SUM(-Balansprognose!C41,-Balansprognose!C42,-Balansprognose!C43)</f>
        <v>-1472066.6666666667</v>
      </c>
      <c r="O55" s="12">
        <f>-SUM(C55,D55,E55,F55,G55,H55,I55,J55,K55,L55,M55,N55)</f>
        <v>5199000</v>
      </c>
      <c r="P55" s="21">
        <f>SUM(P54,R55)</f>
        <v>21622039.576000001</v>
      </c>
      <c r="Q55" s="21">
        <f>SUM((SUM(C54,-C55)*C56),(SUM(D54,-D55)*D56),(SUM(E54,-E55)*E56),(SUM(G54,-G55)*G56),(SUM(I54,-I55)*I56),(SUM(J54,-J55)*J56),(SUM(K54,-K55)*K56),(-N55*N56),(-O55*O56))</f>
        <v>-1463960.4239999996</v>
      </c>
      <c r="R55" s="21">
        <f>SUM(C55,D55,E55,F55,G55,H55,I55,J55,K55,L55,M55,N55,O55,Q55)</f>
        <v>-1463960.4239999996</v>
      </c>
      <c r="S55" s="21">
        <f>SUM((SUM(I54,-I55)*I56),(SUM(J54,-J55)*J56),(SUM(K54,-K55)*K56),(-O55*O56))</f>
        <v>-2109962.1599999997</v>
      </c>
      <c r="T55" s="43">
        <f>SUM((SUM(C54,-C55)*C56),(SUM(D54,-D55)*D56),(SUM(E54,-E55)*E56),(SUM(G54,-G55)*G56),(-N55*N56))</f>
        <v>646001.73599999992</v>
      </c>
      <c r="U55" s="129" t="s">
        <v>533</v>
      </c>
      <c r="V55" s="42">
        <f>E10</f>
        <v>-14248250</v>
      </c>
      <c r="W55" s="16"/>
      <c r="Y55" s="14">
        <f>SUM(Y54,1)</f>
        <v>2020</v>
      </c>
      <c r="Z55" s="14">
        <f>SUM(Z52,-1)</f>
        <v>14</v>
      </c>
      <c r="AA55" s="24">
        <f>SUM(AA12*1/Z55,AA13*1/Z55,AA14*1/Z55,AA15*1/Z55,AA16*1/Z55,AA17*1/$Z$55,AA18*1/$Z$55,AA19*1/$Z$55,AA20*1/$Z$55,AA21*1/$Z$55,AA22*1/$Z$55,AA23*1/$Z$55,AA24*1/$Z$55,AA25*1/$Z$55)</f>
        <v>2.7392857142857135E-2</v>
      </c>
      <c r="AB55" s="24">
        <f t="shared" ref="AB55:AB63" si="3">SUM(AA55,0.2%)</f>
        <v>2.9392857142857137E-2</v>
      </c>
    </row>
    <row r="56" spans="1:28" ht="12.6" hidden="1" customHeight="1" x14ac:dyDescent="0.25">
      <c r="B56" s="14" t="s">
        <v>725</v>
      </c>
      <c r="C56" s="4">
        <f>AB54</f>
        <v>3.0559999999999997E-2</v>
      </c>
      <c r="D56" s="4">
        <f>AB54</f>
        <v>3.0559999999999997E-2</v>
      </c>
      <c r="E56" s="4">
        <f>AB54</f>
        <v>3.0559999999999997E-2</v>
      </c>
      <c r="F56" s="19"/>
      <c r="G56" s="4">
        <f>W8</f>
        <v>0</v>
      </c>
      <c r="H56" s="19"/>
      <c r="I56" s="4">
        <f>AA54</f>
        <v>2.8559999999999999E-2</v>
      </c>
      <c r="J56" s="4">
        <f>AA54</f>
        <v>2.8559999999999999E-2</v>
      </c>
      <c r="K56" s="4">
        <f>W9</f>
        <v>0</v>
      </c>
      <c r="L56" s="19"/>
      <c r="M56" s="19"/>
      <c r="N56" s="8">
        <f>W7</f>
        <v>1.0999999999999999E-2</v>
      </c>
      <c r="O56" s="8">
        <f>W10</f>
        <v>6.0000000000000001E-3</v>
      </c>
      <c r="P56" s="19">
        <f>Q55/P55</f>
        <v>-6.7706860809974845E-2</v>
      </c>
      <c r="R56" s="8">
        <f>W10</f>
        <v>6.0000000000000001E-3</v>
      </c>
      <c r="U56" s="129" t="s">
        <v>534</v>
      </c>
      <c r="V56" s="16">
        <f>E11</f>
        <v>16044000</v>
      </c>
      <c r="W56" s="56"/>
      <c r="Y56" s="14">
        <f t="shared" ref="Y56:Y63" si="4">SUM(Y55,1)</f>
        <v>2021</v>
      </c>
      <c r="Z56" s="14">
        <f>SUM(Z52,-2)</f>
        <v>13</v>
      </c>
      <c r="AA56" s="24">
        <f>SUM(AA13*1/Z56,AA14*1/Z56,AA15*1/Z56,AA16*1/Z56,AA17*1/Z56,$AA$18*1/Z56,$AA$19*1/Z56,$AA$20*1/Z56,$AA$21*1/Z56,$AA$22*1/Z56,$AA$23*1/Z56,$AA$24*1/Z56,$AA$25*1/Z56)</f>
        <v>2.6599999999999999E-2</v>
      </c>
      <c r="AB56" s="24">
        <f t="shared" si="3"/>
        <v>2.86E-2</v>
      </c>
    </row>
    <row r="57" spans="1:28" hidden="1" x14ac:dyDescent="0.25">
      <c r="B57" s="14" t="s">
        <v>797</v>
      </c>
      <c r="C57" s="9">
        <f>C54/Z54</f>
        <v>512866.66666666669</v>
      </c>
      <c r="D57" s="9">
        <f>D54/Z54</f>
        <v>959200</v>
      </c>
      <c r="E57" s="9">
        <f>E54/Z54</f>
        <v>0</v>
      </c>
      <c r="F57" s="12"/>
      <c r="G57" s="12"/>
      <c r="H57" s="12"/>
      <c r="I57" s="42">
        <f>I54/Z54</f>
        <v>-5191666.666666667</v>
      </c>
      <c r="J57" s="42">
        <f>J54/Z54</f>
        <v>-7333.333333333333</v>
      </c>
      <c r="K57" s="12"/>
      <c r="L57" s="12"/>
      <c r="M57" s="12"/>
      <c r="N57" s="55">
        <f>SUM(-C57,-D57)</f>
        <v>-1472066.6666666667</v>
      </c>
      <c r="O57" s="12">
        <f>SUM(-C57,-D57,-E57,-I57,-J57,-N57)</f>
        <v>5199000</v>
      </c>
      <c r="P57" s="21">
        <f>SUM(P55,R57)</f>
        <v>20294339.432503622</v>
      </c>
      <c r="Q57" s="21">
        <f>SUM((SUM(C54,-C55,-C57)*C58),(SUM(D54,-D55,-D57)*D58),(SUM(E54,-E55,-E57)*E58),(F54*F58),(SUM(G54,-G55)*G58),(H54*H58),(SUM(I54,-I55,-I57)*I58),(SUM(J54,-J55,-J57)*J58),(SUM(K54,-K55)*K58),(L54*L58),(M54*M58),(SUM(-N55,-N57)*N58),(SUM(-O55,-O57)*O58),(R55*R56))</f>
        <v>-1327700.1434963804</v>
      </c>
      <c r="R57" s="21">
        <f>SUM(C57,D57,N57,Q57)</f>
        <v>-1327700.1434963804</v>
      </c>
      <c r="S57" s="21">
        <f>SUM((SUM(I54,-I55,-I57)*I58),(SUM(J54,-J55,-J57)*J58),(SUM(K54,-K55)*K58),(SUM(-O55,-O57)*O58),(R55*R56))</f>
        <v>-1922572.798258285</v>
      </c>
      <c r="T57" s="43">
        <f>SUM((SUM(C54,-C55,-C57)*C58),(SUM(D54,-D55,-D57)*D58),(SUM(E54,-E55,-E57)*E58),(SUM(G54,-G55)*G58),(SUM(-N55,-N57)*N58))</f>
        <v>594872.65476190462</v>
      </c>
      <c r="U57" s="26" t="s">
        <v>535</v>
      </c>
      <c r="V57" s="43">
        <f>-SUM(V55,V56)</f>
        <v>-1795750</v>
      </c>
      <c r="Y57" s="14">
        <f t="shared" si="4"/>
        <v>2022</v>
      </c>
      <c r="Z57" s="14">
        <f>SUM(Z52,-3)</f>
        <v>12</v>
      </c>
      <c r="AA57" s="24">
        <f>SUM(AA14*1/Z57,AA15*1/Z57,AA16*1/Z57,AA17*1/Z57,AA18*1/Z57,$AA$19*1/Z57,$AA$20*1/Z57,$AA$21*1/Z57,$AA$22*1/Z57,$AA$23*1/Z57,$AA$24*1/Z57,$AA$25*1/Z57)</f>
        <v>2.5333333333333333E-2</v>
      </c>
      <c r="AB57" s="24">
        <f t="shared" si="3"/>
        <v>2.7333333333333334E-2</v>
      </c>
    </row>
    <row r="58" spans="1:28" hidden="1" x14ac:dyDescent="0.25">
      <c r="B58" s="14" t="s">
        <v>798</v>
      </c>
      <c r="C58" s="4">
        <f>AB55</f>
        <v>2.9392857142857137E-2</v>
      </c>
      <c r="D58" s="4">
        <f>AB55</f>
        <v>2.9392857142857137E-2</v>
      </c>
      <c r="E58" s="4">
        <f>AB55</f>
        <v>2.9392857142857137E-2</v>
      </c>
      <c r="F58" s="19"/>
      <c r="G58" s="19">
        <f>$W$8</f>
        <v>0</v>
      </c>
      <c r="H58" s="19"/>
      <c r="I58" s="4">
        <f>AA55</f>
        <v>2.7392857142857135E-2</v>
      </c>
      <c r="J58" s="4">
        <f>AA55</f>
        <v>2.7392857142857135E-2</v>
      </c>
      <c r="K58" s="19">
        <f>W9</f>
        <v>0</v>
      </c>
      <c r="L58" s="19"/>
      <c r="M58" s="19"/>
      <c r="N58" s="8">
        <f>W7</f>
        <v>1.0999999999999999E-2</v>
      </c>
      <c r="O58" s="8">
        <f>W10</f>
        <v>6.0000000000000001E-3</v>
      </c>
      <c r="P58" s="19">
        <f>Q57/P57</f>
        <v>-6.5422190651345968E-2</v>
      </c>
      <c r="Q58" s="12"/>
      <c r="R58" s="8">
        <f>W10</f>
        <v>6.0000000000000001E-3</v>
      </c>
      <c r="U58" s="26" t="s">
        <v>801</v>
      </c>
      <c r="V58" s="12">
        <f>V56*0.05</f>
        <v>802200</v>
      </c>
      <c r="Y58" s="14">
        <f t="shared" si="4"/>
        <v>2023</v>
      </c>
      <c r="Z58" s="14">
        <f>SUM(Z52,-4)</f>
        <v>11</v>
      </c>
      <c r="AA58" s="24">
        <f>SUM(AA15*1/Z58,AA16*1/Z58,AA17*1/Z58,AA18*1/Z58,AA19*1/Z58,$AA$20*1/Z58,$AA$21*1/Z58,$AA$22*1/Z58,$AA$23*1/Z58,$AA$24*1/Z58,$AA$25*1/Z58)</f>
        <v>2.3372727272727271E-2</v>
      </c>
      <c r="AB58" s="24">
        <f t="shared" si="3"/>
        <v>2.5372727272727269E-2</v>
      </c>
    </row>
    <row r="59" spans="1:28" hidden="1" x14ac:dyDescent="0.25">
      <c r="B59" s="14" t="s">
        <v>787</v>
      </c>
      <c r="C59" s="9">
        <f>C54/Z54</f>
        <v>512866.66666666669</v>
      </c>
      <c r="D59" s="9">
        <f>D54/Z54</f>
        <v>959200</v>
      </c>
      <c r="E59" s="9">
        <f>E54/Z54</f>
        <v>0</v>
      </c>
      <c r="F59" s="12"/>
      <c r="G59" s="12"/>
      <c r="H59" s="12"/>
      <c r="I59" s="42">
        <f>I54/Z54</f>
        <v>-5191666.666666667</v>
      </c>
      <c r="J59" s="42">
        <f>J54/Z54</f>
        <v>-7333.333333333333</v>
      </c>
      <c r="K59" s="12"/>
      <c r="L59" s="12"/>
      <c r="M59" s="12"/>
      <c r="N59" s="55">
        <f>SUM(-C59,-D59)</f>
        <v>-1472066.6666666667</v>
      </c>
      <c r="O59" s="12">
        <f>SUM(-C59,-D59,-E59,-I59,-J59,-N59)</f>
        <v>5199000</v>
      </c>
      <c r="P59" s="21">
        <f>SUM(P57,R59)</f>
        <v>19078278.149098642</v>
      </c>
      <c r="Q59" s="21">
        <f>SUM((SUM(C54,-C55,-C57,-C59)*C60),(SUM(D54,-D55,-D57,-D59)*D60),(SUM(E54,-E55,-E57,-E59)*E60),(F54*F60),(SUM(G54-G55)*G60),(H54*H60),(SUM(I54,-I55,-I57,-I59)*I60),(SUM(J54,-J55,-J57,-J59)*J60),(SUM(K54,-K55)*K60),(L54*L60),(M54*M60),(SUM(-N55,-N57,-N59)*N60),(SUM(-O55,-O57,-O59)*O60),(R55*R56),(R57*R58))</f>
        <v>-1216061.2834049782</v>
      </c>
      <c r="R59" s="21">
        <f>SUM(C59,D59,N59,Q59)</f>
        <v>-1216061.2834049782</v>
      </c>
      <c r="S59" s="21">
        <f>SUM((SUM(I54,-I55,-I57,-I59)*I60),(SUM(J54,-J55,-J57,-J59)*J60),(SUM(K54,-K55)*K60),(SUM(-O55,-O57,-O59)*O60),(SUM(R55,R57)*R58))</f>
        <v>-1769852.7634049782</v>
      </c>
      <c r="T59" s="43">
        <f>SUM((SUM(C54,-C55,-C57,-C59)*C60),(SUM(D54,-D55,-D57,-D59)*D60),(SUM(E54,-E55,-E57,-E59)*E60),(SUM(G54,-G55)*G60),(SUM(-N55,-N57,-N59)*N60))</f>
        <v>553791.48</v>
      </c>
      <c r="U59" s="26" t="s">
        <v>802</v>
      </c>
      <c r="V59" s="43">
        <f>SUM(V57,V58)</f>
        <v>-993550</v>
      </c>
      <c r="Y59" s="14">
        <f t="shared" si="4"/>
        <v>2024</v>
      </c>
      <c r="Z59" s="14">
        <f>SUM(Z52,-5)</f>
        <v>10</v>
      </c>
      <c r="AA59" s="24">
        <f>SUM(AA16*1/Z59,AA17*1/Z59,AA18*1/Z59,AA19*1/Z59,AA20*1/Z59,$AA$21*1/Z59,$AA$22*1/Z59,$AA$23*1/Z59,$AA$24*1/Z59,$AA$25*1/Z59)</f>
        <v>2.1080000000000002E-2</v>
      </c>
      <c r="AB59" s="24">
        <f t="shared" si="3"/>
        <v>2.3080000000000003E-2</v>
      </c>
    </row>
    <row r="60" spans="1:28" hidden="1" x14ac:dyDescent="0.25">
      <c r="B60" s="14" t="s">
        <v>799</v>
      </c>
      <c r="C60" s="4">
        <f>AB56</f>
        <v>2.86E-2</v>
      </c>
      <c r="D60" s="4">
        <f>AB56</f>
        <v>2.86E-2</v>
      </c>
      <c r="E60" s="4">
        <f>AB56</f>
        <v>2.86E-2</v>
      </c>
      <c r="F60" s="19"/>
      <c r="G60" s="19">
        <f>$W$8</f>
        <v>0</v>
      </c>
      <c r="H60" s="19"/>
      <c r="I60" s="4">
        <f>AA56</f>
        <v>2.6599999999999999E-2</v>
      </c>
      <c r="J60" s="4">
        <f>AA56</f>
        <v>2.6599999999999999E-2</v>
      </c>
      <c r="K60" s="19">
        <f>W9</f>
        <v>0</v>
      </c>
      <c r="L60" s="19"/>
      <c r="M60" s="19"/>
      <c r="N60" s="8">
        <f>W7</f>
        <v>1.0999999999999999E-2</v>
      </c>
      <c r="O60" s="8">
        <f>W10</f>
        <v>6.0000000000000001E-3</v>
      </c>
      <c r="P60" s="19">
        <f>Q59/P59</f>
        <v>-6.3740620296094772E-2</v>
      </c>
      <c r="R60" s="8">
        <f>W10</f>
        <v>6.0000000000000001E-3</v>
      </c>
      <c r="U60" s="26" t="s">
        <v>800</v>
      </c>
      <c r="V60" s="43">
        <f>IF(Macrogegevens!C12&gt;0,V59,V57)</f>
        <v>-993550</v>
      </c>
      <c r="Y60" s="14">
        <f t="shared" si="4"/>
        <v>2025</v>
      </c>
      <c r="Z60" s="14">
        <f>SUM(Z52,-6)</f>
        <v>9</v>
      </c>
      <c r="AA60" s="24">
        <f>SUM(AA17*1/Z60,AA18*1/Z60,AA19*1/Z60,AA20*1/Z60,AA21*1/Z60,$AA$22*1/Z60,$AA$23*1/Z60,$AA$24*1/Z60,$AA$25*1/Z60)</f>
        <v>1.8877777777777778E-2</v>
      </c>
      <c r="AB60" s="24">
        <f t="shared" si="3"/>
        <v>2.087777777777778E-2</v>
      </c>
    </row>
    <row r="61" spans="1:28" hidden="1" x14ac:dyDescent="0.25">
      <c r="B61" s="14" t="s">
        <v>614</v>
      </c>
      <c r="C61" s="9">
        <f>C54/Z54</f>
        <v>512866.66666666669</v>
      </c>
      <c r="D61" s="9">
        <f>D54/Z54</f>
        <v>959200</v>
      </c>
      <c r="E61" s="9">
        <f>E54/Z54</f>
        <v>0</v>
      </c>
      <c r="F61" s="12"/>
      <c r="G61" s="12"/>
      <c r="H61" s="12"/>
      <c r="I61" s="42">
        <f>I54/Z54</f>
        <v>-5191666.666666667</v>
      </c>
      <c r="J61" s="42">
        <f>J54/Z54</f>
        <v>-7333.333333333333</v>
      </c>
      <c r="K61" s="12"/>
      <c r="L61" s="12"/>
      <c r="M61" s="12"/>
      <c r="N61" s="55">
        <f>SUM(-C61,-D61)</f>
        <v>-1472066.6666666667</v>
      </c>
      <c r="O61" s="12">
        <f>SUM(-C61,-D61,-E61,-I61,-J61,-N61)</f>
        <v>5199000</v>
      </c>
      <c r="P61" s="21">
        <f>SUM(P59,R61)</f>
        <v>17988040.129104346</v>
      </c>
      <c r="Q61" s="21">
        <f>SUM((SUM(C54,-C55,-C57,-C59,-C61)*C62),(SUM(D54,-D55,-D57,-D59,-D61)*D62),(SUM(E54,-E55,-E57,-E59,-E61)*E62),(F54*F62),(SUM(G54,-G55)*G62),(H54*H62),(SUM(I54,-I55,-I57,-I59,-I61)*I62),(SUM(J54,-J55,-J57,-J59,-J61)*J62),(SUM(K54,-K55)*K62),(L54*L62),(M54*M62),(SUM(-N55,-N57,-N59,-N61)*N62),(SUM(-O55,-O57,-O59,-O61)*O62),(R55*R56),(R57*R58),(R59*R60))</f>
        <v>-1090238.0199942971</v>
      </c>
      <c r="R61" s="21">
        <f>SUM(C61,D61,N61,Q61)</f>
        <v>-1090238.0199942971</v>
      </c>
      <c r="S61" s="21">
        <f>SUM((SUM(I54,-I55,-I57,-I59,-I61)*I62),(SUM(J54,-J55,-J57,-J59,-J61)*J62),(SUM(K54,-K55)*K62),(SUM(-O55,-O57,-O59,-O61)*O62),(SUM(R55,R57,R59)*R60))</f>
        <v>-1597610.331105408</v>
      </c>
      <c r="T61" s="43">
        <f>SUM((SUM(C54,-C55,-C57,-C59,-C61)*C62),(SUM(D54,-D55,-D57,-D59,-D61)*D62),(SUM(E54,-E55,-E57,-E59,-E61)*E62),(SUM(G54,-G55)*G62),(SUM(-N55,-N57,-N59,-N61)*N62))</f>
        <v>507372.31111111108</v>
      </c>
      <c r="U61" s="21"/>
      <c r="Y61" s="14">
        <f t="shared" si="4"/>
        <v>2026</v>
      </c>
      <c r="Z61" s="14">
        <f>SUM(Z52,-7)</f>
        <v>8</v>
      </c>
      <c r="AA61" s="24">
        <f>SUM(AA18*1/Z61,AA19*1/Z61,AA20*1/Z61,AA21*1/Z61,AA22*1/Z61,$AA$23*1/Z61,$AA$24*1/Z61,$AA$25*1/Z61)</f>
        <v>1.7000000000000001E-2</v>
      </c>
      <c r="AB61" s="24">
        <f t="shared" si="3"/>
        <v>1.9000000000000003E-2</v>
      </c>
    </row>
    <row r="62" spans="1:28" hidden="1" x14ac:dyDescent="0.25">
      <c r="B62" s="14" t="s">
        <v>727</v>
      </c>
      <c r="C62" s="4">
        <f>AB57</f>
        <v>2.7333333333333334E-2</v>
      </c>
      <c r="D62" s="4">
        <f>AB57</f>
        <v>2.7333333333333334E-2</v>
      </c>
      <c r="E62" s="4">
        <f>AB57</f>
        <v>2.7333333333333334E-2</v>
      </c>
      <c r="F62" s="19"/>
      <c r="G62" s="19">
        <f>$W$8</f>
        <v>0</v>
      </c>
      <c r="H62" s="19"/>
      <c r="I62" s="4">
        <f>AA57</f>
        <v>2.5333333333333333E-2</v>
      </c>
      <c r="J62" s="4">
        <f>AA57</f>
        <v>2.5333333333333333E-2</v>
      </c>
      <c r="K62" s="19">
        <f>W9</f>
        <v>0</v>
      </c>
      <c r="L62" s="19"/>
      <c r="M62" s="19"/>
      <c r="N62" s="8">
        <f>W7</f>
        <v>1.0999999999999999E-2</v>
      </c>
      <c r="O62" s="8">
        <f>W10</f>
        <v>6.0000000000000001E-3</v>
      </c>
      <c r="P62" s="19">
        <f>Q61/P61</f>
        <v>-6.0609049800278703E-2</v>
      </c>
      <c r="R62" s="8">
        <f>W10</f>
        <v>6.0000000000000001E-3</v>
      </c>
      <c r="Y62" s="14">
        <f t="shared" si="4"/>
        <v>2027</v>
      </c>
      <c r="Z62" s="14">
        <f>SUM(Z52,-8)</f>
        <v>7</v>
      </c>
      <c r="AA62" s="24">
        <f>SUM(AA19*1/Z62,AA20*1/Z62,AA21*1/Z62,AA22*1/Z62,AA23*1/Z62,$AA$24*1/Z62,$AA$25*1/Z62)</f>
        <v>1.46E-2</v>
      </c>
      <c r="AB62" s="24">
        <f t="shared" si="3"/>
        <v>1.66E-2</v>
      </c>
    </row>
    <row r="63" spans="1:28" hidden="1" x14ac:dyDescent="0.25">
      <c r="B63" s="14" t="s">
        <v>788</v>
      </c>
      <c r="C63" s="9">
        <f>C54/Z54</f>
        <v>512866.66666666669</v>
      </c>
      <c r="D63" s="9">
        <f>D54/Z54</f>
        <v>959200</v>
      </c>
      <c r="E63" s="9">
        <f>E54/Z54</f>
        <v>0</v>
      </c>
      <c r="F63" s="12"/>
      <c r="G63" s="12"/>
      <c r="H63" s="12"/>
      <c r="I63" s="42">
        <f>I54/Z54</f>
        <v>-5191666.666666667</v>
      </c>
      <c r="J63" s="42">
        <f>J54/Z54</f>
        <v>-7333.333333333333</v>
      </c>
      <c r="K63" s="12"/>
      <c r="L63" s="12"/>
      <c r="M63" s="12"/>
      <c r="N63" s="55">
        <f>SUM(-C63,-D63)</f>
        <v>-1472066.6666666667</v>
      </c>
      <c r="O63" s="12">
        <f>SUM(-C63,-D63,-E63,-I63,-J63,-N63)</f>
        <v>5199000</v>
      </c>
      <c r="P63" s="21">
        <f>SUM(P61,R63)</f>
        <v>17040801.406242609</v>
      </c>
      <c r="Q63" s="22">
        <f>SUM((SUM(C54,-C55,-C57,-C59,-C61,-C63)*C64),(SUM(D54,-D55,-D57,-D59,-D61,-D63)*D64),(SUM(E54,-E55,-E57,-E59,-E61,-E63)*E64),(F54*F64),(SUM(G54,-G55)*G64),(H54*H64),(SUM(I54,-I55,-I57,-I59,-I61,-I63)*I64),(SUM(J54,-J55,-J57,-J59,-J61,-J63)*J64),(SUM(K54,-K55)*K64),(L54*L64),(M54*M64),(SUM(-N55,-N57,-N59,-N61,-N63)*N64),(SUM(-O55,-O57,-O59,-O61,-O63)*O64),(R55*R56),(R57*R58),(R59*R60),(R61*R62))</f>
        <v>-947238.72286173771</v>
      </c>
      <c r="R63" s="21">
        <f>SUM(C63,D63,N63,Q63)</f>
        <v>-947238.72286173771</v>
      </c>
      <c r="S63" s="21">
        <f>SUM((SUM(I54,-I55,-I57,-I59,-I61,-I63)*I64),(SUM(J54,-J55,-J57,-J59,-J61,-J63)*J64),(SUM(K54,-K55)*K64),(SUM(-O55,-O57,-O59,-O61,-O63)*O64),(SUM(R55,R57,R59,R61)*R62))</f>
        <v>-1401705.8501344647</v>
      </c>
      <c r="T63" s="43">
        <f>SUM((SUM(C54,-C55,-C57,-C59,-C61,-C63)*C64),(SUM(D54,-D55,-D57,-D59,-D61,-D63)*D64),(SUM(E54,-E55,-E57,-E59,-E61,-E63)*E64),(SUM(G54,-G55)*G64),(SUM(-N55,-N57,-N59,-N61,-N63)*N64))</f>
        <v>454467.1272727272</v>
      </c>
      <c r="U63" s="21"/>
      <c r="Y63" s="14">
        <f t="shared" si="4"/>
        <v>2028</v>
      </c>
      <c r="Z63" s="14">
        <f>SUM(Z52,-9)</f>
        <v>6</v>
      </c>
      <c r="AA63" s="24">
        <f>SUM(AA20*1/Z63,AA21*1/Z63,AA22*1/Z63,AA23*1/Z63,AA24*1/Z63,$AA$25*1/Z63)</f>
        <v>1.315E-2</v>
      </c>
      <c r="AB63" s="24">
        <f t="shared" si="3"/>
        <v>1.515E-2</v>
      </c>
    </row>
    <row r="64" spans="1:28" hidden="1" x14ac:dyDescent="0.25">
      <c r="B64" s="14" t="s">
        <v>615</v>
      </c>
      <c r="C64" s="4">
        <f>AB58</f>
        <v>2.5372727272727269E-2</v>
      </c>
      <c r="D64" s="4">
        <f>AB58</f>
        <v>2.5372727272727269E-2</v>
      </c>
      <c r="E64" s="4">
        <f>AB58</f>
        <v>2.5372727272727269E-2</v>
      </c>
      <c r="F64" s="19"/>
      <c r="G64" s="19">
        <f>$W$8</f>
        <v>0</v>
      </c>
      <c r="H64" s="19"/>
      <c r="I64" s="4">
        <f>AA58</f>
        <v>2.3372727272727271E-2</v>
      </c>
      <c r="J64" s="4">
        <f>AA58</f>
        <v>2.3372727272727271E-2</v>
      </c>
      <c r="K64" s="19">
        <f>W9</f>
        <v>0</v>
      </c>
      <c r="L64" s="19"/>
      <c r="M64" s="19"/>
      <c r="N64" s="8">
        <f>W7</f>
        <v>1.0999999999999999E-2</v>
      </c>
      <c r="O64" s="8">
        <f>W10</f>
        <v>6.0000000000000001E-3</v>
      </c>
      <c r="P64" s="19">
        <f>Q63/P63</f>
        <v>-5.5586512645745219E-2</v>
      </c>
      <c r="R64" s="8">
        <f>W10</f>
        <v>6.0000000000000001E-3</v>
      </c>
    </row>
    <row r="65" spans="1:26" hidden="1" x14ac:dyDescent="0.25">
      <c r="B65" s="14" t="s">
        <v>728</v>
      </c>
      <c r="C65" s="9">
        <f>C54/Z54</f>
        <v>512866.66666666669</v>
      </c>
      <c r="D65" s="9">
        <f>D54/Z54</f>
        <v>959200</v>
      </c>
      <c r="E65" s="9">
        <f>E54/Z54</f>
        <v>0</v>
      </c>
      <c r="F65" s="12"/>
      <c r="G65" s="12"/>
      <c r="H65" s="12"/>
      <c r="I65" s="42">
        <f>I54/Z54</f>
        <v>-5191666.666666667</v>
      </c>
      <c r="J65" s="42">
        <f>J54/Z54</f>
        <v>-7333.333333333333</v>
      </c>
      <c r="K65" s="12"/>
      <c r="L65" s="12"/>
      <c r="M65" s="12"/>
      <c r="N65" s="55">
        <f>SUM(-C65,-D65)</f>
        <v>-1472066.6666666667</v>
      </c>
      <c r="O65" s="12">
        <f>SUM(-C65,-D65,-E65,-I65,-J65,-N65)</f>
        <v>5199000</v>
      </c>
      <c r="P65" s="21">
        <f>SUM(P63,R65)</f>
        <v>16233946.022680065</v>
      </c>
      <c r="Q65" s="22">
        <f>SUM((SUM(C54,-C55,-C57,-C59,-C61,-C63,-C65)*C66),(SUM(D54,-D55,-D57,-D59,-D61,-D63,-D65)*D66),(SUM(E54,-E55,-E57,-E59,-E61,-E63,-E65)*E66),(F54*F66),(SUM(G54,-G55)*G66),(H54*H66),(SUM(I54,-I55,-I57,-I59,-I61,-I63,-I65)*I66),(SUM(J54,-J55,-J57,-J59,-J61,-J63,-J65)*J66),(SUM(K54,-K55)*K66),(L54*L66),(M54*M66),(SUM(-N55,-N57,-N59,-N61,-N63,-N65)*N66),(SUM(-O55,-O57,-O59,-O61,-O63,-O65)*O66),(R55*R56),(R57*R58),(R59*R60),(R61*R62),(R63*R64))</f>
        <v>-806855.38356254459</v>
      </c>
      <c r="R65" s="21">
        <f>SUM(C65,D65,N65,Q65)</f>
        <v>-806855.38356254459</v>
      </c>
      <c r="S65" s="21">
        <f>SUM((SUM(I54,-I55,-I57,-I59,-I61,-I63,-I65)*I66),(SUM(J54,-J55,-J57,-J59,-J61,-J63,-J65)*J66),(SUM(K54,-K55)*K66),(SUM(-O55,-O57,-O59,-O61,-O63,-O65)*O66),(SUM(R55,R57,R59,R61,R63)*R64))</f>
        <v>-1209789.4715625446</v>
      </c>
      <c r="T65" s="43">
        <f>SUM((SUM(C54,-C55,-C57,-C59,-C61,-C63,-C65)*C66),(SUM(D54,-D55,-D57,-D59,-D61,-D63,-D65)*D66),(SUM(E54,-E55,-E57,-E59,-E61,-E63,-E65)*E66),(SUM(G54,-G55)*G66),(SUM(-N55,-N57,-N59,-N61,-N63,-N65)*N66))</f>
        <v>402934.08799999999</v>
      </c>
      <c r="U65" s="21"/>
    </row>
    <row r="66" spans="1:26" hidden="1" x14ac:dyDescent="0.25">
      <c r="B66" s="14" t="s">
        <v>729</v>
      </c>
      <c r="C66" s="4">
        <f>AB59</f>
        <v>2.3080000000000003E-2</v>
      </c>
      <c r="D66" s="4">
        <f>AB59</f>
        <v>2.3080000000000003E-2</v>
      </c>
      <c r="E66" s="4">
        <f>AB59</f>
        <v>2.3080000000000003E-2</v>
      </c>
      <c r="F66" s="19"/>
      <c r="G66" s="19">
        <f>$W$8</f>
        <v>0</v>
      </c>
      <c r="H66" s="19"/>
      <c r="I66" s="4">
        <f>AA59</f>
        <v>2.1080000000000002E-2</v>
      </c>
      <c r="J66" s="4">
        <f>AA59</f>
        <v>2.1080000000000002E-2</v>
      </c>
      <c r="K66" s="19">
        <f>W9</f>
        <v>0</v>
      </c>
      <c r="L66" s="19"/>
      <c r="M66" s="19"/>
      <c r="N66" s="8">
        <f>W7</f>
        <v>1.0999999999999999E-2</v>
      </c>
      <c r="O66" s="8">
        <f>W10</f>
        <v>6.0000000000000001E-3</v>
      </c>
      <c r="P66" s="19">
        <f>Q65/P65</f>
        <v>-4.9701741180813705E-2</v>
      </c>
      <c r="R66" s="8">
        <f>W10</f>
        <v>6.0000000000000001E-3</v>
      </c>
    </row>
    <row r="67" spans="1:26" hidden="1" x14ac:dyDescent="0.25">
      <c r="B67" s="14" t="s">
        <v>791</v>
      </c>
      <c r="C67" s="9">
        <f>C54/Z54</f>
        <v>512866.66666666669</v>
      </c>
      <c r="D67" s="9">
        <f>D54/Z54</f>
        <v>959200</v>
      </c>
      <c r="E67" s="9">
        <f>E54/Z54</f>
        <v>0</v>
      </c>
      <c r="F67" s="12"/>
      <c r="G67" s="12"/>
      <c r="H67" s="12"/>
      <c r="I67" s="42">
        <f>I54/Z54</f>
        <v>-5191666.666666667</v>
      </c>
      <c r="J67" s="42">
        <f>J54/Z54</f>
        <v>-7333.333333333333</v>
      </c>
      <c r="K67" s="12"/>
      <c r="L67" s="12"/>
      <c r="M67" s="12"/>
      <c r="N67" s="55">
        <f>SUM(-C67,-D67)</f>
        <v>-1472066.6666666667</v>
      </c>
      <c r="O67" s="12">
        <f>SUM(-C67,-D67,-E67,-I67,-J67,-N67)</f>
        <v>5199000</v>
      </c>
      <c r="P67" s="21">
        <f>SUM(P65,R67)</f>
        <v>15548528.144742072</v>
      </c>
      <c r="Q67" s="22">
        <f>SUM((SUM(C54,-C55,-C57,-C59,-C61,-C63,-C65,-C67)*C68),(SUM(D54,-D55,-D57,-D59,-D61,-D63,-D65,-D67)*D68),(SUM(E54,-E55,-E57,-E59,-E61,-E63,-E65,-E67)*E68),(F54*F68),(SUM(G54,-G55)*G68),(H54*H68),(SUM(I54,-I55,-I57,-I59,-I61,-I63,-I65,-I67)*I68),(SUM(J54,-J55,-J57,-J59,-J61,-J63,-J65,-J67)*J68),(SUM(K54,-K55)*K68),(L54*L68),(M54*M68),(SUM(-N55,-N57,-N59,-N61,-N63,-N65,-N67)*N68),(SUM(-O55,-O57,-O59,-O61,-O63,-O65,-O67)*O68),(R55*R56),(R57*R58),(R59*R60),(R61*R62),(R63*R64),(R65*R66))</f>
        <v>-685417.87793799397</v>
      </c>
      <c r="R67" s="21">
        <f>SUM(C67,D67,N67,Q67)</f>
        <v>-685417.87793799397</v>
      </c>
      <c r="S67" s="21">
        <f>SUM((SUM(I54,-I55,-I57,-I59,-I61,-I63,-I65,-I67)*I68),(SUM(J54,-J55,-J57,-J59,-J61,-J63,-J65,-J67)*J68),(SUM(K54,-K55)*K68),(SUM(-O55,-O57,-O59,-O61,-O63,-O65,-O67)*O68),(SUM(R55,R57,R59,R61,R63,R65)*R66))</f>
        <v>-1044634.8571972529</v>
      </c>
      <c r="T67" s="43">
        <f>SUM((SUM(C54,-C55,-C57,-C59,-C61,-C63,-C65,-C67)*C68),(SUM(D54,-D55,-D57,-D59,-D61,-D63,-D65,-D67)*D68),(SUM(E54,-E55,-E57,-E59,-E61,-E63,-E65,-E67)*E68),(SUM(G54,-G55)*G68),(SUM(-N55,-N57,-N59,-N61,-N63,-N65,-N67)*N68))</f>
        <v>359216.97925925924</v>
      </c>
      <c r="U67" s="21"/>
    </row>
    <row r="68" spans="1:26" hidden="1" x14ac:dyDescent="0.25">
      <c r="B68" s="14" t="s">
        <v>790</v>
      </c>
      <c r="C68" s="4">
        <f>AB60</f>
        <v>2.087777777777778E-2</v>
      </c>
      <c r="D68" s="4">
        <f>AB60</f>
        <v>2.087777777777778E-2</v>
      </c>
      <c r="E68" s="4">
        <f>AB60</f>
        <v>2.087777777777778E-2</v>
      </c>
      <c r="F68" s="19"/>
      <c r="G68" s="19">
        <f>$W$8</f>
        <v>0</v>
      </c>
      <c r="H68" s="19"/>
      <c r="I68" s="4">
        <f>AA60</f>
        <v>1.8877777777777778E-2</v>
      </c>
      <c r="J68" s="4">
        <f>AA60</f>
        <v>1.8877777777777778E-2</v>
      </c>
      <c r="K68" s="19">
        <f>W9</f>
        <v>0</v>
      </c>
      <c r="L68" s="19"/>
      <c r="M68" s="19"/>
      <c r="N68" s="8">
        <f>W7</f>
        <v>1.0999999999999999E-2</v>
      </c>
      <c r="O68" s="8">
        <f>W10</f>
        <v>6.0000000000000001E-3</v>
      </c>
      <c r="P68" s="19">
        <f>Q67/P67</f>
        <v>-4.408249266794919E-2</v>
      </c>
      <c r="R68" s="8">
        <f>W10</f>
        <v>6.0000000000000001E-3</v>
      </c>
    </row>
    <row r="69" spans="1:26" hidden="1" x14ac:dyDescent="0.25">
      <c r="B69" s="14" t="s">
        <v>616</v>
      </c>
      <c r="C69" s="9">
        <f>C54/Z54</f>
        <v>512866.66666666669</v>
      </c>
      <c r="D69" s="9">
        <f>D54/Z54</f>
        <v>959200</v>
      </c>
      <c r="E69" s="9">
        <f>E54/Z54</f>
        <v>0</v>
      </c>
      <c r="F69" s="12"/>
      <c r="G69" s="12"/>
      <c r="H69" s="12"/>
      <c r="I69" s="42">
        <f>I54/Z54</f>
        <v>-5191666.666666667</v>
      </c>
      <c r="J69" s="42">
        <f>J54/Z54</f>
        <v>-7333.333333333333</v>
      </c>
      <c r="K69" s="12"/>
      <c r="L69" s="12"/>
      <c r="M69" s="12"/>
      <c r="N69" s="55">
        <f>SUM(-C69,-D69)</f>
        <v>-1472066.6666666667</v>
      </c>
      <c r="O69" s="12">
        <f>SUM(-C69,-D69,-E69,-I69,-J69,-N69)</f>
        <v>5199000</v>
      </c>
      <c r="P69" s="21">
        <f>SUM(P67,R69)</f>
        <v>14960397.046943856</v>
      </c>
      <c r="Q69" s="22">
        <f>SUM((SUM(C54,-C55,-C57,-C59,-C61,-C63,-C65,-C67,-C69)*C70),(SUM(D54,-D55,-D57,-D59,-D61,-D63,-D65,-D67,-D69)*D70),(SUM(E54,-E55,-E57,-E59,-E61,-E63,-E65,-E67,-E69)*E70),(F54*F70),(SUM(G54,-G55)*G70),(H54*H70),(SUM(I54,-I55,-I57,-I59,-I61,-I63,-I65,-I67,-I69)*I70),(SUM(J54,-J55,-J57,-J59,-J61,-J63,-J65,-J67,-J69)*J70),(SUM(K54,-K55)*K70),(L54*L70),(M54*M70),(SUM(-N55,-N57,-N59,-N61,-N63,-N65,-N67,-N69)*N70),(SUM(-O55,-O57,-O59,-O61,-O63,-O65,-O67,-O69)*O70),(R55*R56),(R57*R58),(R59*R60),(R61*R62),(R63*R64),(R65*R66),(R67*R68))</f>
        <v>-588131.09779821464</v>
      </c>
      <c r="R69" s="21">
        <f>SUM(C69,D69,N69,Q69)</f>
        <v>-588131.09779821464</v>
      </c>
      <c r="S69" s="21">
        <f>SUM((SUM(I54,-I55,-I57,-I59,-I61,-I63,-I65,-I67,-I69)*I70),(SUM(J54,-J55,-J57,-J59,-J61,-J63,-J65,-J67,-J69)*J70),(SUM(K54,-K55)*K70),(SUM(-O55,-O57,-O59,-O61,-O63,-O65,-O67,-O69)*O70),(SUM(R55,R57,R59,R61,R63,R65,R67)*R68))</f>
        <v>-913457.83113154769</v>
      </c>
      <c r="T69" s="43">
        <f>SUM((SUM(C54,-C55,-C57,-C59,-C61,-C63,-C65,-C67,-C69)*C70),(SUM(D54,-D55,-D57,-D59,-D61,-D63,-D65,-D67,-D69)*D70),(SUM(E54,-E55,-E57,-E59,-E61,-E63,-E65,-E67,-E69)*E70),(SUM(G54,-G55)*G70),(SUM(-N55,-N57,-N59,-N61,-N63,-N65,-N67,-N69)*N70))</f>
        <v>325326.73333333328</v>
      </c>
      <c r="U69" s="21"/>
    </row>
    <row r="70" spans="1:26" hidden="1" x14ac:dyDescent="0.25">
      <c r="B70" s="14" t="s">
        <v>617</v>
      </c>
      <c r="C70" s="4">
        <f>AB61</f>
        <v>1.9000000000000003E-2</v>
      </c>
      <c r="D70" s="4">
        <f>AB61</f>
        <v>1.9000000000000003E-2</v>
      </c>
      <c r="E70" s="4">
        <f>AB61</f>
        <v>1.9000000000000003E-2</v>
      </c>
      <c r="F70" s="19"/>
      <c r="G70" s="19">
        <f>$W$8</f>
        <v>0</v>
      </c>
      <c r="H70" s="19"/>
      <c r="I70" s="4">
        <f>AA61</f>
        <v>1.7000000000000001E-2</v>
      </c>
      <c r="J70" s="4">
        <f>AA61</f>
        <v>1.7000000000000001E-2</v>
      </c>
      <c r="K70" s="19">
        <f>W9</f>
        <v>0</v>
      </c>
      <c r="L70" s="19"/>
      <c r="M70" s="19"/>
      <c r="N70" s="8">
        <f>W7</f>
        <v>1.0999999999999999E-2</v>
      </c>
      <c r="O70" s="8">
        <f>W10</f>
        <v>6.0000000000000001E-3</v>
      </c>
      <c r="P70" s="19">
        <f>Q69/P69</f>
        <v>-3.9312532678961176E-2</v>
      </c>
      <c r="R70" s="8">
        <f>W10</f>
        <v>6.0000000000000001E-3</v>
      </c>
    </row>
    <row r="71" spans="1:26" hidden="1" x14ac:dyDescent="0.25">
      <c r="B71" s="14" t="s">
        <v>793</v>
      </c>
      <c r="C71" s="9">
        <f>C54/Z54</f>
        <v>512866.66666666669</v>
      </c>
      <c r="D71" s="9">
        <f>D54/Z54</f>
        <v>959200</v>
      </c>
      <c r="E71" s="9">
        <f>E54/Z54</f>
        <v>0</v>
      </c>
      <c r="F71" s="12"/>
      <c r="G71" s="12"/>
      <c r="H71" s="12"/>
      <c r="I71" s="42">
        <f>I54/Z54</f>
        <v>-5191666.666666667</v>
      </c>
      <c r="J71" s="42">
        <f>J54/Z54</f>
        <v>-7333.333333333333</v>
      </c>
      <c r="K71" s="12"/>
      <c r="L71" s="12"/>
      <c r="M71" s="12"/>
      <c r="N71" s="55">
        <f>SUM(-C71,-D71)</f>
        <v>-1472066.6666666667</v>
      </c>
      <c r="O71" s="12">
        <f>SUM(-C71,-D71,-E71,-I71,-J71,-N71)</f>
        <v>5199000</v>
      </c>
      <c r="P71" s="21">
        <f>SUM(P69,R71)</f>
        <v>14467817.46922552</v>
      </c>
      <c r="Q71" s="22">
        <f>SUM((SUM(C54,-C55,-C57,-C59,-C61,-C63,-C65,-C67,-C69,-C71)*C72),(SUM(D54,-D55,-D57,-D59,-D61,-D63,-D65,-D67,-D69,-D71)*D72),(SUM(E54,-E55,-E57,-E59,-E61,-E63,-E65,-E67,-E69,-E71)*E72),(F54*F72),(SUM(G54,-G55)*G72),(H54*H72),(SUM(I54,-I55,-I57,-I59,-I61,-I63,-I65,-I67,-I69,-I71)*I72),(SUM(J54,-J55,-J57,-J59,-J61,-J63,-J65,-J67,-J69,-J71)*J72),(SUM(K54,-K55)*K72),(L54*L72),(M54*M72),(SUM(-N55,-N57,-N59,-N61,-N63,-N65,-N67,-N69,-N71)*N72),(SUM(-O55,-O57,-O59,-O61,-O63,-O65,-O67,-O69,-O71)*O72),(R55*R56),(R57*R58),(R59*R60),(R61*R62),(R63*R64),(R65*R66),(R67*R68),(R69*R70))</f>
        <v>-492579.57771833701</v>
      </c>
      <c r="R71" s="21">
        <f>SUM(C71,D71,N71,Q71)</f>
        <v>-492579.57771833701</v>
      </c>
      <c r="S71" s="21">
        <f>SUM((SUM(I54,-I55,-I57,-I59,-I61,-I63,-I65,-I67,-I69,-I71)*I72),(SUM(J54,-J55,-J57,-J59,-J61,-J63,-J65,-J67,-J69,-J71)*J72),(SUM(K54,-K55)*K72),(SUM(-O55,-O57,-O59,-O61,-O63,-O65,-O67,-O69,-O71)*O72),(SUM(R55,R57,R59,R61,R63,R65,R67,R69)*R70))</f>
        <v>-784932.01771833701</v>
      </c>
      <c r="T71" s="43">
        <f>SUM((SUM(C54,-C55,-C57,-C59,-C61,-C63,-C65,-C67,-C69,-C71)*C72),(SUM(D54,-D55,-D57,-D59,-D61,-D63,-D65,-D67,-D69,-D71)*D72),(SUM(E54,-E55,-E57,-E59,-E61,-E63,-E65,-E67,-E69,-E71)*E72),(SUM(G54-G55)*G72),(SUM(-N55,-N57,-N59,-N61,-N63,-N65,-N67,-N69,-N71)*N72))</f>
        <v>292352.43999999994</v>
      </c>
      <c r="U71" s="21"/>
    </row>
    <row r="72" spans="1:26" hidden="1" x14ac:dyDescent="0.25">
      <c r="B72" s="14" t="s">
        <v>792</v>
      </c>
      <c r="C72" s="4">
        <f>AB62</f>
        <v>1.66E-2</v>
      </c>
      <c r="D72" s="4">
        <f>AB62</f>
        <v>1.66E-2</v>
      </c>
      <c r="E72" s="4">
        <f>AB62</f>
        <v>1.66E-2</v>
      </c>
      <c r="F72" s="19"/>
      <c r="G72" s="19">
        <f>$W$8</f>
        <v>0</v>
      </c>
      <c r="H72" s="19"/>
      <c r="I72" s="4">
        <f>AA62</f>
        <v>1.46E-2</v>
      </c>
      <c r="J72" s="4">
        <f>AA62</f>
        <v>1.46E-2</v>
      </c>
      <c r="K72" s="19">
        <f>W9</f>
        <v>0</v>
      </c>
      <c r="L72" s="19"/>
      <c r="M72" s="19"/>
      <c r="N72" s="8">
        <f>W7</f>
        <v>1.0999999999999999E-2</v>
      </c>
      <c r="O72" s="8">
        <f>W10</f>
        <v>6.0000000000000001E-3</v>
      </c>
      <c r="P72" s="19">
        <f>Q71/P71</f>
        <v>-3.4046571209935608E-2</v>
      </c>
      <c r="R72" s="8">
        <f>W10</f>
        <v>6.0000000000000001E-3</v>
      </c>
    </row>
    <row r="73" spans="1:26" hidden="1" x14ac:dyDescent="0.25">
      <c r="B73" s="14" t="s">
        <v>795</v>
      </c>
      <c r="C73" s="9">
        <f>C54/Z54</f>
        <v>512866.66666666669</v>
      </c>
      <c r="D73" s="9">
        <f>D54/Z54</f>
        <v>959200</v>
      </c>
      <c r="E73" s="9">
        <f>E54/Z54</f>
        <v>0</v>
      </c>
      <c r="F73" s="3"/>
      <c r="G73" s="3"/>
      <c r="H73" s="3"/>
      <c r="I73" s="42">
        <f>I54/Z54</f>
        <v>-5191666.666666667</v>
      </c>
      <c r="J73" s="42">
        <f>J54/Z54</f>
        <v>-7333.333333333333</v>
      </c>
      <c r="K73" s="3"/>
      <c r="L73" s="3"/>
      <c r="M73" s="3"/>
      <c r="N73" s="55">
        <f>SUM(-C73,-D73)</f>
        <v>-1472066.6666666667</v>
      </c>
      <c r="O73" s="12">
        <f>SUM(-C73,-D73,-E73,-I73,-J73,-N73)</f>
        <v>5199000</v>
      </c>
      <c r="P73" s="21">
        <f>SUM(P71,R73)</f>
        <v>14035770.507374207</v>
      </c>
      <c r="Q73" s="22">
        <f>SUM((SUM(C54,-C55,-C57,-C59,-C61,-C63,-C65,-C67,-C69,-C71,-C73)*C74),(SUM(D54,-D55,-D57,-D59,-D61,-D63,-D65,-D67,-D69,-D71,-D73)*D74),(SUM(E54,-E55,-E57,-E59,-E61,-E63,-E65,-E67,-E69,-E71,-E73)*E74),(F54*F74),(SUM(G54,-G55)*G74),(H54*H74),(SUM(I54,-I55,-I57,-I59,-I61,-I63,-I65,-I67,-I69,-I71,-I73)*I74),(SUM(J54,-J55,-J57,-J59,-J61,-J63,-J65,-J67,-J69,-J71,-J73)*J74),(SUM(K54,-K55)*K74),(L54*L74),(M54*M74),(SUM(-N55,-N57,-N59,-N61,-N63,-N65,-N67,-N69,-N71,-N73)*N74),(SUM(-O55,-O57,-O59,-O61,-O63,-O65,-O67,-O69,-O71,-O73)*O74),(R55*R56),(R57*R58),(R59*R60),(R61*R62),(R63*R64),(R65*R66),(R67*R68),(R69*R70),(R71*R72))</f>
        <v>-432046.96185131365</v>
      </c>
      <c r="R73" s="21">
        <f>SUM(C73,D73,N73,Q73)</f>
        <v>-432046.96185131365</v>
      </c>
      <c r="S73" s="21">
        <f>SUM((SUM(I54,-I55,-I57,-I59,-I61,-I63,-I65,-I67,-I69,-I71,-I73)*I74),(SUM(J54,-J55,-J57,-J59,-J61,-J63,-J65,-J67,-J69,-J71,-J73)*J74),(SUM(K54,-K55)*K74),(SUM(-O55,-O57,-O59,-O61,-O63,-O65,-O67,-O69,-O71,-O73)*O74),(SUM(R55,R57,R59,R61,R63,R65,R67,R69,R71)*R72))</f>
        <v>-705483.3451846469</v>
      </c>
      <c r="T73" s="43">
        <f>SUM((SUM(C54,-C55,-C57,-C59,-C61,-C63,-C65,-C67,-C69,-C71,-C73)*C74),(SUM(D54,-D55,-D57,-D59,-D61,-D63,-D65,-D67,-D69,-D71,-D73)*D74),(SUM(E54,-E55,-E57,-E59,-E61,-E63,-E65,-E67,-E69,-E71,-E73)*E74),(SUM(G54,-G55)*G74),(SUM(-N55,-N57,-N59,-N61,-N63,-N65,-N67,-N69,-N71,-N73)*N74))</f>
        <v>273436.38333333324</v>
      </c>
      <c r="U73" s="21"/>
    </row>
    <row r="74" spans="1:26" hidden="1" x14ac:dyDescent="0.25">
      <c r="B74" s="14" t="s">
        <v>796</v>
      </c>
      <c r="C74" s="4">
        <f>AB63</f>
        <v>1.515E-2</v>
      </c>
      <c r="D74" s="4">
        <f>AB63</f>
        <v>1.515E-2</v>
      </c>
      <c r="E74" s="4">
        <f>AB63</f>
        <v>1.515E-2</v>
      </c>
      <c r="F74" s="19"/>
      <c r="G74" s="19">
        <f>$W$8</f>
        <v>0</v>
      </c>
      <c r="H74" s="19"/>
      <c r="I74" s="4">
        <f>AA63</f>
        <v>1.315E-2</v>
      </c>
      <c r="J74" s="4">
        <f>AA63</f>
        <v>1.315E-2</v>
      </c>
      <c r="K74" s="19">
        <f>W9</f>
        <v>0</v>
      </c>
      <c r="L74" s="19"/>
      <c r="M74" s="19"/>
      <c r="N74" s="8">
        <f>W7</f>
        <v>1.0999999999999999E-2</v>
      </c>
      <c r="O74" s="8">
        <f>W10</f>
        <v>6.0000000000000001E-3</v>
      </c>
      <c r="P74" s="19">
        <f>Q73/P73</f>
        <v>-3.0781848536517602E-2</v>
      </c>
    </row>
    <row r="75" spans="1:26" s="5" customFormat="1" x14ac:dyDescent="0.25">
      <c r="C75" s="9"/>
      <c r="D75" s="9"/>
      <c r="E75" s="9"/>
      <c r="F75" s="9"/>
      <c r="G75" s="9"/>
      <c r="H75" s="9"/>
      <c r="I75" s="9"/>
      <c r="J75" s="9"/>
      <c r="K75" s="9"/>
      <c r="L75" s="9"/>
      <c r="M75" s="9"/>
      <c r="N75" s="12"/>
      <c r="O75" s="3"/>
      <c r="P75" s="12"/>
      <c r="Q75" s="3"/>
      <c r="R75" s="3"/>
      <c r="S75" s="3"/>
      <c r="T75" s="3"/>
      <c r="U75" s="3"/>
      <c r="V75" s="3"/>
      <c r="Z75" s="14"/>
    </row>
    <row r="76" spans="1:26" s="3" customFormat="1" ht="14.25" customHeight="1" x14ac:dyDescent="0.25">
      <c r="A76" s="2" t="s">
        <v>57</v>
      </c>
      <c r="P76" s="12"/>
      <c r="Z76" s="5"/>
    </row>
    <row r="77" spans="1:26" s="3" customFormat="1" x14ac:dyDescent="0.25">
      <c r="C77" s="3" t="s">
        <v>33</v>
      </c>
      <c r="D77" s="3" t="s">
        <v>34</v>
      </c>
      <c r="E77" s="3" t="s">
        <v>35</v>
      </c>
      <c r="F77" s="3" t="s">
        <v>691</v>
      </c>
      <c r="G77" s="3" t="s">
        <v>692</v>
      </c>
      <c r="H77" s="3" t="s">
        <v>27</v>
      </c>
      <c r="I77" s="3" t="s">
        <v>36</v>
      </c>
      <c r="J77" s="3" t="s">
        <v>37</v>
      </c>
      <c r="K77" s="3" t="s">
        <v>693</v>
      </c>
      <c r="L77" s="3" t="s">
        <v>32</v>
      </c>
      <c r="M77" s="3" t="s">
        <v>28</v>
      </c>
      <c r="N77" s="3" t="s">
        <v>39</v>
      </c>
      <c r="O77" s="3" t="s">
        <v>40</v>
      </c>
      <c r="P77" s="3" t="s">
        <v>41</v>
      </c>
      <c r="Q77" s="3" t="s">
        <v>42</v>
      </c>
      <c r="R77" s="3" t="s">
        <v>62</v>
      </c>
      <c r="S77" s="3" t="s">
        <v>115</v>
      </c>
      <c r="T77" s="3" t="s">
        <v>95</v>
      </c>
    </row>
    <row r="78" spans="1:26" s="3" customFormat="1" x14ac:dyDescent="0.25">
      <c r="B78" s="3" t="s">
        <v>784</v>
      </c>
      <c r="C78" s="12">
        <f t="shared" ref="C78:D80" si="5">C54</f>
        <v>7693000</v>
      </c>
      <c r="D78" s="12">
        <f t="shared" si="5"/>
        <v>14388000</v>
      </c>
      <c r="E78" s="12">
        <f t="shared" ref="E78:M78" si="6">E54</f>
        <v>0</v>
      </c>
      <c r="F78" s="12">
        <f t="shared" si="6"/>
        <v>10490000</v>
      </c>
      <c r="G78" s="12">
        <f t="shared" si="6"/>
        <v>83178000</v>
      </c>
      <c r="H78" s="12">
        <f t="shared" si="6"/>
        <v>14169000</v>
      </c>
      <c r="I78" s="240">
        <f t="shared" si="6"/>
        <v>-77875000</v>
      </c>
      <c r="J78" s="240">
        <f t="shared" si="6"/>
        <v>-110000</v>
      </c>
      <c r="K78" s="240">
        <f t="shared" si="6"/>
        <v>0</v>
      </c>
      <c r="L78" s="240">
        <f t="shared" si="6"/>
        <v>-5694000</v>
      </c>
      <c r="M78" s="240">
        <f t="shared" si="6"/>
        <v>-23153000</v>
      </c>
      <c r="N78" s="21"/>
      <c r="O78" s="21"/>
      <c r="P78" s="21">
        <f>SUM(C78:O78)</f>
        <v>23086000</v>
      </c>
      <c r="Q78" s="21"/>
      <c r="R78" s="21"/>
    </row>
    <row r="79" spans="1:26" s="3" customFormat="1" x14ac:dyDescent="0.25">
      <c r="B79" s="3" t="s">
        <v>785</v>
      </c>
      <c r="C79" s="11">
        <f>C78/Z54</f>
        <v>512866.66666666669</v>
      </c>
      <c r="D79" s="11">
        <f>D78/Z54</f>
        <v>959200</v>
      </c>
      <c r="E79" s="11">
        <f>E78/Z54</f>
        <v>0</v>
      </c>
      <c r="F79" s="239">
        <v>0</v>
      </c>
      <c r="G79" s="239">
        <v>0</v>
      </c>
      <c r="H79" s="239">
        <v>0</v>
      </c>
      <c r="I79" s="248">
        <f>I55</f>
        <v>-5191666.666666667</v>
      </c>
      <c r="J79" s="248">
        <f t="shared" ref="I79:J81" si="7">J55</f>
        <v>-7333.333333333333</v>
      </c>
      <c r="K79" s="239">
        <v>0</v>
      </c>
      <c r="L79" s="239">
        <v>0</v>
      </c>
      <c r="M79" s="239">
        <v>0</v>
      </c>
      <c r="N79" s="55">
        <f>SUM(-Balansprognose!C41,-Balansprognose!C42,-Balansprognose!C43)</f>
        <v>-1472066.6666666667</v>
      </c>
      <c r="O79" s="12">
        <f>-SUM(C79,D79,E79,F79,G79,H79,I79,J79,K79,L79,M79,N79)</f>
        <v>5199000</v>
      </c>
      <c r="P79" s="21">
        <f>SUM(P78,R79)</f>
        <v>22453819.576000001</v>
      </c>
      <c r="Q79" s="21">
        <f>SUM(S79,T79)</f>
        <v>-632180.42399999965</v>
      </c>
      <c r="R79" s="21">
        <f>SUM(C79,D79,E79,F79,G79,H79,I79,J79,K79,L79,M79,N79,O79,Q79)</f>
        <v>-632180.42399999965</v>
      </c>
      <c r="S79" s="21">
        <f>SUM((SUM(I78,-I79)*I80),(SUM(J78,-J79)*J80),(SUM(K78,-K79)*K80),(-O79*O80))</f>
        <v>-2109962.1599999997</v>
      </c>
      <c r="T79" s="43">
        <f>SUM((SUM(C78,-C79)*C80),(SUM(D78,-D79)*D80),(SUM(E78,-E79)*E80),(SUM(G78,-G79)*G80),(-N79*N80))</f>
        <v>1477781.736</v>
      </c>
      <c r="U79" s="149"/>
    </row>
    <row r="80" spans="1:26" s="3" customFormat="1" hidden="1" x14ac:dyDescent="0.25">
      <c r="B80" s="3" t="s">
        <v>725</v>
      </c>
      <c r="C80" s="19">
        <f t="shared" si="5"/>
        <v>3.0559999999999997E-2</v>
      </c>
      <c r="D80" s="19">
        <f t="shared" si="5"/>
        <v>3.0559999999999997E-2</v>
      </c>
      <c r="E80" s="19">
        <f t="shared" ref="E80:E86" si="8">E56</f>
        <v>3.0559999999999997E-2</v>
      </c>
      <c r="F80" s="19">
        <f>F56</f>
        <v>0</v>
      </c>
      <c r="G80" s="19">
        <f>SUM(W8,W21)</f>
        <v>0.01</v>
      </c>
      <c r="H80" s="19">
        <f>H56</f>
        <v>0</v>
      </c>
      <c r="I80" s="19">
        <f>I56</f>
        <v>2.8559999999999999E-2</v>
      </c>
      <c r="J80" s="19">
        <f>J56</f>
        <v>2.8559999999999999E-2</v>
      </c>
      <c r="K80" s="19">
        <f>SUM(W9,W21)</f>
        <v>0.01</v>
      </c>
      <c r="L80" s="19">
        <f>L56</f>
        <v>0</v>
      </c>
      <c r="M80" s="19">
        <f>M56</f>
        <v>0</v>
      </c>
      <c r="N80" s="8">
        <f>W7</f>
        <v>1.0999999999999999E-2</v>
      </c>
      <c r="O80" s="8">
        <f>W10</f>
        <v>6.0000000000000001E-3</v>
      </c>
      <c r="P80" s="19">
        <f>Q79/P79</f>
        <v>-2.8154694209608429E-2</v>
      </c>
      <c r="R80" s="8">
        <f>W10</f>
        <v>6.0000000000000001E-3</v>
      </c>
    </row>
    <row r="81" spans="2:21" s="3" customFormat="1" hidden="1" x14ac:dyDescent="0.25">
      <c r="B81" s="3" t="s">
        <v>726</v>
      </c>
      <c r="C81" s="12">
        <f>SUM(C57*X19,C78*W19)</f>
        <v>1374482.6666666667</v>
      </c>
      <c r="D81" s="12">
        <f>SUM(D57*X20,D78*W20)</f>
        <v>2570656</v>
      </c>
      <c r="E81" s="12">
        <f t="shared" si="8"/>
        <v>0</v>
      </c>
      <c r="F81" s="12"/>
      <c r="G81" s="12"/>
      <c r="H81" s="12"/>
      <c r="I81" s="54">
        <f t="shared" si="7"/>
        <v>-5191666.666666667</v>
      </c>
      <c r="J81" s="54">
        <f t="shared" si="7"/>
        <v>-7333.333333333333</v>
      </c>
      <c r="K81" s="12"/>
      <c r="L81" s="12"/>
      <c r="M81" s="12"/>
      <c r="N81" s="55">
        <f>SUM(-C57*X19,-D57*X20)</f>
        <v>-1295418.6666666667</v>
      </c>
      <c r="O81" s="12">
        <f>-SUM(C81,-C78*W19,D81,-D78*W20,E81,I81,J81,N81)</f>
        <v>5199000</v>
      </c>
      <c r="P81" s="21">
        <f>SUM(P79,R81)</f>
        <v>20031280.519170288</v>
      </c>
      <c r="Q81" s="21">
        <f>SUM(S81,T81)</f>
        <v>227180.94317028625</v>
      </c>
      <c r="R81" s="21">
        <f>SUM(C81,-C78*W19*2,D81,-D78*W20*2,N81,Q81)</f>
        <v>-2422539.0568297138</v>
      </c>
      <c r="S81" s="21">
        <f>SUM((SUM(I78,-I79,-I81)*I82),(SUM(J78,-J79,-J81)*J82),(SUM(K78,-K79)*K82),(-O79*O80),(-O81*O82),(R79*R80))</f>
        <v>-1969572.1182582849</v>
      </c>
      <c r="T81" s="43">
        <f>SUM((SUM(C78,-C79,-C81)*C82),(SUM(D78,-D79,-D81)*D82),(SUM(E78,-E79,-E81)*E82),(SUM(G78,-G79)*G82),(-N79*N80),(-N81*N82))</f>
        <v>2196753.0614285711</v>
      </c>
      <c r="U81" s="149"/>
    </row>
    <row r="82" spans="2:21" s="3" customFormat="1" hidden="1" x14ac:dyDescent="0.25">
      <c r="B82" s="3" t="s">
        <v>786</v>
      </c>
      <c r="C82" s="19">
        <f>C58</f>
        <v>2.9392857142857137E-2</v>
      </c>
      <c r="D82" s="19">
        <f>D58</f>
        <v>2.9392857142857137E-2</v>
      </c>
      <c r="E82" s="19">
        <f t="shared" si="8"/>
        <v>2.9392857142857137E-2</v>
      </c>
      <c r="F82" s="19">
        <f>F58</f>
        <v>0</v>
      </c>
      <c r="G82" s="19">
        <f>SUM(W8,W22)</f>
        <v>0.02</v>
      </c>
      <c r="H82" s="19">
        <f>H58</f>
        <v>0</v>
      </c>
      <c r="I82" s="19">
        <f>I58</f>
        <v>2.7392857142857135E-2</v>
      </c>
      <c r="J82" s="19">
        <f>J58</f>
        <v>2.7392857142857135E-2</v>
      </c>
      <c r="K82" s="19">
        <f>SUM(W9,W22)</f>
        <v>0.02</v>
      </c>
      <c r="L82" s="19">
        <f>L58</f>
        <v>0</v>
      </c>
      <c r="M82" s="19">
        <f>M58</f>
        <v>0</v>
      </c>
      <c r="N82" s="8">
        <f>SUM(W7,W21)</f>
        <v>2.0999999999999998E-2</v>
      </c>
      <c r="O82" s="8">
        <f>SUM(W10,W21)</f>
        <v>1.6E-2</v>
      </c>
      <c r="P82" s="19">
        <f>Q81/P81</f>
        <v>1.1341309056746027E-2</v>
      </c>
      <c r="Q82" s="12"/>
      <c r="R82" s="8">
        <f>SUM(W10,W21)</f>
        <v>1.6E-2</v>
      </c>
    </row>
    <row r="83" spans="2:21" s="3" customFormat="1" hidden="1" x14ac:dyDescent="0.25">
      <c r="B83" s="3" t="s">
        <v>787</v>
      </c>
      <c r="C83" s="12">
        <f>C59*X19</f>
        <v>451322.66666666669</v>
      </c>
      <c r="D83" s="12">
        <f>D59*X20</f>
        <v>844096</v>
      </c>
      <c r="E83" s="12">
        <f t="shared" si="8"/>
        <v>0</v>
      </c>
      <c r="F83" s="12"/>
      <c r="G83" s="12"/>
      <c r="H83" s="12"/>
      <c r="I83" s="54">
        <f t="shared" ref="I83:I97" si="9">I59</f>
        <v>-5191666.666666667</v>
      </c>
      <c r="J83" s="54">
        <f t="shared" ref="J83:J88" si="10">J59</f>
        <v>-7333.333333333333</v>
      </c>
      <c r="K83" s="12"/>
      <c r="L83" s="12"/>
      <c r="M83" s="12"/>
      <c r="N83" s="55">
        <f>SUM(-C83,-D83)</f>
        <v>-1295418.6666666667</v>
      </c>
      <c r="O83" s="12">
        <f>-SUM(C83,D83,E83,I83,J83,N83)</f>
        <v>5199000</v>
      </c>
      <c r="P83" s="21">
        <f>SUM(P81,R83)</f>
        <v>21098084.069317013</v>
      </c>
      <c r="Q83" s="21">
        <f>SUM(S83,T83)</f>
        <v>1066803.5501467253</v>
      </c>
      <c r="R83" s="21">
        <f>SUM(C83,D83,N83,Q83)</f>
        <v>1066803.5501467253</v>
      </c>
      <c r="S83" s="21">
        <f>SUM((SUM(I78,-I79,-I81,-I83)*I84),(SUM(J78,-J79,-J81,-J83)*J84),(SUM(K78,-K79)*K84),(-O79*O80),(-O81*O82),(-O83*O84),(R79*R80),(R81*R82))</f>
        <v>-1951626.5074532751</v>
      </c>
      <c r="T83" s="43">
        <f>SUM((SUM(C78,-C79,-C81,-C83)*C84),(SUM(D78,-D79,-D81,-D83)*D84),(SUM(E78,-E79,-E81,-E83)*E84),(SUM(G78,-G79)*G84),(-N79*N80),(-N81*N82),(-N83*N84))</f>
        <v>3018430.0576000004</v>
      </c>
      <c r="U83" s="149"/>
    </row>
    <row r="84" spans="2:21" s="3" customFormat="1" hidden="1" x14ac:dyDescent="0.25">
      <c r="B84" s="3" t="s">
        <v>794</v>
      </c>
      <c r="C84" s="19">
        <f>C60</f>
        <v>2.86E-2</v>
      </c>
      <c r="D84" s="19">
        <f>D60</f>
        <v>2.86E-2</v>
      </c>
      <c r="E84" s="19">
        <f t="shared" si="8"/>
        <v>2.86E-2</v>
      </c>
      <c r="F84" s="19">
        <f>F60</f>
        <v>0</v>
      </c>
      <c r="G84" s="19">
        <f>SUM(W8,W23)</f>
        <v>0.03</v>
      </c>
      <c r="H84" s="19">
        <f>H60</f>
        <v>0</v>
      </c>
      <c r="I84" s="19">
        <f>I60</f>
        <v>2.6599999999999999E-2</v>
      </c>
      <c r="J84" s="19">
        <f t="shared" si="10"/>
        <v>2.6599999999999999E-2</v>
      </c>
      <c r="K84" s="19">
        <f>SUM(W9,W23)</f>
        <v>0.03</v>
      </c>
      <c r="L84" s="19">
        <f>L60</f>
        <v>0</v>
      </c>
      <c r="M84" s="19">
        <f>M60</f>
        <v>0</v>
      </c>
      <c r="N84" s="8">
        <f>SUM(W7,W22)</f>
        <v>3.1E-2</v>
      </c>
      <c r="O84" s="8">
        <f>SUM(W10,W22)</f>
        <v>2.6000000000000002E-2</v>
      </c>
      <c r="P84" s="19">
        <f>Q83/P83</f>
        <v>5.0564001292334397E-2</v>
      </c>
      <c r="R84" s="8">
        <f>SUM(W10,W22)</f>
        <v>2.6000000000000002E-2</v>
      </c>
    </row>
    <row r="85" spans="2:21" s="3" customFormat="1" hidden="1" x14ac:dyDescent="0.25">
      <c r="B85" s="3" t="s">
        <v>614</v>
      </c>
      <c r="C85" s="12">
        <f>C61*X19</f>
        <v>451322.66666666669</v>
      </c>
      <c r="D85" s="12">
        <f>D61*X20</f>
        <v>844096</v>
      </c>
      <c r="E85" s="12">
        <f t="shared" si="8"/>
        <v>0</v>
      </c>
      <c r="F85" s="12"/>
      <c r="G85" s="12"/>
      <c r="H85" s="12"/>
      <c r="I85" s="54">
        <f t="shared" si="9"/>
        <v>-5191666.666666667</v>
      </c>
      <c r="J85" s="54">
        <f t="shared" si="10"/>
        <v>-7333.333333333333</v>
      </c>
      <c r="K85" s="12"/>
      <c r="L85" s="12"/>
      <c r="M85" s="12"/>
      <c r="N85" s="55">
        <f>SUM(-C85,-D85)</f>
        <v>-1295418.6666666667</v>
      </c>
      <c r="O85" s="12">
        <f>-SUM(C85,D85,E85,I85,J85,N85)</f>
        <v>5199000</v>
      </c>
      <c r="P85" s="21">
        <f>SUM(P83,R85)</f>
        <v>22214430.757278666</v>
      </c>
      <c r="Q85" s="21">
        <f>SUM(S85,T85)</f>
        <v>1116346.6879616512</v>
      </c>
      <c r="R85" s="21">
        <f>SUM(C85,D85,N85,Q85)</f>
        <v>1116346.6879616512</v>
      </c>
      <c r="S85" s="21">
        <f>SUM((SUM(I78,-I79,-I81,-I83,-I85)*I86),(SUM(J78,-J79,-J81,-J83,-J85)*J86),(SUM(K78,-K79)*K86),(-O79*O80),(-O81*O82),(-O83*O84),(-O85*O86),(R79*R80),(R81*R82),(R83*R84))</f>
        <v>-1900320.8151494602</v>
      </c>
      <c r="T85" s="43">
        <f>SUM((SUM(C78,-C79,-C81,-C83,-C85)*C86),(SUM(D78,-D79,-D81,-D83,-D85)*D86),(SUM(E78,-E79,-E81,-E83,-E85)*E86),(SUM(G78,-G79)*G86),(-N79*N80),(-N81*N82),(-N83*N84),(-N85*N86))</f>
        <v>3016667.5031111115</v>
      </c>
      <c r="U85" s="149"/>
    </row>
    <row r="86" spans="2:21" s="3" customFormat="1" hidden="1" x14ac:dyDescent="0.25">
      <c r="B86" s="3" t="s">
        <v>727</v>
      </c>
      <c r="C86" s="19">
        <f>C62</f>
        <v>2.7333333333333334E-2</v>
      </c>
      <c r="D86" s="19">
        <f>D62</f>
        <v>2.7333333333333334E-2</v>
      </c>
      <c r="E86" s="19">
        <f t="shared" si="8"/>
        <v>2.7333333333333334E-2</v>
      </c>
      <c r="F86" s="19">
        <f>F62</f>
        <v>0</v>
      </c>
      <c r="G86" s="19">
        <f>SUM(W8,W23)</f>
        <v>0.03</v>
      </c>
      <c r="H86" s="19">
        <f>H62</f>
        <v>0</v>
      </c>
      <c r="I86" s="19">
        <f>I62</f>
        <v>2.5333333333333333E-2</v>
      </c>
      <c r="J86" s="19">
        <f t="shared" si="10"/>
        <v>2.5333333333333333E-2</v>
      </c>
      <c r="K86" s="19">
        <f>SUM(W9,W23)</f>
        <v>0.03</v>
      </c>
      <c r="L86" s="19">
        <f>L62</f>
        <v>0</v>
      </c>
      <c r="M86" s="19">
        <f>M62</f>
        <v>0</v>
      </c>
      <c r="N86" s="8">
        <f>SUM(W7,W23)</f>
        <v>4.0999999999999995E-2</v>
      </c>
      <c r="O86" s="8">
        <f>SUM(W10,W23)</f>
        <v>3.5999999999999997E-2</v>
      </c>
      <c r="P86" s="19">
        <f>Q85/P85</f>
        <v>5.0253220537549666E-2</v>
      </c>
      <c r="R86" s="8">
        <f>SUM($W$10,$W$23)</f>
        <v>3.5999999999999997E-2</v>
      </c>
    </row>
    <row r="87" spans="2:21" s="3" customFormat="1" hidden="1" x14ac:dyDescent="0.25">
      <c r="B87" s="3" t="s">
        <v>788</v>
      </c>
      <c r="C87" s="12">
        <f>C63*X19</f>
        <v>451322.66666666669</v>
      </c>
      <c r="D87" s="12">
        <f>D63*X20</f>
        <v>844096</v>
      </c>
      <c r="E87" s="12">
        <f t="shared" ref="E87:E98" si="11">E63</f>
        <v>0</v>
      </c>
      <c r="F87" s="12"/>
      <c r="G87" s="12"/>
      <c r="H87" s="12"/>
      <c r="I87" s="54">
        <f t="shared" si="9"/>
        <v>-5191666.666666667</v>
      </c>
      <c r="J87" s="54">
        <f t="shared" si="10"/>
        <v>-7333.333333333333</v>
      </c>
      <c r="K87" s="12"/>
      <c r="L87" s="12"/>
      <c r="M87" s="12"/>
      <c r="N87" s="55">
        <f>SUM(-C87,-D87)</f>
        <v>-1295418.6666666667</v>
      </c>
      <c r="O87" s="12">
        <f>-SUM(C87,D87,E87,I87,J87,N87)</f>
        <v>5199000</v>
      </c>
      <c r="P87" s="21">
        <f>SUM(P85,R87)</f>
        <v>23410094.17045946</v>
      </c>
      <c r="Q87" s="22">
        <f>SUM(S87,T87)</f>
        <v>1195663.413180796</v>
      </c>
      <c r="R87" s="21">
        <f>SUM(C87,D87,N87,Q87)</f>
        <v>1195663.413180796</v>
      </c>
      <c r="S87" s="21">
        <f>SUM((SUM(I78,-I79,-I81,-I83,-I85,-I87)*I88),(SUM(J78,-J79,-J81,-J83,-J85,-J87)*J88),(SUM(K78,-K79)*K88),(-O79*O80),(-O81*O82),(-O83*O84),(-O85*O86),(-O87*O88),(R79*R80),(R81*R82),(R83*R84),(R85*R86))</f>
        <v>-1813656.4252919317</v>
      </c>
      <c r="T87" s="43">
        <f>SUM((SUM(C78,-C79,-C81,-C83,-C85,-C87)*C88),(SUM(D78,-D79,-D81,-D83,-D85,-D87)*D88),(SUM(E78,-E79,-E81,-E83,-E85,-E87)*E88),(SUM(G78,-G79)*G88),(-N79*N80),(-N81*N82),(-N83*N84),(-N85*N86),(-N87*N88))</f>
        <v>3009319.8384727277</v>
      </c>
      <c r="U87" s="149"/>
    </row>
    <row r="88" spans="2:21" s="3" customFormat="1" hidden="1" x14ac:dyDescent="0.25">
      <c r="B88" s="3" t="s">
        <v>615</v>
      </c>
      <c r="C88" s="19">
        <f>C64</f>
        <v>2.5372727272727269E-2</v>
      </c>
      <c r="D88" s="19">
        <f>D64</f>
        <v>2.5372727272727269E-2</v>
      </c>
      <c r="E88" s="19">
        <f t="shared" si="11"/>
        <v>2.5372727272727269E-2</v>
      </c>
      <c r="F88" s="19">
        <f>F64</f>
        <v>0</v>
      </c>
      <c r="G88" s="19">
        <f>SUM(W8,W23)</f>
        <v>0.03</v>
      </c>
      <c r="H88" s="19">
        <f>H64</f>
        <v>0</v>
      </c>
      <c r="I88" s="19">
        <f>I64</f>
        <v>2.3372727272727271E-2</v>
      </c>
      <c r="J88" s="19">
        <f t="shared" si="10"/>
        <v>2.3372727272727271E-2</v>
      </c>
      <c r="K88" s="19">
        <f>SUM(W9,W23)</f>
        <v>0.03</v>
      </c>
      <c r="L88" s="19">
        <f>L64</f>
        <v>0</v>
      </c>
      <c r="M88" s="19">
        <f>M64</f>
        <v>0</v>
      </c>
      <c r="N88" s="8">
        <f>SUM(W7,W23)</f>
        <v>4.0999999999999995E-2</v>
      </c>
      <c r="O88" s="8">
        <f>SUM(W10,W23)</f>
        <v>3.5999999999999997E-2</v>
      </c>
      <c r="P88" s="19">
        <f>Q87/P87</f>
        <v>5.1074694722483008E-2</v>
      </c>
      <c r="R88" s="8">
        <f>SUM($W$10,$W$23)</f>
        <v>3.5999999999999997E-2</v>
      </c>
    </row>
    <row r="89" spans="2:21" s="3" customFormat="1" hidden="1" x14ac:dyDescent="0.25">
      <c r="B89" s="3" t="s">
        <v>728</v>
      </c>
      <c r="C89" s="12">
        <f>C65*X19</f>
        <v>451322.66666666669</v>
      </c>
      <c r="D89" s="12">
        <f>D65*X20</f>
        <v>844096</v>
      </c>
      <c r="E89" s="12">
        <f t="shared" si="11"/>
        <v>0</v>
      </c>
      <c r="F89" s="12"/>
      <c r="G89" s="12"/>
      <c r="H89" s="12"/>
      <c r="I89" s="54">
        <f t="shared" si="9"/>
        <v>-5191666.666666667</v>
      </c>
      <c r="J89" s="54">
        <f t="shared" ref="J89:J98" si="12">J65</f>
        <v>-7333.333333333333</v>
      </c>
      <c r="K89" s="12"/>
      <c r="L89" s="12"/>
      <c r="M89" s="12"/>
      <c r="N89" s="55">
        <f>SUM(-C89,-D89)</f>
        <v>-1295418.6666666667</v>
      </c>
      <c r="O89" s="12">
        <f>-SUM(C89,D89,E89,I89,J89,N89)</f>
        <v>5199000</v>
      </c>
      <c r="P89" s="21">
        <f>SUM(P87,R89)</f>
        <v>24684349.76855113</v>
      </c>
      <c r="Q89" s="22">
        <f>SUM(S89,T89)</f>
        <v>1274255.5980916678</v>
      </c>
      <c r="R89" s="21">
        <f>SUM(C89,D89,N89,Q89)</f>
        <v>1274255.5980916678</v>
      </c>
      <c r="S89" s="21">
        <f>SUM((SUM(I78,-I79,-I81,-I83,-I85,-I87,-I89)*I90),(SUM(J78,-J79,-J81,-J83,-J85,-J87,-J89)*J90),(SUM(K78,-K79)*K90),(-O79*O80),(-O81*O82),(-O83*O84),(-O85*O86),(-O87*O88),(-O89*O90),(R79*R80),(R81*R82),(R83*R84),(R85*R86),(R87*R88))</f>
        <v>-1728982.7315083325</v>
      </c>
      <c r="T89" s="43">
        <f>SUM((SUM(C78,-C79,-C81,-C83,-C85,-C87,-C89)*C90),(SUM(D78,-D79,-D81,-D83,-D85,-D87,-D89)*D90),(SUM(E78,-E79,-E81,-E83,-E85,-E87,-E89)*E90),(SUM(G78,-G79)*G90),(-N79*N80),(-N81*N82),(-N83*N84),(-N85*N86),(-N87*N88),(-N89*N90))</f>
        <v>3003238.3296000003</v>
      </c>
      <c r="U89" s="149"/>
    </row>
    <row r="90" spans="2:21" s="3" customFormat="1" hidden="1" x14ac:dyDescent="0.25">
      <c r="B90" s="3" t="s">
        <v>789</v>
      </c>
      <c r="C90" s="19">
        <f>C66</f>
        <v>2.3080000000000003E-2</v>
      </c>
      <c r="D90" s="19">
        <f>D66</f>
        <v>2.3080000000000003E-2</v>
      </c>
      <c r="E90" s="19">
        <f t="shared" si="11"/>
        <v>2.3080000000000003E-2</v>
      </c>
      <c r="F90" s="19">
        <f>F66</f>
        <v>0</v>
      </c>
      <c r="G90" s="19">
        <f>SUM(W8,W23)</f>
        <v>0.03</v>
      </c>
      <c r="H90" s="19">
        <f>H66</f>
        <v>0</v>
      </c>
      <c r="I90" s="19">
        <f>I66</f>
        <v>2.1080000000000002E-2</v>
      </c>
      <c r="J90" s="19">
        <f t="shared" si="12"/>
        <v>2.1080000000000002E-2</v>
      </c>
      <c r="K90" s="19">
        <f>SUM(W9,W23)</f>
        <v>0.03</v>
      </c>
      <c r="L90" s="19">
        <f>L66</f>
        <v>0</v>
      </c>
      <c r="M90" s="19">
        <f>M66</f>
        <v>0</v>
      </c>
      <c r="N90" s="8">
        <f>SUM(W7,W23)</f>
        <v>4.0999999999999995E-2</v>
      </c>
      <c r="O90" s="8">
        <f>SUM(W10,W23)</f>
        <v>3.5999999999999997E-2</v>
      </c>
      <c r="P90" s="19">
        <f>Q89/P89</f>
        <v>5.1622003821835384E-2</v>
      </c>
      <c r="R90" s="8">
        <f>SUM($W$10,$W$23)</f>
        <v>3.5999999999999997E-2</v>
      </c>
    </row>
    <row r="91" spans="2:21" s="3" customFormat="1" hidden="1" x14ac:dyDescent="0.25">
      <c r="B91" s="3" t="s">
        <v>791</v>
      </c>
      <c r="C91" s="12">
        <f>C67*X19</f>
        <v>451322.66666666669</v>
      </c>
      <c r="D91" s="12">
        <f>D67*X20</f>
        <v>844096</v>
      </c>
      <c r="E91" s="12">
        <f t="shared" si="11"/>
        <v>0</v>
      </c>
      <c r="F91" s="12"/>
      <c r="G91" s="12"/>
      <c r="H91" s="12"/>
      <c r="I91" s="54">
        <f t="shared" si="9"/>
        <v>-5191666.666666667</v>
      </c>
      <c r="J91" s="54">
        <f t="shared" si="12"/>
        <v>-7333.333333333333</v>
      </c>
      <c r="K91" s="12"/>
      <c r="L91" s="12"/>
      <c r="M91" s="12"/>
      <c r="N91" s="55">
        <f>SUM(-C91,-D91)</f>
        <v>-1295418.6666666667</v>
      </c>
      <c r="O91" s="12">
        <f>-SUM(C91,D91,E91,I91,J91,N91)</f>
        <v>5199000</v>
      </c>
      <c r="P91" s="21">
        <f>SUM(P89,R91)</f>
        <v>26019284.837300025</v>
      </c>
      <c r="Q91" s="22">
        <f>SUM(S91,T91)</f>
        <v>1334935.0687488946</v>
      </c>
      <c r="R91" s="21">
        <f>SUM(C91,D91,N91,Q91)</f>
        <v>1334935.0687488946</v>
      </c>
      <c r="S91" s="21">
        <f>SUM((SUM(I78,-I79,-I81,-I83,-I85,-I87,-I89,-I91)*I92),(SUM(J78,-J79,-J81,-J83,-J85,-J87,-J89,-J91)*J92),(SUM(K78,-K79)*K92),(-O79*O80),(-O81*O82),(-O83*O84),(-O85*O86),(-O87*O88),(-O89*O90),(-O91*O92),(R79*R80),(R81*R82),(R83*R84),(R85*R86),(R87*R88),(R89*R90))</f>
        <v>-1669083.7833103654</v>
      </c>
      <c r="T91" s="43">
        <f>SUM((SUM(C78,-C79,-C81,-C83,-C85,-C87,-C89,-C91)*C92),(SUM(D78,-D79,-D81,-D83,-D85,-D87,-D89,-D91)*D92),(SUM(E78,-E79,-E81,-E83,-E85,-E87,-E89,-E91)*E92),(SUM(G78,-G79)*G92),(-N79*N80),(-N81*N82),(-N83*N84),(-N85*N86),(-N87*N88),(-N89*N90),(-N91*N92))</f>
        <v>3004018.85205926</v>
      </c>
      <c r="U91" s="148"/>
    </row>
    <row r="92" spans="2:21" s="3" customFormat="1" hidden="1" x14ac:dyDescent="0.25">
      <c r="B92" s="3" t="s">
        <v>790</v>
      </c>
      <c r="C92" s="19">
        <f>C68</f>
        <v>2.087777777777778E-2</v>
      </c>
      <c r="D92" s="19">
        <f>D68</f>
        <v>2.087777777777778E-2</v>
      </c>
      <c r="E92" s="19">
        <f t="shared" si="11"/>
        <v>2.087777777777778E-2</v>
      </c>
      <c r="F92" s="19">
        <f>F68</f>
        <v>0</v>
      </c>
      <c r="G92" s="19">
        <f>SUM(W8,W23)</f>
        <v>0.03</v>
      </c>
      <c r="H92" s="19">
        <f>H68</f>
        <v>0</v>
      </c>
      <c r="I92" s="19">
        <f>I68</f>
        <v>1.8877777777777778E-2</v>
      </c>
      <c r="J92" s="19">
        <f t="shared" si="12"/>
        <v>1.8877777777777778E-2</v>
      </c>
      <c r="K92" s="19">
        <f>SUM(W9,W23)</f>
        <v>0.03</v>
      </c>
      <c r="L92" s="19">
        <f>L68</f>
        <v>0</v>
      </c>
      <c r="M92" s="19">
        <f>M68</f>
        <v>0</v>
      </c>
      <c r="N92" s="8">
        <f>SUM(W7,W23)</f>
        <v>4.0999999999999995E-2</v>
      </c>
      <c r="O92" s="8">
        <f>SUM(W10,W23)</f>
        <v>3.5999999999999997E-2</v>
      </c>
      <c r="P92" s="19">
        <f>Q91/P91</f>
        <v>5.1305601867857431E-2</v>
      </c>
      <c r="R92" s="8">
        <f>SUM($W$10,$W$23)</f>
        <v>3.5999999999999997E-2</v>
      </c>
    </row>
    <row r="93" spans="2:21" s="3" customFormat="1" hidden="1" x14ac:dyDescent="0.25">
      <c r="B93" s="3" t="s">
        <v>616</v>
      </c>
      <c r="C93" s="12">
        <f>C69*X19</f>
        <v>451322.66666666669</v>
      </c>
      <c r="D93" s="12">
        <f>D69*X20</f>
        <v>844096</v>
      </c>
      <c r="E93" s="12">
        <f t="shared" si="11"/>
        <v>0</v>
      </c>
      <c r="F93" s="12"/>
      <c r="G93" s="12"/>
      <c r="H93" s="12"/>
      <c r="I93" s="54">
        <f t="shared" si="9"/>
        <v>-5191666.666666667</v>
      </c>
      <c r="J93" s="54">
        <f t="shared" si="12"/>
        <v>-7333.333333333333</v>
      </c>
      <c r="K93" s="12"/>
      <c r="L93" s="12"/>
      <c r="M93" s="12"/>
      <c r="N93" s="55">
        <f>SUM(-C93,-D93)</f>
        <v>-1295418.6666666667</v>
      </c>
      <c r="O93" s="12">
        <f>-SUM(C93,D93,E93,I93,J93,N93)</f>
        <v>5199000</v>
      </c>
      <c r="P93" s="21">
        <f>SUM(P91,R93)</f>
        <v>27390967.951131288</v>
      </c>
      <c r="Q93" s="22">
        <f>SUM(S93,T93)</f>
        <v>1371683.1138312621</v>
      </c>
      <c r="R93" s="21">
        <f>SUM(C93,D93,N93,Q93)</f>
        <v>1371683.1138312621</v>
      </c>
      <c r="S93" s="21">
        <f>SUM((SUM(I78,-I79,-I81,-I83,-I85,-I87,-I89,-I91,-I93)*I94),(SUM(J78,-J79,-J81,-J83,-J85,-J87,-J89,-J91,-J93)*J94),(SUM(K78,-K79)*K94),(-O79*O80),(-O81*O82),(-O83*O84),(-O85*O86),(-O87*O88),(-O89*O90),(-O91*O92),(-O93*O94),(R79*R80),(R81*R82),(R83*R84),(R85*R86),(R87*R88),(R89*R90),(R91*R92))</f>
        <v>-1641706.5875020721</v>
      </c>
      <c r="T93" s="43">
        <f>SUM((SUM(C78,-C79,-C81,-C83,-C85,-C87,-C89,-C91,-C93)*C94),(SUM(D78,-D79,-D81,-D83,-D85,-D87,-D89,-D91,-D93)*D94),(SUM(E78,-E79,-E81,-E83,-E85,-E87,-E89,-E91,-E93)*E94),(SUM(G78,-G79)*G94),(-N79*N80),(-N81*N82),(-N83*N84),(-N85*N86),(-N87*N88),(-N89*N90),(-N91*N92),(-N93*N94))</f>
        <v>3013389.7013333342</v>
      </c>
      <c r="U93" s="149"/>
    </row>
    <row r="94" spans="2:21" s="3" customFormat="1" hidden="1" x14ac:dyDescent="0.25">
      <c r="B94" s="3" t="s">
        <v>617</v>
      </c>
      <c r="C94" s="19">
        <f>C70</f>
        <v>1.9000000000000003E-2</v>
      </c>
      <c r="D94" s="19">
        <f>D70</f>
        <v>1.9000000000000003E-2</v>
      </c>
      <c r="E94" s="19">
        <f t="shared" si="11"/>
        <v>1.9000000000000003E-2</v>
      </c>
      <c r="F94" s="19">
        <f>F70</f>
        <v>0</v>
      </c>
      <c r="G94" s="19">
        <f>SUM(W8,W23)</f>
        <v>0.03</v>
      </c>
      <c r="H94" s="19">
        <f>H70</f>
        <v>0</v>
      </c>
      <c r="I94" s="19">
        <f>I70</f>
        <v>1.7000000000000001E-2</v>
      </c>
      <c r="J94" s="19">
        <f t="shared" si="12"/>
        <v>1.7000000000000001E-2</v>
      </c>
      <c r="K94" s="19">
        <f>SUM(W9,W23)</f>
        <v>0.03</v>
      </c>
      <c r="L94" s="19">
        <f>L70</f>
        <v>0</v>
      </c>
      <c r="M94" s="19">
        <f>M70</f>
        <v>0</v>
      </c>
      <c r="N94" s="8">
        <f>SUM(W7,W23)</f>
        <v>4.0999999999999995E-2</v>
      </c>
      <c r="O94" s="8">
        <f>SUM(W10,W23)</f>
        <v>3.5999999999999997E-2</v>
      </c>
      <c r="P94" s="19">
        <f>Q93/P93</f>
        <v>5.0077935043351014E-2</v>
      </c>
      <c r="R94" s="8">
        <f>SUM($W$10,$W$23)</f>
        <v>3.5999999999999997E-2</v>
      </c>
    </row>
    <row r="95" spans="2:21" s="3" customFormat="1" hidden="1" x14ac:dyDescent="0.25">
      <c r="B95" s="3" t="s">
        <v>793</v>
      </c>
      <c r="C95" s="12">
        <f>C71*X19</f>
        <v>451322.66666666669</v>
      </c>
      <c r="D95" s="12">
        <f>D71*X20</f>
        <v>844096</v>
      </c>
      <c r="E95" s="12">
        <f t="shared" si="11"/>
        <v>0</v>
      </c>
      <c r="F95" s="12"/>
      <c r="G95" s="12"/>
      <c r="H95" s="12"/>
      <c r="I95" s="54">
        <f t="shared" si="9"/>
        <v>-5191666.666666667</v>
      </c>
      <c r="J95" s="54">
        <f t="shared" si="12"/>
        <v>-7333.333333333333</v>
      </c>
      <c r="K95" s="12"/>
      <c r="L95" s="12"/>
      <c r="M95" s="12"/>
      <c r="N95" s="55">
        <f>SUM(-C95,-D95)</f>
        <v>-1295418.6666666667</v>
      </c>
      <c r="O95" s="12">
        <f>-SUM(C95,D95,E95,I95,J95,N95)</f>
        <v>5199000</v>
      </c>
      <c r="P95" s="21">
        <f>SUM(P93,R95)</f>
        <v>28798385.394127142</v>
      </c>
      <c r="Q95" s="22">
        <f>SUM(S95,T95)</f>
        <v>1407417.4429958537</v>
      </c>
      <c r="R95" s="21">
        <f>SUM(C95,D95,N95,Q95)</f>
        <v>1407417.4429958537</v>
      </c>
      <c r="S95" s="21">
        <f>SUM((SUM(I78,-I79,-I81,-I83,-I85,-I87,-I89,-I91,-I93,-I95)*I96),(SUM(J78,-J79,-J81,-J83,-J85,-J87,-J89,-J91,-J93,-J95)*J96),(SUM(K78,-K79)*K96),(-O79*O80),(-O81*O82),(-O83*O84),(-O85*O86),(-O87*O88),(-O89*O90),(-O91*O92),(-O93*O94),(-O95*O96),(R79*R80),(R81*R82),(R83*R84),(R85*R86),(R87*R88),(R89*R90),(R91*R92),(R93*R94))</f>
        <v>-1616241.395404147</v>
      </c>
      <c r="T95" s="43">
        <f>SUM((SUM(C78,-C79,-C81,-C83,-C85,-C87,-C89,-C91,-C93,-C95)*C96),(SUM(D78,-D79,-D81,-D83,-D85,-D87,-D89,-D91,-D93,-D95)*D96),(SUM(E78,-E79,-E81,-E83,-E85,-E87,-E89,-E91,-E93,-E95)*E96),(SUM(G78,-G79)*G96),(-N79*N80),(-N81*N82),(-N83*N84),(-N85*N86),(-N87*N88),(-N89*N90),(-N91*N92),(-N93*N94),(-N95*N96))</f>
        <v>3023658.8384000007</v>
      </c>
      <c r="U95" s="149"/>
    </row>
    <row r="96" spans="2:21" s="3" customFormat="1" hidden="1" x14ac:dyDescent="0.25">
      <c r="B96" s="3" t="s">
        <v>792</v>
      </c>
      <c r="C96" s="19">
        <f>C72</f>
        <v>1.66E-2</v>
      </c>
      <c r="D96" s="19">
        <f>D72</f>
        <v>1.66E-2</v>
      </c>
      <c r="E96" s="19">
        <f t="shared" si="11"/>
        <v>1.66E-2</v>
      </c>
      <c r="F96" s="19">
        <f>F72</f>
        <v>0</v>
      </c>
      <c r="G96" s="19">
        <f>SUM(W8,W23)</f>
        <v>0.03</v>
      </c>
      <c r="H96" s="19">
        <f>H72</f>
        <v>0</v>
      </c>
      <c r="I96" s="19">
        <f>I72</f>
        <v>1.46E-2</v>
      </c>
      <c r="J96" s="19">
        <f t="shared" si="12"/>
        <v>1.46E-2</v>
      </c>
      <c r="K96" s="19">
        <f>SUM(W9,W23)</f>
        <v>0.03</v>
      </c>
      <c r="L96" s="19">
        <f>L72</f>
        <v>0</v>
      </c>
      <c r="M96" s="19">
        <f>M72</f>
        <v>0</v>
      </c>
      <c r="N96" s="8">
        <f>SUM(W7,W23)</f>
        <v>4.0999999999999995E-2</v>
      </c>
      <c r="O96" s="8">
        <f>SUM(W10,W23)</f>
        <v>3.5999999999999997E-2</v>
      </c>
      <c r="P96" s="19">
        <f>Q95/P95</f>
        <v>4.8871401078022542E-2</v>
      </c>
      <c r="R96" s="8">
        <f>SUM($W$10,$W$23)</f>
        <v>3.5999999999999997E-2</v>
      </c>
    </row>
    <row r="97" spans="2:26" s="3" customFormat="1" hidden="1" x14ac:dyDescent="0.25">
      <c r="B97" s="3" t="s">
        <v>795</v>
      </c>
      <c r="C97" s="12">
        <f>C73*X19</f>
        <v>451322.66666666669</v>
      </c>
      <c r="D97" s="12">
        <f>D73*X20</f>
        <v>844096</v>
      </c>
      <c r="E97" s="12">
        <f t="shared" si="11"/>
        <v>0</v>
      </c>
      <c r="I97" s="54">
        <f t="shared" si="9"/>
        <v>-5191666.666666667</v>
      </c>
      <c r="J97" s="54">
        <f t="shared" si="12"/>
        <v>-7333.333333333333</v>
      </c>
      <c r="N97" s="55">
        <f>SUM(-C97,-D97)</f>
        <v>-1295418.6666666667</v>
      </c>
      <c r="O97" s="12">
        <f>-SUM(C97,D97,E97,I97,J97,N97)</f>
        <v>5199000</v>
      </c>
      <c r="P97" s="21">
        <f>SUM(P95,R97)</f>
        <v>30205376.584804181</v>
      </c>
      <c r="Q97" s="22">
        <f>SUM(S97,T97)</f>
        <v>1406991.1906770382</v>
      </c>
      <c r="R97" s="21">
        <f>SUM(C97,D97,N97,Q97)</f>
        <v>1406991.1906770382</v>
      </c>
      <c r="S97" s="21">
        <f>SUM((SUM(I78,-I79,-I81,-I83,-I85,-I87,-I89,-I91,-I93,-I95,-I97)*I98),(SUM(J78,-J79,-J81,-J83,-J85,-J87,-J89,-J91,-J93,-J95,-J97)*J98),(SUM(K78,-K79)*K98),(-O79*O80),(-O81*O82),(-O83*O84),(-O85*O86),(-O87*O88),(-O89*O90),(-O91*O92),(-O93*O94),(-O95*O96),(-O97*O98),(R79*R80),(R81*R82),(R83*R84),(R85*R86),(R87*R88),(R89*R90),(R91*R92),(R93*R94),(R95*R96))</f>
        <v>-1639140.2174562959</v>
      </c>
      <c r="T97" s="43">
        <f>SUM((SUM(C78,-C79,-C81,-C83,-C85,-C87,-C89,-C91,-C93,-C95,-C97)*C98),(SUM(D78,-D79,-D81,-D83,-D85,-D87,-D89,-D91,-D93,-D95,-D97)*D98),(SUM(E78,-E79,-E81,-E83,-E85,-E87,-E89,-E91,-E93,-E95,-E97)*E98),(SUM(G78,-G79)*G98),(-N79*N80),(-N81*N82),(-N83*N84),(-N85*N86),(-N87*N88),(-N89*N90),(-N91*N92),(-N93*N94),(-N95*N96),(-N97*N98))</f>
        <v>3046131.408133334</v>
      </c>
      <c r="U97" s="148"/>
    </row>
    <row r="98" spans="2:26" s="3" customFormat="1" hidden="1" x14ac:dyDescent="0.25">
      <c r="B98" s="3" t="s">
        <v>796</v>
      </c>
      <c r="C98" s="19">
        <f>C74</f>
        <v>1.515E-2</v>
      </c>
      <c r="D98" s="19">
        <f>D74</f>
        <v>1.515E-2</v>
      </c>
      <c r="E98" s="19">
        <f t="shared" si="11"/>
        <v>1.515E-2</v>
      </c>
      <c r="F98" s="19">
        <f>F74</f>
        <v>0</v>
      </c>
      <c r="G98" s="19">
        <f>SUM(W8,W23)</f>
        <v>0.03</v>
      </c>
      <c r="H98" s="19">
        <f>H74</f>
        <v>0</v>
      </c>
      <c r="I98" s="19">
        <f>I74</f>
        <v>1.315E-2</v>
      </c>
      <c r="J98" s="19">
        <f t="shared" si="12"/>
        <v>1.315E-2</v>
      </c>
      <c r="K98" s="19">
        <f>SUM(W9,W23)</f>
        <v>0.03</v>
      </c>
      <c r="L98" s="19">
        <f>L74</f>
        <v>0</v>
      </c>
      <c r="M98" s="19">
        <f>M74</f>
        <v>0</v>
      </c>
      <c r="N98" s="8">
        <f>SUM(W7,W23)</f>
        <v>4.0999999999999995E-2</v>
      </c>
      <c r="O98" s="8">
        <f>SUM(W10,W23)</f>
        <v>3.5999999999999997E-2</v>
      </c>
      <c r="P98" s="19">
        <f>Q97/P97</f>
        <v>4.6580819369253346E-2</v>
      </c>
      <c r="R98" s="8">
        <f>SUM($W$10,$W$23)</f>
        <v>3.5999999999999997E-2</v>
      </c>
    </row>
    <row r="99" spans="2:26" x14ac:dyDescent="0.25">
      <c r="C99" s="4"/>
      <c r="D99" s="4"/>
      <c r="E99" s="10"/>
      <c r="F99" s="18"/>
      <c r="G99" s="18"/>
      <c r="H99" s="18"/>
      <c r="I99" s="10"/>
      <c r="J99" s="10"/>
      <c r="K99" s="4"/>
      <c r="L99" s="18"/>
      <c r="M99" s="18"/>
      <c r="N99" s="8"/>
      <c r="O99" s="8"/>
      <c r="P99" s="7"/>
      <c r="V99" s="42"/>
      <c r="Z99" s="3"/>
    </row>
  </sheetData>
  <sheetProtection algorithmName="SHA-512" hashValue="SG4MkN2I9RH5FCencn0dmhRYDo8rAJk0xfg3bWvNrZrtxBNtOWiqr8l+R0iaruvYAr4Y00gagTgcGR6hxbHUyg==" saltValue="tbqF0deZ0HeknJGeV+KZwg==" spinCount="100000" sheet="1" objects="1" scenarios="1" selectLockedCells="1"/>
  <customSheetViews>
    <customSheetView guid="{B41B624D-DA5C-4FA3-85F1-D5B8087B6A65}">
      <pageMargins left="0.7" right="0.7" top="0.75" bottom="0.75" header="0.3" footer="0.3"/>
    </customSheetView>
  </customSheetViews>
  <mergeCells count="1">
    <mergeCell ref="A1:B1"/>
  </mergeCells>
  <conditionalFormatting sqref="F8">
    <cfRule type="cellIs" dxfId="706" priority="1248" operator="greaterThan">
      <formula>0</formula>
    </cfRule>
    <cfRule type="cellIs" dxfId="705" priority="1254" operator="greaterThan">
      <formula>0</formula>
    </cfRule>
    <cfRule type="cellIs" dxfId="704" priority="1256" operator="greaterThan">
      <formula>" € - "</formula>
    </cfRule>
  </conditionalFormatting>
  <conditionalFormatting sqref="C10 C12 C14 C16 C18 C20 C22 C24 I57:J57 J55 I73:J73 I59:J59 I61:J61 I63:J63 I65:J65 I67:J67 I69:J69 I71:J71 L54 C8">
    <cfRule type="cellIs" dxfId="703" priority="1245" operator="greaterThan">
      <formula>0</formula>
    </cfRule>
  </conditionalFormatting>
  <conditionalFormatting sqref="I55">
    <cfRule type="cellIs" dxfId="702" priority="1180" operator="greaterThan">
      <formula>0</formula>
    </cfRule>
    <cfRule type="cellIs" dxfId="701" priority="1181" operator="greaterThan">
      <formula>0</formula>
    </cfRule>
  </conditionalFormatting>
  <conditionalFormatting sqref="E8">
    <cfRule type="cellIs" dxfId="700" priority="1104" operator="greaterThan">
      <formula>0</formula>
    </cfRule>
    <cfRule type="cellIs" dxfId="699" priority="1105" operator="greaterThan">
      <formula>0</formula>
    </cfRule>
    <cfRule type="cellIs" dxfId="698" priority="1106" operator="greaterThan">
      <formula>" € - "</formula>
    </cfRule>
  </conditionalFormatting>
  <conditionalFormatting sqref="E8">
    <cfRule type="cellIs" dxfId="697" priority="1102" operator="greaterThan">
      <formula>0</formula>
    </cfRule>
    <cfRule type="cellIs" dxfId="696" priority="1103" operator="greaterThan">
      <formula>" € - "</formula>
    </cfRule>
  </conditionalFormatting>
  <conditionalFormatting sqref="E8">
    <cfRule type="cellIs" dxfId="695" priority="1097" operator="greaterThan">
      <formula>0</formula>
    </cfRule>
    <cfRule type="cellIs" dxfId="694" priority="1098" operator="greaterThan">
      <formula>0</formula>
    </cfRule>
    <cfRule type="cellIs" dxfId="693" priority="1099" operator="greaterThan">
      <formula>0</formula>
    </cfRule>
    <cfRule type="cellIs" dxfId="692" priority="1100" operator="greaterThan">
      <formula>0</formula>
    </cfRule>
    <cfRule type="cellIs" dxfId="691" priority="1101" operator="greaterThan">
      <formula>0</formula>
    </cfRule>
  </conditionalFormatting>
  <conditionalFormatting sqref="E8">
    <cfRule type="cellIs" dxfId="690" priority="1096" operator="greaterThan">
      <formula>0</formula>
    </cfRule>
  </conditionalFormatting>
  <conditionalFormatting sqref="E10">
    <cfRule type="cellIs" dxfId="689" priority="1093" operator="greaterThan">
      <formula>0</formula>
    </cfRule>
    <cfRule type="cellIs" dxfId="688" priority="1094" operator="greaterThan">
      <formula>0</formula>
    </cfRule>
    <cfRule type="cellIs" dxfId="687" priority="1095" operator="greaterThan">
      <formula>" € - "</formula>
    </cfRule>
  </conditionalFormatting>
  <conditionalFormatting sqref="E10">
    <cfRule type="cellIs" dxfId="686" priority="1091" operator="greaterThan">
      <formula>0</formula>
    </cfRule>
    <cfRule type="cellIs" dxfId="685" priority="1092" operator="greaterThan">
      <formula>" € - "</formula>
    </cfRule>
  </conditionalFormatting>
  <conditionalFormatting sqref="E10">
    <cfRule type="cellIs" dxfId="684" priority="1086" operator="greaterThan">
      <formula>0</formula>
    </cfRule>
    <cfRule type="cellIs" dxfId="683" priority="1087" operator="greaterThan">
      <formula>0</formula>
    </cfRule>
    <cfRule type="cellIs" dxfId="682" priority="1088" operator="greaterThan">
      <formula>0</formula>
    </cfRule>
    <cfRule type="cellIs" dxfId="681" priority="1089" operator="greaterThan">
      <formula>0</formula>
    </cfRule>
    <cfRule type="cellIs" dxfId="680" priority="1090" operator="greaterThan">
      <formula>0</formula>
    </cfRule>
  </conditionalFormatting>
  <conditionalFormatting sqref="E10">
    <cfRule type="cellIs" dxfId="679" priority="1085" operator="greaterThan">
      <formula>0</formula>
    </cfRule>
  </conditionalFormatting>
  <conditionalFormatting sqref="E12">
    <cfRule type="cellIs" dxfId="678" priority="1082" operator="greaterThan">
      <formula>0</formula>
    </cfRule>
    <cfRule type="cellIs" dxfId="677" priority="1083" operator="greaterThan">
      <formula>0</formula>
    </cfRule>
    <cfRule type="cellIs" dxfId="676" priority="1084" operator="greaterThan">
      <formula>" € - "</formula>
    </cfRule>
  </conditionalFormatting>
  <conditionalFormatting sqref="E12">
    <cfRule type="cellIs" dxfId="675" priority="1080" operator="greaterThan">
      <formula>0</formula>
    </cfRule>
    <cfRule type="cellIs" dxfId="674" priority="1081" operator="greaterThan">
      <formula>" € - "</formula>
    </cfRule>
  </conditionalFormatting>
  <conditionalFormatting sqref="E12">
    <cfRule type="cellIs" dxfId="673" priority="1075" operator="greaterThan">
      <formula>0</formula>
    </cfRule>
    <cfRule type="cellIs" dxfId="672" priority="1076" operator="greaterThan">
      <formula>0</formula>
    </cfRule>
    <cfRule type="cellIs" dxfId="671" priority="1077" operator="greaterThan">
      <formula>0</formula>
    </cfRule>
    <cfRule type="cellIs" dxfId="670" priority="1078" operator="greaterThan">
      <formula>0</formula>
    </cfRule>
    <cfRule type="cellIs" dxfId="669" priority="1079" operator="greaterThan">
      <formula>0</formula>
    </cfRule>
  </conditionalFormatting>
  <conditionalFormatting sqref="E12">
    <cfRule type="cellIs" dxfId="668" priority="1074" operator="greaterThan">
      <formula>0</formula>
    </cfRule>
  </conditionalFormatting>
  <conditionalFormatting sqref="E14">
    <cfRule type="cellIs" dxfId="667" priority="1071" operator="greaterThan">
      <formula>0</formula>
    </cfRule>
    <cfRule type="cellIs" dxfId="666" priority="1072" operator="greaterThan">
      <formula>0</formula>
    </cfRule>
    <cfRule type="cellIs" dxfId="665" priority="1073" operator="greaterThan">
      <formula>" € - "</formula>
    </cfRule>
  </conditionalFormatting>
  <conditionalFormatting sqref="E14">
    <cfRule type="cellIs" dxfId="664" priority="1069" operator="greaterThan">
      <formula>0</formula>
    </cfRule>
    <cfRule type="cellIs" dxfId="663" priority="1070" operator="greaterThan">
      <formula>" € - "</formula>
    </cfRule>
  </conditionalFormatting>
  <conditionalFormatting sqref="E14">
    <cfRule type="cellIs" dxfId="662" priority="1064" operator="greaterThan">
      <formula>0</formula>
    </cfRule>
    <cfRule type="cellIs" dxfId="661" priority="1065" operator="greaterThan">
      <formula>0</formula>
    </cfRule>
    <cfRule type="cellIs" dxfId="660" priority="1066" operator="greaterThan">
      <formula>0</formula>
    </cfRule>
    <cfRule type="cellIs" dxfId="659" priority="1067" operator="greaterThan">
      <formula>0</formula>
    </cfRule>
    <cfRule type="cellIs" dxfId="658" priority="1068" operator="greaterThan">
      <formula>0</formula>
    </cfRule>
  </conditionalFormatting>
  <conditionalFormatting sqref="E14">
    <cfRule type="cellIs" dxfId="657" priority="1063" operator="greaterThan">
      <formula>0</formula>
    </cfRule>
  </conditionalFormatting>
  <conditionalFormatting sqref="E16">
    <cfRule type="cellIs" dxfId="656" priority="1060" operator="greaterThan">
      <formula>0</formula>
    </cfRule>
    <cfRule type="cellIs" dxfId="655" priority="1061" operator="greaterThan">
      <formula>0</formula>
    </cfRule>
    <cfRule type="cellIs" dxfId="654" priority="1062" operator="greaterThan">
      <formula>" € - "</formula>
    </cfRule>
  </conditionalFormatting>
  <conditionalFormatting sqref="E16">
    <cfRule type="cellIs" dxfId="653" priority="1058" operator="greaterThan">
      <formula>0</formula>
    </cfRule>
    <cfRule type="cellIs" dxfId="652" priority="1059" operator="greaterThan">
      <formula>" € - "</formula>
    </cfRule>
  </conditionalFormatting>
  <conditionalFormatting sqref="E16">
    <cfRule type="cellIs" dxfId="651" priority="1053" operator="greaterThan">
      <formula>0</formula>
    </cfRule>
    <cfRule type="cellIs" dxfId="650" priority="1054" operator="greaterThan">
      <formula>0</formula>
    </cfRule>
    <cfRule type="cellIs" dxfId="649" priority="1055" operator="greaterThan">
      <formula>0</formula>
    </cfRule>
    <cfRule type="cellIs" dxfId="648" priority="1056" operator="greaterThan">
      <formula>0</formula>
    </cfRule>
    <cfRule type="cellIs" dxfId="647" priority="1057" operator="greaterThan">
      <formula>0</formula>
    </cfRule>
  </conditionalFormatting>
  <conditionalFormatting sqref="E16">
    <cfRule type="cellIs" dxfId="646" priority="1052" operator="greaterThan">
      <formula>0</formula>
    </cfRule>
  </conditionalFormatting>
  <conditionalFormatting sqref="E18">
    <cfRule type="cellIs" dxfId="645" priority="1049" operator="greaterThan">
      <formula>0</formula>
    </cfRule>
    <cfRule type="cellIs" dxfId="644" priority="1050" operator="greaterThan">
      <formula>0</formula>
    </cfRule>
    <cfRule type="cellIs" dxfId="643" priority="1051" operator="greaterThan">
      <formula>" € - "</formula>
    </cfRule>
  </conditionalFormatting>
  <conditionalFormatting sqref="E18">
    <cfRule type="cellIs" dxfId="642" priority="1047" operator="greaterThan">
      <formula>0</formula>
    </cfRule>
    <cfRule type="cellIs" dxfId="641" priority="1048" operator="greaterThan">
      <formula>" € - "</formula>
    </cfRule>
  </conditionalFormatting>
  <conditionalFormatting sqref="E18">
    <cfRule type="cellIs" dxfId="640" priority="1042" operator="greaterThan">
      <formula>0</formula>
    </cfRule>
    <cfRule type="cellIs" dxfId="639" priority="1043" operator="greaterThan">
      <formula>0</formula>
    </cfRule>
    <cfRule type="cellIs" dxfId="638" priority="1044" operator="greaterThan">
      <formula>0</formula>
    </cfRule>
    <cfRule type="cellIs" dxfId="637" priority="1045" operator="greaterThan">
      <formula>0</formula>
    </cfRule>
    <cfRule type="cellIs" dxfId="636" priority="1046" operator="greaterThan">
      <formula>0</formula>
    </cfRule>
  </conditionalFormatting>
  <conditionalFormatting sqref="E18">
    <cfRule type="cellIs" dxfId="635" priority="1041" operator="greaterThan">
      <formula>0</formula>
    </cfRule>
  </conditionalFormatting>
  <conditionalFormatting sqref="E20">
    <cfRule type="cellIs" dxfId="634" priority="1038" operator="greaterThan">
      <formula>0</formula>
    </cfRule>
    <cfRule type="cellIs" dxfId="633" priority="1039" operator="greaterThan">
      <formula>0</formula>
    </cfRule>
    <cfRule type="cellIs" dxfId="632" priority="1040" operator="greaterThan">
      <formula>" € - "</formula>
    </cfRule>
  </conditionalFormatting>
  <conditionalFormatting sqref="E20">
    <cfRule type="cellIs" dxfId="631" priority="1036" operator="greaterThan">
      <formula>0</formula>
    </cfRule>
    <cfRule type="cellIs" dxfId="630" priority="1037" operator="greaterThan">
      <formula>" € - "</formula>
    </cfRule>
  </conditionalFormatting>
  <conditionalFormatting sqref="E20">
    <cfRule type="cellIs" dxfId="629" priority="1031" operator="greaterThan">
      <formula>0</formula>
    </cfRule>
    <cfRule type="cellIs" dxfId="628" priority="1032" operator="greaterThan">
      <formula>0</formula>
    </cfRule>
    <cfRule type="cellIs" dxfId="627" priority="1033" operator="greaterThan">
      <formula>0</formula>
    </cfRule>
    <cfRule type="cellIs" dxfId="626" priority="1034" operator="greaterThan">
      <formula>0</formula>
    </cfRule>
    <cfRule type="cellIs" dxfId="625" priority="1035" operator="greaterThan">
      <formula>0</formula>
    </cfRule>
  </conditionalFormatting>
  <conditionalFormatting sqref="E20">
    <cfRule type="cellIs" dxfId="624" priority="1030" operator="greaterThan">
      <formula>0</formula>
    </cfRule>
  </conditionalFormatting>
  <conditionalFormatting sqref="E22">
    <cfRule type="cellIs" dxfId="623" priority="1027" operator="greaterThan">
      <formula>0</formula>
    </cfRule>
    <cfRule type="cellIs" dxfId="622" priority="1028" operator="greaterThan">
      <formula>0</formula>
    </cfRule>
    <cfRule type="cellIs" dxfId="621" priority="1029" operator="greaterThan">
      <formula>" € - "</formula>
    </cfRule>
  </conditionalFormatting>
  <conditionalFormatting sqref="E22">
    <cfRule type="cellIs" dxfId="620" priority="1025" operator="greaterThan">
      <formula>0</formula>
    </cfRule>
    <cfRule type="cellIs" dxfId="619" priority="1026" operator="greaterThan">
      <formula>" € - "</formula>
    </cfRule>
  </conditionalFormatting>
  <conditionalFormatting sqref="E22">
    <cfRule type="cellIs" dxfId="618" priority="1020" operator="greaterThan">
      <formula>0</formula>
    </cfRule>
    <cfRule type="cellIs" dxfId="617" priority="1021" operator="greaterThan">
      <formula>0</formula>
    </cfRule>
    <cfRule type="cellIs" dxfId="616" priority="1022" operator="greaterThan">
      <formula>0</formula>
    </cfRule>
    <cfRule type="cellIs" dxfId="615" priority="1023" operator="greaterThan">
      <formula>0</formula>
    </cfRule>
    <cfRule type="cellIs" dxfId="614" priority="1024" operator="greaterThan">
      <formula>0</formula>
    </cfRule>
  </conditionalFormatting>
  <conditionalFormatting sqref="E22">
    <cfRule type="cellIs" dxfId="613" priority="1019" operator="greaterThan">
      <formula>0</formula>
    </cfRule>
  </conditionalFormatting>
  <conditionalFormatting sqref="E24">
    <cfRule type="cellIs" dxfId="612" priority="1016" operator="greaterThan">
      <formula>0</formula>
    </cfRule>
    <cfRule type="cellIs" dxfId="611" priority="1017" operator="greaterThan">
      <formula>0</formula>
    </cfRule>
    <cfRule type="cellIs" dxfId="610" priority="1018" operator="greaterThan">
      <formula>" € - "</formula>
    </cfRule>
  </conditionalFormatting>
  <conditionalFormatting sqref="E24">
    <cfRule type="cellIs" dxfId="609" priority="1014" operator="greaterThan">
      <formula>0</formula>
    </cfRule>
    <cfRule type="cellIs" dxfId="608" priority="1015" operator="greaterThan">
      <formula>" € - "</formula>
    </cfRule>
  </conditionalFormatting>
  <conditionalFormatting sqref="E24">
    <cfRule type="cellIs" dxfId="607" priority="1009" operator="greaterThan">
      <formula>0</formula>
    </cfRule>
    <cfRule type="cellIs" dxfId="606" priority="1010" operator="greaterThan">
      <formula>0</formula>
    </cfRule>
    <cfRule type="cellIs" dxfId="605" priority="1011" operator="greaterThan">
      <formula>0</formula>
    </cfRule>
    <cfRule type="cellIs" dxfId="604" priority="1012" operator="greaterThan">
      <formula>0</formula>
    </cfRule>
    <cfRule type="cellIs" dxfId="603" priority="1013" operator="greaterThan">
      <formula>0</formula>
    </cfRule>
  </conditionalFormatting>
  <conditionalFormatting sqref="E24">
    <cfRule type="cellIs" dxfId="602" priority="1008" operator="greaterThan">
      <formula>0</formula>
    </cfRule>
  </conditionalFormatting>
  <conditionalFormatting sqref="I55">
    <cfRule type="cellIs" dxfId="601" priority="1007" operator="greaterThan">
      <formula>0</formula>
    </cfRule>
  </conditionalFormatting>
  <conditionalFormatting sqref="I57">
    <cfRule type="cellIs" dxfId="600" priority="1005" operator="greaterThan">
      <formula>0</formula>
    </cfRule>
    <cfRule type="cellIs" dxfId="599" priority="1006" operator="greaterThan">
      <formula>0</formula>
    </cfRule>
  </conditionalFormatting>
  <conditionalFormatting sqref="I57">
    <cfRule type="cellIs" dxfId="598" priority="1004" operator="greaterThan">
      <formula>0</formula>
    </cfRule>
  </conditionalFormatting>
  <conditionalFormatting sqref="J57">
    <cfRule type="cellIs" dxfId="597" priority="1002" operator="greaterThan">
      <formula>0</formula>
    </cfRule>
    <cfRule type="cellIs" dxfId="596" priority="1003" operator="greaterThan">
      <formula>0</formula>
    </cfRule>
  </conditionalFormatting>
  <conditionalFormatting sqref="J57">
    <cfRule type="cellIs" dxfId="595" priority="1001" operator="greaterThan">
      <formula>0</formula>
    </cfRule>
  </conditionalFormatting>
  <conditionalFormatting sqref="I59">
    <cfRule type="cellIs" dxfId="594" priority="999" operator="greaterThan">
      <formula>0</formula>
    </cfRule>
    <cfRule type="cellIs" dxfId="593" priority="1000" operator="greaterThan">
      <formula>0</formula>
    </cfRule>
  </conditionalFormatting>
  <conditionalFormatting sqref="I59">
    <cfRule type="cellIs" dxfId="592" priority="998" operator="greaterThan">
      <formula>0</formula>
    </cfRule>
  </conditionalFormatting>
  <conditionalFormatting sqref="J59">
    <cfRule type="cellIs" dxfId="591" priority="996" operator="greaterThan">
      <formula>0</formula>
    </cfRule>
    <cfRule type="cellIs" dxfId="590" priority="997" operator="greaterThan">
      <formula>0</formula>
    </cfRule>
  </conditionalFormatting>
  <conditionalFormatting sqref="J59">
    <cfRule type="cellIs" dxfId="589" priority="995" operator="greaterThan">
      <formula>0</formula>
    </cfRule>
  </conditionalFormatting>
  <conditionalFormatting sqref="F8">
    <cfRule type="cellIs" dxfId="588" priority="989" operator="greaterThan">
      <formula>0</formula>
    </cfRule>
    <cfRule type="cellIs" dxfId="587" priority="990" operator="greaterThan">
      <formula>0</formula>
    </cfRule>
    <cfRule type="cellIs" dxfId="586" priority="991" operator="greaterThan">
      <formula>0</formula>
    </cfRule>
    <cfRule type="cellIs" dxfId="585" priority="992" operator="greaterThan">
      <formula>0</formula>
    </cfRule>
    <cfRule type="cellIs" dxfId="584" priority="993" operator="greaterThan">
      <formula>0</formula>
    </cfRule>
  </conditionalFormatting>
  <conditionalFormatting sqref="F8">
    <cfRule type="cellIs" dxfId="583" priority="988" operator="greaterThan">
      <formula>0</formula>
    </cfRule>
  </conditionalFormatting>
  <conditionalFormatting sqref="I61">
    <cfRule type="cellIs" dxfId="582" priority="968" operator="greaterThan">
      <formula>0</formula>
    </cfRule>
    <cfRule type="cellIs" dxfId="581" priority="969" operator="greaterThan">
      <formula>0</formula>
    </cfRule>
  </conditionalFormatting>
  <conditionalFormatting sqref="I61">
    <cfRule type="cellIs" dxfId="580" priority="967" operator="greaterThan">
      <formula>0</formula>
    </cfRule>
  </conditionalFormatting>
  <conditionalFormatting sqref="I63">
    <cfRule type="cellIs" dxfId="579" priority="965" operator="greaterThan">
      <formula>0</formula>
    </cfRule>
    <cfRule type="cellIs" dxfId="578" priority="966" operator="greaterThan">
      <formula>0</formula>
    </cfRule>
  </conditionalFormatting>
  <conditionalFormatting sqref="I63">
    <cfRule type="cellIs" dxfId="577" priority="964" operator="greaterThan">
      <formula>0</formula>
    </cfRule>
  </conditionalFormatting>
  <conditionalFormatting sqref="I65">
    <cfRule type="cellIs" dxfId="576" priority="962" operator="greaterThan">
      <formula>0</formula>
    </cfRule>
    <cfRule type="cellIs" dxfId="575" priority="963" operator="greaterThan">
      <formula>0</formula>
    </cfRule>
  </conditionalFormatting>
  <conditionalFormatting sqref="I65">
    <cfRule type="cellIs" dxfId="574" priority="961" operator="greaterThan">
      <formula>0</formula>
    </cfRule>
  </conditionalFormatting>
  <conditionalFormatting sqref="I67">
    <cfRule type="cellIs" dxfId="573" priority="959" operator="greaterThan">
      <formula>0</formula>
    </cfRule>
    <cfRule type="cellIs" dxfId="572" priority="960" operator="greaterThan">
      <formula>0</formula>
    </cfRule>
  </conditionalFormatting>
  <conditionalFormatting sqref="I67">
    <cfRule type="cellIs" dxfId="571" priority="958" operator="greaterThan">
      <formula>0</formula>
    </cfRule>
  </conditionalFormatting>
  <conditionalFormatting sqref="I69">
    <cfRule type="cellIs" dxfId="570" priority="956" operator="greaterThan">
      <formula>0</formula>
    </cfRule>
    <cfRule type="cellIs" dxfId="569" priority="957" operator="greaterThan">
      <formula>0</formula>
    </cfRule>
  </conditionalFormatting>
  <conditionalFormatting sqref="I69">
    <cfRule type="cellIs" dxfId="568" priority="955" operator="greaterThan">
      <formula>0</formula>
    </cfRule>
  </conditionalFormatting>
  <conditionalFormatting sqref="I71">
    <cfRule type="cellIs" dxfId="567" priority="953" operator="greaterThan">
      <formula>0</formula>
    </cfRule>
    <cfRule type="cellIs" dxfId="566" priority="954" operator="greaterThan">
      <formula>0</formula>
    </cfRule>
  </conditionalFormatting>
  <conditionalFormatting sqref="I71">
    <cfRule type="cellIs" dxfId="565" priority="952" operator="greaterThan">
      <formula>0</formula>
    </cfRule>
  </conditionalFormatting>
  <conditionalFormatting sqref="I73">
    <cfRule type="cellIs" dxfId="564" priority="950" operator="greaterThan">
      <formula>0</formula>
    </cfRule>
    <cfRule type="cellIs" dxfId="563" priority="951" operator="greaterThan">
      <formula>0</formula>
    </cfRule>
  </conditionalFormatting>
  <conditionalFormatting sqref="I73">
    <cfRule type="cellIs" dxfId="562" priority="949" operator="greaterThan">
      <formula>0</formula>
    </cfRule>
  </conditionalFormatting>
  <conditionalFormatting sqref="J61">
    <cfRule type="cellIs" dxfId="561" priority="947" operator="greaterThan">
      <formula>0</formula>
    </cfRule>
    <cfRule type="cellIs" dxfId="560" priority="948" operator="greaterThan">
      <formula>0</formula>
    </cfRule>
  </conditionalFormatting>
  <conditionalFormatting sqref="J61">
    <cfRule type="cellIs" dxfId="559" priority="946" operator="greaterThan">
      <formula>0</formula>
    </cfRule>
  </conditionalFormatting>
  <conditionalFormatting sqref="J63">
    <cfRule type="cellIs" dxfId="558" priority="944" operator="greaterThan">
      <formula>0</formula>
    </cfRule>
    <cfRule type="cellIs" dxfId="557" priority="945" operator="greaterThan">
      <formula>0</formula>
    </cfRule>
  </conditionalFormatting>
  <conditionalFormatting sqref="J63">
    <cfRule type="cellIs" dxfId="556" priority="943" operator="greaterThan">
      <formula>0</formula>
    </cfRule>
  </conditionalFormatting>
  <conditionalFormatting sqref="J65">
    <cfRule type="cellIs" dxfId="555" priority="941" operator="greaterThan">
      <formula>0</formula>
    </cfRule>
    <cfRule type="cellIs" dxfId="554" priority="942" operator="greaterThan">
      <formula>0</formula>
    </cfRule>
  </conditionalFormatting>
  <conditionalFormatting sqref="J65">
    <cfRule type="cellIs" dxfId="553" priority="940" operator="greaterThan">
      <formula>0</formula>
    </cfRule>
  </conditionalFormatting>
  <conditionalFormatting sqref="J67">
    <cfRule type="cellIs" dxfId="552" priority="938" operator="greaterThan">
      <formula>0</formula>
    </cfRule>
    <cfRule type="cellIs" dxfId="551" priority="939" operator="greaterThan">
      <formula>0</formula>
    </cfRule>
  </conditionalFormatting>
  <conditionalFormatting sqref="J67">
    <cfRule type="cellIs" dxfId="550" priority="937" operator="greaterThan">
      <formula>0</formula>
    </cfRule>
  </conditionalFormatting>
  <conditionalFormatting sqref="J69">
    <cfRule type="cellIs" dxfId="549" priority="935" operator="greaterThan">
      <formula>0</formula>
    </cfRule>
    <cfRule type="cellIs" dxfId="548" priority="936" operator="greaterThan">
      <formula>0</formula>
    </cfRule>
  </conditionalFormatting>
  <conditionalFormatting sqref="J69">
    <cfRule type="cellIs" dxfId="547" priority="934" operator="greaterThan">
      <formula>0</formula>
    </cfRule>
  </conditionalFormatting>
  <conditionalFormatting sqref="J71">
    <cfRule type="cellIs" dxfId="546" priority="932" operator="greaterThan">
      <formula>0</formula>
    </cfRule>
    <cfRule type="cellIs" dxfId="545" priority="933" operator="greaterThan">
      <formula>0</formula>
    </cfRule>
  </conditionalFormatting>
  <conditionalFormatting sqref="J71">
    <cfRule type="cellIs" dxfId="544" priority="931" operator="greaterThan">
      <formula>0</formula>
    </cfRule>
  </conditionalFormatting>
  <conditionalFormatting sqref="J73">
    <cfRule type="cellIs" dxfId="543" priority="929" operator="greaterThan">
      <formula>0</formula>
    </cfRule>
    <cfRule type="cellIs" dxfId="542" priority="930" operator="greaterThan">
      <formula>0</formula>
    </cfRule>
  </conditionalFormatting>
  <conditionalFormatting sqref="J73">
    <cfRule type="cellIs" dxfId="541" priority="928" operator="greaterThan">
      <formula>0</formula>
    </cfRule>
  </conditionalFormatting>
  <conditionalFormatting sqref="D14">
    <cfRule type="cellIs" dxfId="540" priority="925" operator="greaterThan">
      <formula>0</formula>
    </cfRule>
    <cfRule type="cellIs" dxfId="539" priority="926" operator="greaterThan">
      <formula>0</formula>
    </cfRule>
    <cfRule type="cellIs" dxfId="538" priority="927" operator="greaterThan">
      <formula>" € - "</formula>
    </cfRule>
  </conditionalFormatting>
  <conditionalFormatting sqref="D14">
    <cfRule type="cellIs" dxfId="537" priority="923" operator="greaterThan">
      <formula>0</formula>
    </cfRule>
    <cfRule type="cellIs" dxfId="536" priority="924" operator="greaterThan">
      <formula>" € - "</formula>
    </cfRule>
  </conditionalFormatting>
  <conditionalFormatting sqref="D14">
    <cfRule type="cellIs" dxfId="535" priority="918" operator="greaterThan">
      <formula>0</formula>
    </cfRule>
    <cfRule type="cellIs" dxfId="534" priority="919" operator="greaterThan">
      <formula>0</formula>
    </cfRule>
    <cfRule type="cellIs" dxfId="533" priority="920" operator="greaterThan">
      <formula>0</formula>
    </cfRule>
    <cfRule type="cellIs" dxfId="532" priority="921" operator="greaterThan">
      <formula>0</formula>
    </cfRule>
    <cfRule type="cellIs" dxfId="531" priority="922" operator="greaterThan">
      <formula>0</formula>
    </cfRule>
  </conditionalFormatting>
  <conditionalFormatting sqref="D14">
    <cfRule type="cellIs" dxfId="530" priority="917" operator="greaterThan">
      <formula>0</formula>
    </cfRule>
  </conditionalFormatting>
  <conditionalFormatting sqref="D16">
    <cfRule type="cellIs" dxfId="529" priority="914" operator="greaterThan">
      <formula>0</formula>
    </cfRule>
    <cfRule type="cellIs" dxfId="528" priority="915" operator="greaterThan">
      <formula>0</formula>
    </cfRule>
    <cfRule type="cellIs" dxfId="527" priority="916" operator="greaterThan">
      <formula>" € - "</formula>
    </cfRule>
  </conditionalFormatting>
  <conditionalFormatting sqref="D16">
    <cfRule type="cellIs" dxfId="526" priority="912" operator="greaterThan">
      <formula>0</formula>
    </cfRule>
    <cfRule type="cellIs" dxfId="525" priority="913" operator="greaterThan">
      <formula>" € - "</formula>
    </cfRule>
  </conditionalFormatting>
  <conditionalFormatting sqref="D16">
    <cfRule type="cellIs" dxfId="524" priority="907" operator="greaterThan">
      <formula>0</formula>
    </cfRule>
    <cfRule type="cellIs" dxfId="523" priority="908" operator="greaterThan">
      <formula>0</formula>
    </cfRule>
    <cfRule type="cellIs" dxfId="522" priority="909" operator="greaterThan">
      <formula>0</formula>
    </cfRule>
    <cfRule type="cellIs" dxfId="521" priority="910" operator="greaterThan">
      <formula>0</formula>
    </cfRule>
    <cfRule type="cellIs" dxfId="520" priority="911" operator="greaterThan">
      <formula>0</formula>
    </cfRule>
  </conditionalFormatting>
  <conditionalFormatting sqref="D16">
    <cfRule type="cellIs" dxfId="519" priority="906" operator="greaterThan">
      <formula>0</formula>
    </cfRule>
  </conditionalFormatting>
  <conditionalFormatting sqref="D18">
    <cfRule type="cellIs" dxfId="518" priority="903" operator="greaterThan">
      <formula>0</formula>
    </cfRule>
    <cfRule type="cellIs" dxfId="517" priority="904" operator="greaterThan">
      <formula>0</formula>
    </cfRule>
    <cfRule type="cellIs" dxfId="516" priority="905" operator="greaterThan">
      <formula>" € - "</formula>
    </cfRule>
  </conditionalFormatting>
  <conditionalFormatting sqref="D18">
    <cfRule type="cellIs" dxfId="515" priority="901" operator="greaterThan">
      <formula>0</formula>
    </cfRule>
    <cfRule type="cellIs" dxfId="514" priority="902" operator="greaterThan">
      <formula>" € - "</formula>
    </cfRule>
  </conditionalFormatting>
  <conditionalFormatting sqref="D18">
    <cfRule type="cellIs" dxfId="513" priority="896" operator="greaterThan">
      <formula>0</formula>
    </cfRule>
    <cfRule type="cellIs" dxfId="512" priority="897" operator="greaterThan">
      <formula>0</formula>
    </cfRule>
    <cfRule type="cellIs" dxfId="511" priority="898" operator="greaterThan">
      <formula>0</formula>
    </cfRule>
    <cfRule type="cellIs" dxfId="510" priority="899" operator="greaterThan">
      <formula>0</formula>
    </cfRule>
    <cfRule type="cellIs" dxfId="509" priority="900" operator="greaterThan">
      <formula>0</formula>
    </cfRule>
  </conditionalFormatting>
  <conditionalFormatting sqref="D18">
    <cfRule type="cellIs" dxfId="508" priority="895" operator="greaterThan">
      <formula>0</formula>
    </cfRule>
  </conditionalFormatting>
  <conditionalFormatting sqref="D20">
    <cfRule type="cellIs" dxfId="507" priority="892" operator="greaterThan">
      <formula>0</formula>
    </cfRule>
    <cfRule type="cellIs" dxfId="506" priority="893" operator="greaterThan">
      <formula>0</formula>
    </cfRule>
    <cfRule type="cellIs" dxfId="505" priority="894" operator="greaterThan">
      <formula>" € - "</formula>
    </cfRule>
  </conditionalFormatting>
  <conditionalFormatting sqref="D20">
    <cfRule type="cellIs" dxfId="504" priority="890" operator="greaterThan">
      <formula>0</formula>
    </cfRule>
    <cfRule type="cellIs" dxfId="503" priority="891" operator="greaterThan">
      <formula>" € - "</formula>
    </cfRule>
  </conditionalFormatting>
  <conditionalFormatting sqref="D20">
    <cfRule type="cellIs" dxfId="502" priority="885" operator="greaterThan">
      <formula>0</formula>
    </cfRule>
    <cfRule type="cellIs" dxfId="501" priority="886" operator="greaterThan">
      <formula>0</formula>
    </cfRule>
    <cfRule type="cellIs" dxfId="500" priority="887" operator="greaterThan">
      <formula>0</formula>
    </cfRule>
    <cfRule type="cellIs" dxfId="499" priority="888" operator="greaterThan">
      <formula>0</formula>
    </cfRule>
    <cfRule type="cellIs" dxfId="498" priority="889" operator="greaterThan">
      <formula>0</formula>
    </cfRule>
  </conditionalFormatting>
  <conditionalFormatting sqref="D20">
    <cfRule type="cellIs" dxfId="497" priority="884" operator="greaterThan">
      <formula>0</formula>
    </cfRule>
  </conditionalFormatting>
  <conditionalFormatting sqref="D22">
    <cfRule type="cellIs" dxfId="496" priority="881" operator="greaterThan">
      <formula>0</formula>
    </cfRule>
    <cfRule type="cellIs" dxfId="495" priority="882" operator="greaterThan">
      <formula>0</formula>
    </cfRule>
    <cfRule type="cellIs" dxfId="494" priority="883" operator="greaterThan">
      <formula>" € - "</formula>
    </cfRule>
  </conditionalFormatting>
  <conditionalFormatting sqref="D22">
    <cfRule type="cellIs" dxfId="493" priority="879" operator="greaterThan">
      <formula>0</formula>
    </cfRule>
    <cfRule type="cellIs" dxfId="492" priority="880" operator="greaterThan">
      <formula>" € - "</formula>
    </cfRule>
  </conditionalFormatting>
  <conditionalFormatting sqref="D22">
    <cfRule type="cellIs" dxfId="491" priority="874" operator="greaterThan">
      <formula>0</formula>
    </cfRule>
    <cfRule type="cellIs" dxfId="490" priority="875" operator="greaterThan">
      <formula>0</formula>
    </cfRule>
    <cfRule type="cellIs" dxfId="489" priority="876" operator="greaterThan">
      <formula>0</formula>
    </cfRule>
    <cfRule type="cellIs" dxfId="488" priority="877" operator="greaterThan">
      <formula>0</formula>
    </cfRule>
    <cfRule type="cellIs" dxfId="487" priority="878" operator="greaterThan">
      <formula>0</formula>
    </cfRule>
  </conditionalFormatting>
  <conditionalFormatting sqref="D22">
    <cfRule type="cellIs" dxfId="486" priority="873" operator="greaterThan">
      <formula>0</formula>
    </cfRule>
  </conditionalFormatting>
  <conditionalFormatting sqref="D24">
    <cfRule type="cellIs" dxfId="485" priority="870" operator="greaterThan">
      <formula>0</formula>
    </cfRule>
    <cfRule type="cellIs" dxfId="484" priority="871" operator="greaterThan">
      <formula>0</formula>
    </cfRule>
    <cfRule type="cellIs" dxfId="483" priority="872" operator="greaterThan">
      <formula>" € - "</formula>
    </cfRule>
  </conditionalFormatting>
  <conditionalFormatting sqref="D24">
    <cfRule type="cellIs" dxfId="482" priority="868" operator="greaterThan">
      <formula>0</formula>
    </cfRule>
    <cfRule type="cellIs" dxfId="481" priority="869" operator="greaterThan">
      <formula>" € - "</formula>
    </cfRule>
  </conditionalFormatting>
  <conditionalFormatting sqref="D24">
    <cfRule type="cellIs" dxfId="480" priority="863" operator="greaterThan">
      <formula>0</formula>
    </cfRule>
    <cfRule type="cellIs" dxfId="479" priority="864" operator="greaterThan">
      <formula>0</formula>
    </cfRule>
    <cfRule type="cellIs" dxfId="478" priority="865" operator="greaterThan">
      <formula>0</formula>
    </cfRule>
    <cfRule type="cellIs" dxfId="477" priority="866" operator="greaterThan">
      <formula>0</formula>
    </cfRule>
    <cfRule type="cellIs" dxfId="476" priority="867" operator="greaterThan">
      <formula>0</formula>
    </cfRule>
  </conditionalFormatting>
  <conditionalFormatting sqref="D24">
    <cfRule type="cellIs" dxfId="475" priority="862" operator="greaterThan">
      <formula>0</formula>
    </cfRule>
  </conditionalFormatting>
  <conditionalFormatting sqref="L54">
    <cfRule type="cellIs" dxfId="474" priority="861" operator="greaterThan">
      <formula>0</formula>
    </cfRule>
  </conditionalFormatting>
  <conditionalFormatting sqref="I57 I59 I61 I63 I65 I67 I69 I71 I73">
    <cfRule type="cellIs" dxfId="473" priority="860" operator="greaterThan">
      <formula>0</formula>
    </cfRule>
  </conditionalFormatting>
  <conditionalFormatting sqref="I55">
    <cfRule type="cellIs" dxfId="472" priority="858" operator="greaterThan">
      <formula>0</formula>
    </cfRule>
    <cfRule type="cellIs" dxfId="471" priority="859" operator="greaterThan">
      <formula>0</formula>
    </cfRule>
  </conditionalFormatting>
  <conditionalFormatting sqref="I55">
    <cfRule type="cellIs" dxfId="470" priority="857" operator="greaterThan">
      <formula>0</formula>
    </cfRule>
  </conditionalFormatting>
  <conditionalFormatting sqref="I55">
    <cfRule type="cellIs" dxfId="469" priority="856" operator="greaterThan">
      <formula>0</formula>
    </cfRule>
  </conditionalFormatting>
  <conditionalFormatting sqref="I57">
    <cfRule type="cellIs" dxfId="468" priority="854" operator="greaterThan">
      <formula>0</formula>
    </cfRule>
    <cfRule type="cellIs" dxfId="467" priority="855" operator="greaterThan">
      <formula>0</formula>
    </cfRule>
  </conditionalFormatting>
  <conditionalFormatting sqref="I57">
    <cfRule type="cellIs" dxfId="466" priority="853" operator="greaterThan">
      <formula>0</formula>
    </cfRule>
  </conditionalFormatting>
  <conditionalFormatting sqref="I57">
    <cfRule type="cellIs" dxfId="465" priority="851" operator="greaterThan">
      <formula>0</formula>
    </cfRule>
    <cfRule type="cellIs" dxfId="464" priority="852" operator="greaterThan">
      <formula>0</formula>
    </cfRule>
  </conditionalFormatting>
  <conditionalFormatting sqref="I57">
    <cfRule type="cellIs" dxfId="463" priority="850" operator="greaterThan">
      <formula>0</formula>
    </cfRule>
  </conditionalFormatting>
  <conditionalFormatting sqref="I57">
    <cfRule type="cellIs" dxfId="462" priority="849" operator="greaterThan">
      <formula>0</formula>
    </cfRule>
  </conditionalFormatting>
  <conditionalFormatting sqref="L54">
    <cfRule type="cellIs" dxfId="461" priority="836" operator="greaterThan">
      <formula>0</formula>
    </cfRule>
    <cfRule type="cellIs" dxfId="460" priority="837" operator="greaterThan">
      <formula>0</formula>
    </cfRule>
  </conditionalFormatting>
  <conditionalFormatting sqref="L54">
    <cfRule type="cellIs" dxfId="459" priority="835" operator="greaterThan">
      <formula>0</formula>
    </cfRule>
  </conditionalFormatting>
  <conditionalFormatting sqref="L54">
    <cfRule type="cellIs" dxfId="458" priority="834" operator="greaterThan">
      <formula>0</formula>
    </cfRule>
  </conditionalFormatting>
  <conditionalFormatting sqref="L54">
    <cfRule type="cellIs" dxfId="457" priority="832" operator="greaterThan">
      <formula>0</formula>
    </cfRule>
    <cfRule type="cellIs" dxfId="456" priority="833" operator="greaterThan">
      <formula>0</formula>
    </cfRule>
  </conditionalFormatting>
  <conditionalFormatting sqref="L54">
    <cfRule type="cellIs" dxfId="455" priority="831" operator="greaterThan">
      <formula>0</formula>
    </cfRule>
  </conditionalFormatting>
  <conditionalFormatting sqref="L54">
    <cfRule type="cellIs" dxfId="454" priority="829" operator="greaterThan">
      <formula>0</formula>
    </cfRule>
    <cfRule type="cellIs" dxfId="453" priority="830" operator="greaterThan">
      <formula>0</formula>
    </cfRule>
  </conditionalFormatting>
  <conditionalFormatting sqref="L54">
    <cfRule type="cellIs" dxfId="452" priority="828" operator="greaterThan">
      <formula>0</formula>
    </cfRule>
  </conditionalFormatting>
  <conditionalFormatting sqref="L54">
    <cfRule type="cellIs" dxfId="451" priority="827" operator="greaterThan">
      <formula>0</formula>
    </cfRule>
  </conditionalFormatting>
  <conditionalFormatting sqref="I59">
    <cfRule type="cellIs" dxfId="450" priority="815" operator="greaterThan">
      <formula>0</formula>
    </cfRule>
  </conditionalFormatting>
  <conditionalFormatting sqref="I59">
    <cfRule type="cellIs" dxfId="449" priority="813" operator="greaterThan">
      <formula>0</formula>
    </cfRule>
    <cfRule type="cellIs" dxfId="448" priority="814" operator="greaterThan">
      <formula>0</formula>
    </cfRule>
  </conditionalFormatting>
  <conditionalFormatting sqref="I59">
    <cfRule type="cellIs" dxfId="447" priority="812" operator="greaterThan">
      <formula>0</formula>
    </cfRule>
  </conditionalFormatting>
  <conditionalFormatting sqref="I59">
    <cfRule type="cellIs" dxfId="446" priority="811" operator="greaterThan">
      <formula>0</formula>
    </cfRule>
  </conditionalFormatting>
  <conditionalFormatting sqref="I59">
    <cfRule type="cellIs" dxfId="445" priority="809" operator="greaterThan">
      <formula>0</formula>
    </cfRule>
    <cfRule type="cellIs" dxfId="444" priority="810" operator="greaterThan">
      <formula>0</formula>
    </cfRule>
  </conditionalFormatting>
  <conditionalFormatting sqref="I59">
    <cfRule type="cellIs" dxfId="443" priority="808" operator="greaterThan">
      <formula>0</formula>
    </cfRule>
  </conditionalFormatting>
  <conditionalFormatting sqref="I59">
    <cfRule type="cellIs" dxfId="442" priority="806" operator="greaterThan">
      <formula>0</formula>
    </cfRule>
    <cfRule type="cellIs" dxfId="441" priority="807" operator="greaterThan">
      <formula>0</formula>
    </cfRule>
  </conditionalFormatting>
  <conditionalFormatting sqref="I59">
    <cfRule type="cellIs" dxfId="440" priority="805" operator="greaterThan">
      <formula>0</formula>
    </cfRule>
  </conditionalFormatting>
  <conditionalFormatting sqref="I59">
    <cfRule type="cellIs" dxfId="439" priority="804" operator="greaterThan">
      <formula>0</formula>
    </cfRule>
  </conditionalFormatting>
  <conditionalFormatting sqref="I61">
    <cfRule type="cellIs" dxfId="438" priority="802" operator="greaterThan">
      <formula>0</formula>
    </cfRule>
    <cfRule type="cellIs" dxfId="437" priority="803" operator="greaterThan">
      <formula>0</formula>
    </cfRule>
  </conditionalFormatting>
  <conditionalFormatting sqref="I61">
    <cfRule type="cellIs" dxfId="436" priority="801" operator="greaterThan">
      <formula>0</formula>
    </cfRule>
  </conditionalFormatting>
  <conditionalFormatting sqref="I61">
    <cfRule type="cellIs" dxfId="435" priority="800" operator="greaterThan">
      <formula>0</formula>
    </cfRule>
  </conditionalFormatting>
  <conditionalFormatting sqref="I61">
    <cfRule type="cellIs" dxfId="434" priority="798" operator="greaterThan">
      <formula>0</formula>
    </cfRule>
    <cfRule type="cellIs" dxfId="433" priority="799" operator="greaterThan">
      <formula>0</formula>
    </cfRule>
  </conditionalFormatting>
  <conditionalFormatting sqref="I61">
    <cfRule type="cellIs" dxfId="432" priority="797" operator="greaterThan">
      <formula>0</formula>
    </cfRule>
  </conditionalFormatting>
  <conditionalFormatting sqref="I61">
    <cfRule type="cellIs" dxfId="431" priority="796" operator="greaterThan">
      <formula>0</formula>
    </cfRule>
  </conditionalFormatting>
  <conditionalFormatting sqref="I61">
    <cfRule type="cellIs" dxfId="430" priority="794" operator="greaterThan">
      <formula>0</formula>
    </cfRule>
    <cfRule type="cellIs" dxfId="429" priority="795" operator="greaterThan">
      <formula>0</formula>
    </cfRule>
  </conditionalFormatting>
  <conditionalFormatting sqref="I61">
    <cfRule type="cellIs" dxfId="428" priority="793" operator="greaterThan">
      <formula>0</formula>
    </cfRule>
  </conditionalFormatting>
  <conditionalFormatting sqref="I61">
    <cfRule type="cellIs" dxfId="427" priority="791" operator="greaterThan">
      <formula>0</formula>
    </cfRule>
    <cfRule type="cellIs" dxfId="426" priority="792" operator="greaterThan">
      <formula>0</formula>
    </cfRule>
  </conditionalFormatting>
  <conditionalFormatting sqref="I61">
    <cfRule type="cellIs" dxfId="425" priority="790" operator="greaterThan">
      <formula>0</formula>
    </cfRule>
  </conditionalFormatting>
  <conditionalFormatting sqref="I61">
    <cfRule type="cellIs" dxfId="424" priority="789" operator="greaterThan">
      <formula>0</formula>
    </cfRule>
  </conditionalFormatting>
  <conditionalFormatting sqref="I63">
    <cfRule type="cellIs" dxfId="423" priority="787" operator="greaterThan">
      <formula>0</formula>
    </cfRule>
    <cfRule type="cellIs" dxfId="422" priority="788" operator="greaterThan">
      <formula>0</formula>
    </cfRule>
  </conditionalFormatting>
  <conditionalFormatting sqref="I63">
    <cfRule type="cellIs" dxfId="421" priority="786" operator="greaterThan">
      <formula>0</formula>
    </cfRule>
  </conditionalFormatting>
  <conditionalFormatting sqref="I63">
    <cfRule type="cellIs" dxfId="420" priority="784" operator="greaterThan">
      <formula>0</formula>
    </cfRule>
    <cfRule type="cellIs" dxfId="419" priority="785" operator="greaterThan">
      <formula>0</formula>
    </cfRule>
  </conditionalFormatting>
  <conditionalFormatting sqref="I63">
    <cfRule type="cellIs" dxfId="418" priority="783" operator="greaterThan">
      <formula>0</formula>
    </cfRule>
  </conditionalFormatting>
  <conditionalFormatting sqref="I63">
    <cfRule type="cellIs" dxfId="417" priority="782" operator="greaterThan">
      <formula>0</formula>
    </cfRule>
  </conditionalFormatting>
  <conditionalFormatting sqref="I63">
    <cfRule type="cellIs" dxfId="416" priority="780" operator="greaterThan">
      <formula>0</formula>
    </cfRule>
    <cfRule type="cellIs" dxfId="415" priority="781" operator="greaterThan">
      <formula>0</formula>
    </cfRule>
  </conditionalFormatting>
  <conditionalFormatting sqref="I63">
    <cfRule type="cellIs" dxfId="414" priority="779" operator="greaterThan">
      <formula>0</formula>
    </cfRule>
  </conditionalFormatting>
  <conditionalFormatting sqref="I63">
    <cfRule type="cellIs" dxfId="413" priority="778" operator="greaterThan">
      <formula>0</formula>
    </cfRule>
  </conditionalFormatting>
  <conditionalFormatting sqref="I63">
    <cfRule type="cellIs" dxfId="412" priority="776" operator="greaterThan">
      <formula>0</formula>
    </cfRule>
    <cfRule type="cellIs" dxfId="411" priority="777" operator="greaterThan">
      <formula>0</formula>
    </cfRule>
  </conditionalFormatting>
  <conditionalFormatting sqref="I63">
    <cfRule type="cellIs" dxfId="410" priority="775" operator="greaterThan">
      <formula>0</formula>
    </cfRule>
  </conditionalFormatting>
  <conditionalFormatting sqref="I63">
    <cfRule type="cellIs" dxfId="409" priority="773" operator="greaterThan">
      <formula>0</formula>
    </cfRule>
    <cfRule type="cellIs" dxfId="408" priority="774" operator="greaterThan">
      <formula>0</formula>
    </cfRule>
  </conditionalFormatting>
  <conditionalFormatting sqref="I63">
    <cfRule type="cellIs" dxfId="407" priority="772" operator="greaterThan">
      <formula>0</formula>
    </cfRule>
  </conditionalFormatting>
  <conditionalFormatting sqref="I63">
    <cfRule type="cellIs" dxfId="406" priority="771" operator="greaterThan">
      <formula>0</formula>
    </cfRule>
  </conditionalFormatting>
  <conditionalFormatting sqref="I65">
    <cfRule type="cellIs" dxfId="405" priority="769" operator="greaterThan">
      <formula>0</formula>
    </cfRule>
    <cfRule type="cellIs" dxfId="404" priority="770" operator="greaterThan">
      <formula>0</formula>
    </cfRule>
  </conditionalFormatting>
  <conditionalFormatting sqref="I65">
    <cfRule type="cellIs" dxfId="403" priority="768" operator="greaterThan">
      <formula>0</formula>
    </cfRule>
  </conditionalFormatting>
  <conditionalFormatting sqref="I65">
    <cfRule type="cellIs" dxfId="402" priority="766" operator="greaterThan">
      <formula>0</formula>
    </cfRule>
    <cfRule type="cellIs" dxfId="401" priority="767" operator="greaterThan">
      <formula>0</formula>
    </cfRule>
  </conditionalFormatting>
  <conditionalFormatting sqref="I65">
    <cfRule type="cellIs" dxfId="400" priority="765" operator="greaterThan">
      <formula>0</formula>
    </cfRule>
  </conditionalFormatting>
  <conditionalFormatting sqref="I65">
    <cfRule type="cellIs" dxfId="399" priority="763" operator="greaterThan">
      <formula>0</formula>
    </cfRule>
    <cfRule type="cellIs" dxfId="398" priority="764" operator="greaterThan">
      <formula>0</formula>
    </cfRule>
  </conditionalFormatting>
  <conditionalFormatting sqref="I65">
    <cfRule type="cellIs" dxfId="397" priority="762" operator="greaterThan">
      <formula>0</formula>
    </cfRule>
  </conditionalFormatting>
  <conditionalFormatting sqref="I65">
    <cfRule type="cellIs" dxfId="396" priority="761" operator="greaterThan">
      <formula>0</formula>
    </cfRule>
  </conditionalFormatting>
  <conditionalFormatting sqref="I65">
    <cfRule type="cellIs" dxfId="395" priority="759" operator="greaterThan">
      <formula>0</formula>
    </cfRule>
    <cfRule type="cellIs" dxfId="394" priority="760" operator="greaterThan">
      <formula>0</formula>
    </cfRule>
  </conditionalFormatting>
  <conditionalFormatting sqref="I65">
    <cfRule type="cellIs" dxfId="393" priority="758" operator="greaterThan">
      <formula>0</formula>
    </cfRule>
  </conditionalFormatting>
  <conditionalFormatting sqref="I65">
    <cfRule type="cellIs" dxfId="392" priority="757" operator="greaterThan">
      <formula>0</formula>
    </cfRule>
  </conditionalFormatting>
  <conditionalFormatting sqref="I65">
    <cfRule type="cellIs" dxfId="391" priority="755" operator="greaterThan">
      <formula>0</formula>
    </cfRule>
    <cfRule type="cellIs" dxfId="390" priority="756" operator="greaterThan">
      <formula>0</formula>
    </cfRule>
  </conditionalFormatting>
  <conditionalFormatting sqref="I65">
    <cfRule type="cellIs" dxfId="389" priority="754" operator="greaterThan">
      <formula>0</formula>
    </cfRule>
  </conditionalFormatting>
  <conditionalFormatting sqref="I65">
    <cfRule type="cellIs" dxfId="388" priority="752" operator="greaterThan">
      <formula>0</formula>
    </cfRule>
    <cfRule type="cellIs" dxfId="387" priority="753" operator="greaterThan">
      <formula>0</formula>
    </cfRule>
  </conditionalFormatting>
  <conditionalFormatting sqref="I65">
    <cfRule type="cellIs" dxfId="386" priority="751" operator="greaterThan">
      <formula>0</formula>
    </cfRule>
  </conditionalFormatting>
  <conditionalFormatting sqref="I65">
    <cfRule type="cellIs" dxfId="385" priority="750" operator="greaterThan">
      <formula>0</formula>
    </cfRule>
  </conditionalFormatting>
  <conditionalFormatting sqref="I67">
    <cfRule type="cellIs" dxfId="384" priority="748" operator="greaterThan">
      <formula>0</formula>
    </cfRule>
    <cfRule type="cellIs" dxfId="383" priority="749" operator="greaterThan">
      <formula>0</formula>
    </cfRule>
  </conditionalFormatting>
  <conditionalFormatting sqref="I67">
    <cfRule type="cellIs" dxfId="382" priority="747" operator="greaterThan">
      <formula>0</formula>
    </cfRule>
  </conditionalFormatting>
  <conditionalFormatting sqref="I67">
    <cfRule type="cellIs" dxfId="381" priority="745" operator="greaterThan">
      <formula>0</formula>
    </cfRule>
    <cfRule type="cellIs" dxfId="380" priority="746" operator="greaterThan">
      <formula>0</formula>
    </cfRule>
  </conditionalFormatting>
  <conditionalFormatting sqref="I67">
    <cfRule type="cellIs" dxfId="379" priority="744" operator="greaterThan">
      <formula>0</formula>
    </cfRule>
  </conditionalFormatting>
  <conditionalFormatting sqref="I67">
    <cfRule type="cellIs" dxfId="378" priority="742" operator="greaterThan">
      <formula>0</formula>
    </cfRule>
    <cfRule type="cellIs" dxfId="377" priority="743" operator="greaterThan">
      <formula>0</formula>
    </cfRule>
  </conditionalFormatting>
  <conditionalFormatting sqref="I67">
    <cfRule type="cellIs" dxfId="376" priority="741" operator="greaterThan">
      <formula>0</formula>
    </cfRule>
  </conditionalFormatting>
  <conditionalFormatting sqref="I67">
    <cfRule type="cellIs" dxfId="375" priority="739" operator="greaterThan">
      <formula>0</formula>
    </cfRule>
    <cfRule type="cellIs" dxfId="374" priority="740" operator="greaterThan">
      <formula>0</formula>
    </cfRule>
  </conditionalFormatting>
  <conditionalFormatting sqref="I67">
    <cfRule type="cellIs" dxfId="373" priority="738" operator="greaterThan">
      <formula>0</formula>
    </cfRule>
  </conditionalFormatting>
  <conditionalFormatting sqref="I67">
    <cfRule type="cellIs" dxfId="372" priority="737" operator="greaterThan">
      <formula>0</formula>
    </cfRule>
  </conditionalFormatting>
  <conditionalFormatting sqref="I67">
    <cfRule type="cellIs" dxfId="371" priority="735" operator="greaterThan">
      <formula>0</formula>
    </cfRule>
    <cfRule type="cellIs" dxfId="370" priority="736" operator="greaterThan">
      <formula>0</formula>
    </cfRule>
  </conditionalFormatting>
  <conditionalFormatting sqref="I67">
    <cfRule type="cellIs" dxfId="369" priority="734" operator="greaterThan">
      <formula>0</formula>
    </cfRule>
  </conditionalFormatting>
  <conditionalFormatting sqref="I67">
    <cfRule type="cellIs" dxfId="368" priority="733" operator="greaterThan">
      <formula>0</formula>
    </cfRule>
  </conditionalFormatting>
  <conditionalFormatting sqref="I67">
    <cfRule type="cellIs" dxfId="367" priority="731" operator="greaterThan">
      <formula>0</formula>
    </cfRule>
    <cfRule type="cellIs" dxfId="366" priority="732" operator="greaterThan">
      <formula>0</formula>
    </cfRule>
  </conditionalFormatting>
  <conditionalFormatting sqref="I67">
    <cfRule type="cellIs" dxfId="365" priority="730" operator="greaterThan">
      <formula>0</formula>
    </cfRule>
  </conditionalFormatting>
  <conditionalFormatting sqref="I67">
    <cfRule type="cellIs" dxfId="364" priority="728" operator="greaterThan">
      <formula>0</formula>
    </cfRule>
    <cfRule type="cellIs" dxfId="363" priority="729" operator="greaterThan">
      <formula>0</formula>
    </cfRule>
  </conditionalFormatting>
  <conditionalFormatting sqref="I67">
    <cfRule type="cellIs" dxfId="362" priority="727" operator="greaterThan">
      <formula>0</formula>
    </cfRule>
  </conditionalFormatting>
  <conditionalFormatting sqref="I67">
    <cfRule type="cellIs" dxfId="361" priority="726" operator="greaterThan">
      <formula>0</formula>
    </cfRule>
  </conditionalFormatting>
  <conditionalFormatting sqref="I69">
    <cfRule type="cellIs" dxfId="360" priority="724" operator="greaterThan">
      <formula>0</formula>
    </cfRule>
    <cfRule type="cellIs" dxfId="359" priority="725" operator="greaterThan">
      <formula>0</formula>
    </cfRule>
  </conditionalFormatting>
  <conditionalFormatting sqref="I69">
    <cfRule type="cellIs" dxfId="358" priority="723" operator="greaterThan">
      <formula>0</formula>
    </cfRule>
  </conditionalFormatting>
  <conditionalFormatting sqref="I69">
    <cfRule type="cellIs" dxfId="357" priority="721" operator="greaterThan">
      <formula>0</formula>
    </cfRule>
    <cfRule type="cellIs" dxfId="356" priority="722" operator="greaterThan">
      <formula>0</formula>
    </cfRule>
  </conditionalFormatting>
  <conditionalFormatting sqref="I69">
    <cfRule type="cellIs" dxfId="355" priority="720" operator="greaterThan">
      <formula>0</formula>
    </cfRule>
  </conditionalFormatting>
  <conditionalFormatting sqref="I69">
    <cfRule type="cellIs" dxfId="354" priority="718" operator="greaterThan">
      <formula>0</formula>
    </cfRule>
    <cfRule type="cellIs" dxfId="353" priority="719" operator="greaterThan">
      <formula>0</formula>
    </cfRule>
  </conditionalFormatting>
  <conditionalFormatting sqref="I69">
    <cfRule type="cellIs" dxfId="352" priority="717" operator="greaterThan">
      <formula>0</formula>
    </cfRule>
  </conditionalFormatting>
  <conditionalFormatting sqref="I69">
    <cfRule type="cellIs" dxfId="351" priority="715" operator="greaterThan">
      <formula>0</formula>
    </cfRule>
    <cfRule type="cellIs" dxfId="350" priority="716" operator="greaterThan">
      <formula>0</formula>
    </cfRule>
  </conditionalFormatting>
  <conditionalFormatting sqref="I69">
    <cfRule type="cellIs" dxfId="349" priority="714" operator="greaterThan">
      <formula>0</formula>
    </cfRule>
  </conditionalFormatting>
  <conditionalFormatting sqref="I69">
    <cfRule type="cellIs" dxfId="348" priority="712" operator="greaterThan">
      <formula>0</formula>
    </cfRule>
    <cfRule type="cellIs" dxfId="347" priority="713" operator="greaterThan">
      <formula>0</formula>
    </cfRule>
  </conditionalFormatting>
  <conditionalFormatting sqref="I69">
    <cfRule type="cellIs" dxfId="346" priority="711" operator="greaterThan">
      <formula>0</formula>
    </cfRule>
  </conditionalFormatting>
  <conditionalFormatting sqref="I69">
    <cfRule type="cellIs" dxfId="345" priority="710" operator="greaterThan">
      <formula>0</formula>
    </cfRule>
  </conditionalFormatting>
  <conditionalFormatting sqref="I69">
    <cfRule type="cellIs" dxfId="344" priority="708" operator="greaterThan">
      <formula>0</formula>
    </cfRule>
    <cfRule type="cellIs" dxfId="343" priority="709" operator="greaterThan">
      <formula>0</formula>
    </cfRule>
  </conditionalFormatting>
  <conditionalFormatting sqref="I69">
    <cfRule type="cellIs" dxfId="342" priority="707" operator="greaterThan">
      <formula>0</formula>
    </cfRule>
  </conditionalFormatting>
  <conditionalFormatting sqref="I69">
    <cfRule type="cellIs" dxfId="341" priority="706" operator="greaterThan">
      <formula>0</formula>
    </cfRule>
  </conditionalFormatting>
  <conditionalFormatting sqref="I69">
    <cfRule type="cellIs" dxfId="340" priority="704" operator="greaterThan">
      <formula>0</formula>
    </cfRule>
    <cfRule type="cellIs" dxfId="339" priority="705" operator="greaterThan">
      <formula>0</formula>
    </cfRule>
  </conditionalFormatting>
  <conditionalFormatting sqref="I69">
    <cfRule type="cellIs" dxfId="338" priority="703" operator="greaterThan">
      <formula>0</formula>
    </cfRule>
  </conditionalFormatting>
  <conditionalFormatting sqref="I69">
    <cfRule type="cellIs" dxfId="337" priority="701" operator="greaterThan">
      <formula>0</formula>
    </cfRule>
    <cfRule type="cellIs" dxfId="336" priority="702" operator="greaterThan">
      <formula>0</formula>
    </cfRule>
  </conditionalFormatting>
  <conditionalFormatting sqref="I69">
    <cfRule type="cellIs" dxfId="335" priority="700" operator="greaterThan">
      <formula>0</formula>
    </cfRule>
  </conditionalFormatting>
  <conditionalFormatting sqref="I69">
    <cfRule type="cellIs" dxfId="334" priority="699" operator="greaterThan">
      <formula>0</formula>
    </cfRule>
  </conditionalFormatting>
  <conditionalFormatting sqref="I71">
    <cfRule type="cellIs" dxfId="333" priority="697" operator="greaterThan">
      <formula>0</formula>
    </cfRule>
    <cfRule type="cellIs" dxfId="332" priority="698" operator="greaterThan">
      <formula>0</formula>
    </cfRule>
  </conditionalFormatting>
  <conditionalFormatting sqref="I71">
    <cfRule type="cellIs" dxfId="331" priority="696" operator="greaterThan">
      <formula>0</formula>
    </cfRule>
  </conditionalFormatting>
  <conditionalFormatting sqref="I71">
    <cfRule type="cellIs" dxfId="330" priority="694" operator="greaterThan">
      <formula>0</formula>
    </cfRule>
    <cfRule type="cellIs" dxfId="329" priority="695" operator="greaterThan">
      <formula>0</formula>
    </cfRule>
  </conditionalFormatting>
  <conditionalFormatting sqref="I71">
    <cfRule type="cellIs" dxfId="328" priority="693" operator="greaterThan">
      <formula>0</formula>
    </cfRule>
  </conditionalFormatting>
  <conditionalFormatting sqref="I71">
    <cfRule type="cellIs" dxfId="327" priority="691" operator="greaterThan">
      <formula>0</formula>
    </cfRule>
    <cfRule type="cellIs" dxfId="326" priority="692" operator="greaterThan">
      <formula>0</formula>
    </cfRule>
  </conditionalFormatting>
  <conditionalFormatting sqref="I71">
    <cfRule type="cellIs" dxfId="325" priority="690" operator="greaterThan">
      <formula>0</formula>
    </cfRule>
  </conditionalFormatting>
  <conditionalFormatting sqref="I71">
    <cfRule type="cellIs" dxfId="324" priority="688" operator="greaterThan">
      <formula>0</formula>
    </cfRule>
    <cfRule type="cellIs" dxfId="323" priority="689" operator="greaterThan">
      <formula>0</formula>
    </cfRule>
  </conditionalFormatting>
  <conditionalFormatting sqref="I71">
    <cfRule type="cellIs" dxfId="322" priority="687" operator="greaterThan">
      <formula>0</formula>
    </cfRule>
  </conditionalFormatting>
  <conditionalFormatting sqref="I71">
    <cfRule type="cellIs" dxfId="321" priority="685" operator="greaterThan">
      <formula>0</formula>
    </cfRule>
    <cfRule type="cellIs" dxfId="320" priority="686" operator="greaterThan">
      <formula>0</formula>
    </cfRule>
  </conditionalFormatting>
  <conditionalFormatting sqref="I71">
    <cfRule type="cellIs" dxfId="319" priority="684" operator="greaterThan">
      <formula>0</formula>
    </cfRule>
  </conditionalFormatting>
  <conditionalFormatting sqref="I71">
    <cfRule type="cellIs" dxfId="318" priority="682" operator="greaterThan">
      <formula>0</formula>
    </cfRule>
    <cfRule type="cellIs" dxfId="317" priority="683" operator="greaterThan">
      <formula>0</formula>
    </cfRule>
  </conditionalFormatting>
  <conditionalFormatting sqref="I71">
    <cfRule type="cellIs" dxfId="316" priority="681" operator="greaterThan">
      <formula>0</formula>
    </cfRule>
  </conditionalFormatting>
  <conditionalFormatting sqref="I71">
    <cfRule type="cellIs" dxfId="315" priority="680" operator="greaterThan">
      <formula>0</formula>
    </cfRule>
  </conditionalFormatting>
  <conditionalFormatting sqref="I71">
    <cfRule type="cellIs" dxfId="314" priority="678" operator="greaterThan">
      <formula>0</formula>
    </cfRule>
    <cfRule type="cellIs" dxfId="313" priority="679" operator="greaterThan">
      <formula>0</formula>
    </cfRule>
  </conditionalFormatting>
  <conditionalFormatting sqref="I71">
    <cfRule type="cellIs" dxfId="312" priority="677" operator="greaterThan">
      <formula>0</formula>
    </cfRule>
  </conditionalFormatting>
  <conditionalFormatting sqref="I71">
    <cfRule type="cellIs" dxfId="311" priority="676" operator="greaterThan">
      <formula>0</formula>
    </cfRule>
  </conditionalFormatting>
  <conditionalFormatting sqref="I71">
    <cfRule type="cellIs" dxfId="310" priority="674" operator="greaterThan">
      <formula>0</formula>
    </cfRule>
    <cfRule type="cellIs" dxfId="309" priority="675" operator="greaterThan">
      <formula>0</formula>
    </cfRule>
  </conditionalFormatting>
  <conditionalFormatting sqref="I71">
    <cfRule type="cellIs" dxfId="308" priority="673" operator="greaterThan">
      <formula>0</formula>
    </cfRule>
  </conditionalFormatting>
  <conditionalFormatting sqref="I71">
    <cfRule type="cellIs" dxfId="307" priority="671" operator="greaterThan">
      <formula>0</formula>
    </cfRule>
    <cfRule type="cellIs" dxfId="306" priority="672" operator="greaterThan">
      <formula>0</formula>
    </cfRule>
  </conditionalFormatting>
  <conditionalFormatting sqref="I71">
    <cfRule type="cellIs" dxfId="305" priority="670" operator="greaterThan">
      <formula>0</formula>
    </cfRule>
  </conditionalFormatting>
  <conditionalFormatting sqref="I71">
    <cfRule type="cellIs" dxfId="304" priority="669" operator="greaterThan">
      <formula>0</formula>
    </cfRule>
  </conditionalFormatting>
  <conditionalFormatting sqref="I73">
    <cfRule type="cellIs" dxfId="303" priority="667" operator="greaterThan">
      <formula>0</formula>
    </cfRule>
    <cfRule type="cellIs" dxfId="302" priority="668" operator="greaterThan">
      <formula>0</formula>
    </cfRule>
  </conditionalFormatting>
  <conditionalFormatting sqref="I73">
    <cfRule type="cellIs" dxfId="301" priority="666" operator="greaterThan">
      <formula>0</formula>
    </cfRule>
  </conditionalFormatting>
  <conditionalFormatting sqref="I73">
    <cfRule type="cellIs" dxfId="300" priority="664" operator="greaterThan">
      <formula>0</formula>
    </cfRule>
    <cfRule type="cellIs" dxfId="299" priority="665" operator="greaterThan">
      <formula>0</formula>
    </cfRule>
  </conditionalFormatting>
  <conditionalFormatting sqref="I73">
    <cfRule type="cellIs" dxfId="298" priority="663" operator="greaterThan">
      <formula>0</formula>
    </cfRule>
  </conditionalFormatting>
  <conditionalFormatting sqref="I73">
    <cfRule type="cellIs" dxfId="297" priority="661" operator="greaterThan">
      <formula>0</formula>
    </cfRule>
    <cfRule type="cellIs" dxfId="296" priority="662" operator="greaterThan">
      <formula>0</formula>
    </cfRule>
  </conditionalFormatting>
  <conditionalFormatting sqref="I73">
    <cfRule type="cellIs" dxfId="295" priority="660" operator="greaterThan">
      <formula>0</formula>
    </cfRule>
  </conditionalFormatting>
  <conditionalFormatting sqref="I73">
    <cfRule type="cellIs" dxfId="294" priority="658" operator="greaterThan">
      <formula>0</formula>
    </cfRule>
    <cfRule type="cellIs" dxfId="293" priority="659" operator="greaterThan">
      <formula>0</formula>
    </cfRule>
  </conditionalFormatting>
  <conditionalFormatting sqref="I73">
    <cfRule type="cellIs" dxfId="292" priority="657" operator="greaterThan">
      <formula>0</formula>
    </cfRule>
  </conditionalFormatting>
  <conditionalFormatting sqref="I73">
    <cfRule type="cellIs" dxfId="291" priority="655" operator="greaterThan">
      <formula>0</formula>
    </cfRule>
    <cfRule type="cellIs" dxfId="290" priority="656" operator="greaterThan">
      <formula>0</formula>
    </cfRule>
  </conditionalFormatting>
  <conditionalFormatting sqref="I73">
    <cfRule type="cellIs" dxfId="289" priority="654" operator="greaterThan">
      <formula>0</formula>
    </cfRule>
  </conditionalFormatting>
  <conditionalFormatting sqref="I73">
    <cfRule type="cellIs" dxfId="288" priority="652" operator="greaterThan">
      <formula>0</formula>
    </cfRule>
    <cfRule type="cellIs" dxfId="287" priority="653" operator="greaterThan">
      <formula>0</formula>
    </cfRule>
  </conditionalFormatting>
  <conditionalFormatting sqref="I73">
    <cfRule type="cellIs" dxfId="286" priority="651" operator="greaterThan">
      <formula>0</formula>
    </cfRule>
  </conditionalFormatting>
  <conditionalFormatting sqref="I73">
    <cfRule type="cellIs" dxfId="285" priority="649" operator="greaterThan">
      <formula>0</formula>
    </cfRule>
    <cfRule type="cellIs" dxfId="284" priority="650" operator="greaterThan">
      <formula>0</formula>
    </cfRule>
  </conditionalFormatting>
  <conditionalFormatting sqref="I73">
    <cfRule type="cellIs" dxfId="283" priority="648" operator="greaterThan">
      <formula>0</formula>
    </cfRule>
  </conditionalFormatting>
  <conditionalFormatting sqref="I73">
    <cfRule type="cellIs" dxfId="282" priority="647" operator="greaterThan">
      <formula>0</formula>
    </cfRule>
  </conditionalFormatting>
  <conditionalFormatting sqref="I73">
    <cfRule type="cellIs" dxfId="281" priority="645" operator="greaterThan">
      <formula>0</formula>
    </cfRule>
    <cfRule type="cellIs" dxfId="280" priority="646" operator="greaterThan">
      <formula>0</formula>
    </cfRule>
  </conditionalFormatting>
  <conditionalFormatting sqref="I73">
    <cfRule type="cellIs" dxfId="279" priority="644" operator="greaterThan">
      <formula>0</formula>
    </cfRule>
  </conditionalFormatting>
  <conditionalFormatting sqref="I73">
    <cfRule type="cellIs" dxfId="278" priority="643" operator="greaterThan">
      <formula>0</formula>
    </cfRule>
  </conditionalFormatting>
  <conditionalFormatting sqref="I73">
    <cfRule type="cellIs" dxfId="277" priority="641" operator="greaterThan">
      <formula>0</formula>
    </cfRule>
    <cfRule type="cellIs" dxfId="276" priority="642" operator="greaterThan">
      <formula>0</formula>
    </cfRule>
  </conditionalFormatting>
  <conditionalFormatting sqref="I73">
    <cfRule type="cellIs" dxfId="275" priority="640" operator="greaterThan">
      <formula>0</formula>
    </cfRule>
  </conditionalFormatting>
  <conditionalFormatting sqref="I73">
    <cfRule type="cellIs" dxfId="274" priority="638" operator="greaterThan">
      <formula>0</formula>
    </cfRule>
    <cfRule type="cellIs" dxfId="273" priority="639" operator="greaterThan">
      <formula>0</formula>
    </cfRule>
  </conditionalFormatting>
  <conditionalFormatting sqref="I73">
    <cfRule type="cellIs" dxfId="272" priority="637" operator="greaterThan">
      <formula>0</formula>
    </cfRule>
  </conditionalFormatting>
  <conditionalFormatting sqref="I73">
    <cfRule type="cellIs" dxfId="271" priority="636" operator="greaterThan">
      <formula>0</formula>
    </cfRule>
  </conditionalFormatting>
  <conditionalFormatting sqref="M54">
    <cfRule type="cellIs" dxfId="270" priority="635" operator="greaterThan">
      <formula>0</formula>
    </cfRule>
  </conditionalFormatting>
  <conditionalFormatting sqref="M54">
    <cfRule type="cellIs" dxfId="269" priority="634" operator="greaterThan">
      <formula>0</formula>
    </cfRule>
  </conditionalFormatting>
  <conditionalFormatting sqref="M54">
    <cfRule type="cellIs" dxfId="268" priority="632" operator="greaterThan">
      <formula>0</formula>
    </cfRule>
    <cfRule type="cellIs" dxfId="267" priority="633" operator="greaterThan">
      <formula>0</formula>
    </cfRule>
  </conditionalFormatting>
  <conditionalFormatting sqref="M54">
    <cfRule type="cellIs" dxfId="266" priority="631" operator="greaterThan">
      <formula>0</formula>
    </cfRule>
  </conditionalFormatting>
  <conditionalFormatting sqref="M54">
    <cfRule type="cellIs" dxfId="265" priority="630" operator="greaterThan">
      <formula>0</formula>
    </cfRule>
  </conditionalFormatting>
  <conditionalFormatting sqref="M54">
    <cfRule type="cellIs" dxfId="264" priority="628" operator="greaterThan">
      <formula>0</formula>
    </cfRule>
    <cfRule type="cellIs" dxfId="263" priority="629" operator="greaterThan">
      <formula>0</formula>
    </cfRule>
  </conditionalFormatting>
  <conditionalFormatting sqref="M54">
    <cfRule type="cellIs" dxfId="262" priority="627" operator="greaterThan">
      <formula>0</formula>
    </cfRule>
  </conditionalFormatting>
  <conditionalFormatting sqref="M54">
    <cfRule type="cellIs" dxfId="261" priority="625" operator="greaterThan">
      <formula>0</formula>
    </cfRule>
    <cfRule type="cellIs" dxfId="260" priority="626" operator="greaterThan">
      <formula>0</formula>
    </cfRule>
  </conditionalFormatting>
  <conditionalFormatting sqref="M54">
    <cfRule type="cellIs" dxfId="259" priority="624" operator="greaterThan">
      <formula>0</formula>
    </cfRule>
  </conditionalFormatting>
  <conditionalFormatting sqref="M54">
    <cfRule type="cellIs" dxfId="258" priority="623" operator="greaterThan">
      <formula>0</formula>
    </cfRule>
  </conditionalFormatting>
  <conditionalFormatting sqref="K54">
    <cfRule type="cellIs" dxfId="257" priority="622" operator="greaterThan">
      <formula>0</formula>
    </cfRule>
  </conditionalFormatting>
  <conditionalFormatting sqref="K54">
    <cfRule type="cellIs" dxfId="256" priority="621" operator="greaterThan">
      <formula>0</formula>
    </cfRule>
  </conditionalFormatting>
  <conditionalFormatting sqref="K54">
    <cfRule type="cellIs" dxfId="255" priority="619" operator="greaterThan">
      <formula>0</formula>
    </cfRule>
    <cfRule type="cellIs" dxfId="254" priority="620" operator="greaterThan">
      <formula>0</formula>
    </cfRule>
  </conditionalFormatting>
  <conditionalFormatting sqref="K54">
    <cfRule type="cellIs" dxfId="253" priority="618" operator="greaterThan">
      <formula>0</formula>
    </cfRule>
  </conditionalFormatting>
  <conditionalFormatting sqref="K54">
    <cfRule type="cellIs" dxfId="252" priority="617" operator="greaterThan">
      <formula>0</formula>
    </cfRule>
  </conditionalFormatting>
  <conditionalFormatting sqref="K54">
    <cfRule type="cellIs" dxfId="251" priority="615" operator="greaterThan">
      <formula>0</formula>
    </cfRule>
    <cfRule type="cellIs" dxfId="250" priority="616" operator="greaterThan">
      <formula>0</formula>
    </cfRule>
  </conditionalFormatting>
  <conditionalFormatting sqref="K54">
    <cfRule type="cellIs" dxfId="249" priority="614" operator="greaterThan">
      <formula>0</formula>
    </cfRule>
  </conditionalFormatting>
  <conditionalFormatting sqref="K54">
    <cfRule type="cellIs" dxfId="248" priority="612" operator="greaterThan">
      <formula>0</formula>
    </cfRule>
    <cfRule type="cellIs" dxfId="247" priority="613" operator="greaterThan">
      <formula>0</formula>
    </cfRule>
  </conditionalFormatting>
  <conditionalFormatting sqref="K54">
    <cfRule type="cellIs" dxfId="246" priority="611" operator="greaterThan">
      <formula>0</formula>
    </cfRule>
  </conditionalFormatting>
  <conditionalFormatting sqref="K54">
    <cfRule type="cellIs" dxfId="245" priority="610" operator="greaterThan">
      <formula>0</formula>
    </cfRule>
  </conditionalFormatting>
  <conditionalFormatting sqref="J54">
    <cfRule type="cellIs" dxfId="244" priority="609" operator="greaterThan">
      <formula>0</formula>
    </cfRule>
  </conditionalFormatting>
  <conditionalFormatting sqref="J54">
    <cfRule type="cellIs" dxfId="243" priority="608" operator="greaterThan">
      <formula>0</formula>
    </cfRule>
  </conditionalFormatting>
  <conditionalFormatting sqref="J54">
    <cfRule type="cellIs" dxfId="242" priority="606" operator="greaterThan">
      <formula>0</formula>
    </cfRule>
    <cfRule type="cellIs" dxfId="241" priority="607" operator="greaterThan">
      <formula>0</formula>
    </cfRule>
  </conditionalFormatting>
  <conditionalFormatting sqref="J54">
    <cfRule type="cellIs" dxfId="240" priority="605" operator="greaterThan">
      <formula>0</formula>
    </cfRule>
  </conditionalFormatting>
  <conditionalFormatting sqref="J54">
    <cfRule type="cellIs" dxfId="239" priority="604" operator="greaterThan">
      <formula>0</formula>
    </cfRule>
  </conditionalFormatting>
  <conditionalFormatting sqref="J54">
    <cfRule type="cellIs" dxfId="238" priority="602" operator="greaterThan">
      <formula>0</formula>
    </cfRule>
    <cfRule type="cellIs" dxfId="237" priority="603" operator="greaterThan">
      <formula>0</formula>
    </cfRule>
  </conditionalFormatting>
  <conditionalFormatting sqref="J54">
    <cfRule type="cellIs" dxfId="236" priority="601" operator="greaterThan">
      <formula>0</formula>
    </cfRule>
  </conditionalFormatting>
  <conditionalFormatting sqref="J54">
    <cfRule type="cellIs" dxfId="235" priority="599" operator="greaterThan">
      <formula>0</formula>
    </cfRule>
    <cfRule type="cellIs" dxfId="234" priority="600" operator="greaterThan">
      <formula>0</formula>
    </cfRule>
  </conditionalFormatting>
  <conditionalFormatting sqref="J54">
    <cfRule type="cellIs" dxfId="233" priority="598" operator="greaterThan">
      <formula>0</formula>
    </cfRule>
  </conditionalFormatting>
  <conditionalFormatting sqref="J54">
    <cfRule type="cellIs" dxfId="232" priority="597" operator="greaterThan">
      <formula>0</formula>
    </cfRule>
  </conditionalFormatting>
  <conditionalFormatting sqref="I54">
    <cfRule type="cellIs" dxfId="231" priority="596" operator="greaterThan">
      <formula>0</formula>
    </cfRule>
  </conditionalFormatting>
  <conditionalFormatting sqref="I54">
    <cfRule type="cellIs" dxfId="230" priority="595" operator="greaterThan">
      <formula>0</formula>
    </cfRule>
  </conditionalFormatting>
  <conditionalFormatting sqref="I54">
    <cfRule type="cellIs" dxfId="229" priority="593" operator="greaterThan">
      <formula>0</formula>
    </cfRule>
    <cfRule type="cellIs" dxfId="228" priority="594" operator="greaterThan">
      <formula>0</formula>
    </cfRule>
  </conditionalFormatting>
  <conditionalFormatting sqref="I54">
    <cfRule type="cellIs" dxfId="227" priority="592" operator="greaterThan">
      <formula>0</formula>
    </cfRule>
  </conditionalFormatting>
  <conditionalFormatting sqref="I54">
    <cfRule type="cellIs" dxfId="226" priority="591" operator="greaterThan">
      <formula>0</formula>
    </cfRule>
  </conditionalFormatting>
  <conditionalFormatting sqref="I54">
    <cfRule type="cellIs" dxfId="225" priority="589" operator="greaterThan">
      <formula>0</formula>
    </cfRule>
    <cfRule type="cellIs" dxfId="224" priority="590" operator="greaterThan">
      <formula>0</formula>
    </cfRule>
  </conditionalFormatting>
  <conditionalFormatting sqref="I54">
    <cfRule type="cellIs" dxfId="223" priority="588" operator="greaterThan">
      <formula>0</formula>
    </cfRule>
  </conditionalFormatting>
  <conditionalFormatting sqref="I54">
    <cfRule type="cellIs" dxfId="222" priority="586" operator="greaterThan">
      <formula>0</formula>
    </cfRule>
    <cfRule type="cellIs" dxfId="221" priority="587" operator="greaterThan">
      <formula>0</formula>
    </cfRule>
  </conditionalFormatting>
  <conditionalFormatting sqref="I54">
    <cfRule type="cellIs" dxfId="220" priority="585" operator="greaterThan">
      <formula>0</formula>
    </cfRule>
  </conditionalFormatting>
  <conditionalFormatting sqref="I54">
    <cfRule type="cellIs" dxfId="219" priority="584" operator="greaterThan">
      <formula>0</formula>
    </cfRule>
  </conditionalFormatting>
  <conditionalFormatting sqref="J54">
    <cfRule type="cellIs" dxfId="218" priority="567" operator="greaterThan">
      <formula>0</formula>
    </cfRule>
  </conditionalFormatting>
  <conditionalFormatting sqref="V55">
    <cfRule type="cellIs" dxfId="217" priority="576" operator="greaterThan">
      <formula>0</formula>
    </cfRule>
    <cfRule type="cellIs" dxfId="216" priority="577" operator="greaterThan">
      <formula>0</formula>
    </cfRule>
    <cfRule type="cellIs" dxfId="215" priority="578" operator="greaterThan">
      <formula>" € - "</formula>
    </cfRule>
  </conditionalFormatting>
  <conditionalFormatting sqref="V55">
    <cfRule type="cellIs" dxfId="214" priority="574" operator="greaterThan">
      <formula>0</formula>
    </cfRule>
    <cfRule type="cellIs" dxfId="213" priority="575" operator="greaterThan">
      <formula>" € - "</formula>
    </cfRule>
  </conditionalFormatting>
  <conditionalFormatting sqref="V55">
    <cfRule type="cellIs" dxfId="212" priority="569" operator="greaterThan">
      <formula>0</formula>
    </cfRule>
    <cfRule type="cellIs" dxfId="211" priority="570" operator="greaterThan">
      <formula>0</formula>
    </cfRule>
    <cfRule type="cellIs" dxfId="210" priority="571" operator="greaterThan">
      <formula>0</formula>
    </cfRule>
    <cfRule type="cellIs" dxfId="209" priority="572" operator="greaterThan">
      <formula>0</formula>
    </cfRule>
    <cfRule type="cellIs" dxfId="208" priority="573" operator="greaterThan">
      <formula>0</formula>
    </cfRule>
  </conditionalFormatting>
  <conditionalFormatting sqref="V55">
    <cfRule type="cellIs" dxfId="207" priority="568" operator="greaterThan">
      <formula>0</formula>
    </cfRule>
  </conditionalFormatting>
  <conditionalFormatting sqref="J54">
    <cfRule type="cellIs" dxfId="206" priority="566" operator="greaterThan">
      <formula>0</formula>
    </cfRule>
  </conditionalFormatting>
  <conditionalFormatting sqref="J54">
    <cfRule type="cellIs" dxfId="205" priority="564" operator="greaterThan">
      <formula>0</formula>
    </cfRule>
    <cfRule type="cellIs" dxfId="204" priority="565" operator="greaterThan">
      <formula>0</formula>
    </cfRule>
  </conditionalFormatting>
  <conditionalFormatting sqref="J54">
    <cfRule type="cellIs" dxfId="203" priority="563" operator="greaterThan">
      <formula>0</formula>
    </cfRule>
  </conditionalFormatting>
  <conditionalFormatting sqref="J54">
    <cfRule type="cellIs" dxfId="202" priority="562" operator="greaterThan">
      <formula>0</formula>
    </cfRule>
  </conditionalFormatting>
  <conditionalFormatting sqref="J54">
    <cfRule type="cellIs" dxfId="201" priority="560" operator="greaterThan">
      <formula>0</formula>
    </cfRule>
    <cfRule type="cellIs" dxfId="200" priority="561" operator="greaterThan">
      <formula>0</formula>
    </cfRule>
  </conditionalFormatting>
  <conditionalFormatting sqref="J54">
    <cfRule type="cellIs" dxfId="199" priority="559" operator="greaterThan">
      <formula>0</formula>
    </cfRule>
  </conditionalFormatting>
  <conditionalFormatting sqref="J54">
    <cfRule type="cellIs" dxfId="198" priority="557" operator="greaterThan">
      <formula>0</formula>
    </cfRule>
    <cfRule type="cellIs" dxfId="197" priority="558" operator="greaterThan">
      <formula>0</formula>
    </cfRule>
  </conditionalFormatting>
  <conditionalFormatting sqref="J54">
    <cfRule type="cellIs" dxfId="196" priority="556" operator="greaterThan">
      <formula>0</formula>
    </cfRule>
  </conditionalFormatting>
  <conditionalFormatting sqref="J54">
    <cfRule type="cellIs" dxfId="195" priority="555" operator="greaterThan">
      <formula>0</formula>
    </cfRule>
  </conditionalFormatting>
  <conditionalFormatting sqref="V99">
    <cfRule type="cellIs" dxfId="194" priority="460" operator="greaterThan">
      <formula>0</formula>
    </cfRule>
    <cfRule type="cellIs" dxfId="193" priority="461" operator="greaterThan">
      <formula>0</formula>
    </cfRule>
    <cfRule type="cellIs" dxfId="192" priority="462" operator="greaterThan">
      <formula>" € - "</formula>
    </cfRule>
  </conditionalFormatting>
  <conditionalFormatting sqref="V99">
    <cfRule type="cellIs" dxfId="191" priority="458" operator="greaterThan">
      <formula>0</formula>
    </cfRule>
    <cfRule type="cellIs" dxfId="190" priority="459" operator="greaterThan">
      <formula>" € - "</formula>
    </cfRule>
  </conditionalFormatting>
  <conditionalFormatting sqref="V99">
    <cfRule type="cellIs" dxfId="189" priority="453" operator="greaterThan">
      <formula>0</formula>
    </cfRule>
    <cfRule type="cellIs" dxfId="188" priority="454" operator="greaterThan">
      <formula>0</formula>
    </cfRule>
    <cfRule type="cellIs" dxfId="187" priority="455" operator="greaterThan">
      <formula>0</formula>
    </cfRule>
    <cfRule type="cellIs" dxfId="186" priority="456" operator="greaterThan">
      <formula>0</formula>
    </cfRule>
    <cfRule type="cellIs" dxfId="185" priority="457" operator="greaterThan">
      <formula>0</formula>
    </cfRule>
  </conditionalFormatting>
  <conditionalFormatting sqref="V99">
    <cfRule type="cellIs" dxfId="184" priority="452" operator="greaterThan">
      <formula>0</formula>
    </cfRule>
  </conditionalFormatting>
  <conditionalFormatting sqref="F10">
    <cfRule type="cellIs" dxfId="183" priority="437" operator="greaterThan">
      <formula>0</formula>
    </cfRule>
    <cfRule type="cellIs" dxfId="182" priority="438" operator="greaterThan">
      <formula>0</formula>
    </cfRule>
    <cfRule type="cellIs" dxfId="181" priority="439" operator="greaterThan">
      <formula>" € - "</formula>
    </cfRule>
  </conditionalFormatting>
  <conditionalFormatting sqref="F10">
    <cfRule type="cellIs" dxfId="180" priority="432" operator="greaterThan">
      <formula>0</formula>
    </cfRule>
    <cfRule type="cellIs" dxfId="179" priority="433" operator="greaterThan">
      <formula>0</formula>
    </cfRule>
    <cfRule type="cellIs" dxfId="178" priority="434" operator="greaterThan">
      <formula>0</formula>
    </cfRule>
    <cfRule type="cellIs" dxfId="177" priority="435" operator="greaterThan">
      <formula>0</formula>
    </cfRule>
    <cfRule type="cellIs" dxfId="176" priority="436" operator="greaterThan">
      <formula>0</formula>
    </cfRule>
  </conditionalFormatting>
  <conditionalFormatting sqref="F10">
    <cfRule type="cellIs" dxfId="175" priority="431" operator="greaterThan">
      <formula>0</formula>
    </cfRule>
  </conditionalFormatting>
  <conditionalFormatting sqref="D10">
    <cfRule type="cellIs" dxfId="174" priority="185" operator="greaterThan">
      <formula>0</formula>
    </cfRule>
  </conditionalFormatting>
  <conditionalFormatting sqref="D8">
    <cfRule type="cellIs" dxfId="173" priority="186" operator="greaterThan">
      <formula>0</formula>
    </cfRule>
  </conditionalFormatting>
  <conditionalFormatting sqref="D6">
    <cfRule type="cellIs" dxfId="172" priority="174" operator="greaterThan">
      <formula>0</formula>
    </cfRule>
  </conditionalFormatting>
  <conditionalFormatting sqref="C6">
    <cfRule type="cellIs" dxfId="171" priority="175" operator="greaterThan">
      <formula>0</formula>
    </cfRule>
  </conditionalFormatting>
  <conditionalFormatting sqref="F6">
    <cfRule type="cellIs" dxfId="170" priority="170" operator="greaterThan">
      <formula>0</formula>
    </cfRule>
    <cfRule type="cellIs" dxfId="169" priority="171" operator="greaterThan">
      <formula>0</formula>
    </cfRule>
    <cfRule type="cellIs" dxfId="168" priority="172" operator="greaterThan">
      <formula>" € - "</formula>
    </cfRule>
  </conditionalFormatting>
  <conditionalFormatting sqref="F6">
    <cfRule type="cellIs" dxfId="167" priority="165" operator="greaterThan">
      <formula>0</formula>
    </cfRule>
    <cfRule type="cellIs" dxfId="166" priority="166" operator="greaterThan">
      <formula>0</formula>
    </cfRule>
    <cfRule type="cellIs" dxfId="165" priority="167" operator="greaterThan">
      <formula>0</formula>
    </cfRule>
    <cfRule type="cellIs" dxfId="164" priority="168" operator="greaterThan">
      <formula>0</formula>
    </cfRule>
    <cfRule type="cellIs" dxfId="163" priority="169" operator="greaterThan">
      <formula>0</formula>
    </cfRule>
  </conditionalFormatting>
  <conditionalFormatting sqref="F6">
    <cfRule type="cellIs" dxfId="162" priority="164" operator="greaterThan">
      <formula>0</formula>
    </cfRule>
  </conditionalFormatting>
  <conditionalFormatting sqref="F12">
    <cfRule type="cellIs" dxfId="161" priority="161" operator="greaterThan">
      <formula>0</formula>
    </cfRule>
    <cfRule type="cellIs" dxfId="160" priority="162" operator="greaterThan">
      <formula>0</formula>
    </cfRule>
    <cfRule type="cellIs" dxfId="159" priority="163" operator="greaterThan">
      <formula>" € - "</formula>
    </cfRule>
  </conditionalFormatting>
  <conditionalFormatting sqref="F12">
    <cfRule type="cellIs" dxfId="158" priority="156" operator="greaterThan">
      <formula>0</formula>
    </cfRule>
    <cfRule type="cellIs" dxfId="157" priority="157" operator="greaterThan">
      <formula>0</formula>
    </cfRule>
    <cfRule type="cellIs" dxfId="156" priority="158" operator="greaterThan">
      <formula>0</formula>
    </cfRule>
    <cfRule type="cellIs" dxfId="155" priority="159" operator="greaterThan">
      <formula>0</formula>
    </cfRule>
    <cfRule type="cellIs" dxfId="154" priority="160" operator="greaterThan">
      <formula>0</formula>
    </cfRule>
  </conditionalFormatting>
  <conditionalFormatting sqref="F12">
    <cfRule type="cellIs" dxfId="153" priority="155" operator="greaterThan">
      <formula>0</formula>
    </cfRule>
  </conditionalFormatting>
  <conditionalFormatting sqref="F14">
    <cfRule type="cellIs" dxfId="152" priority="152" operator="greaterThan">
      <formula>0</formula>
    </cfRule>
    <cfRule type="cellIs" dxfId="151" priority="153" operator="greaterThan">
      <formula>0</formula>
    </cfRule>
    <cfRule type="cellIs" dxfId="150" priority="154" operator="greaterThan">
      <formula>" € - "</formula>
    </cfRule>
  </conditionalFormatting>
  <conditionalFormatting sqref="F14">
    <cfRule type="cellIs" dxfId="149" priority="147" operator="greaterThan">
      <formula>0</formula>
    </cfRule>
    <cfRule type="cellIs" dxfId="148" priority="148" operator="greaterThan">
      <formula>0</formula>
    </cfRule>
    <cfRule type="cellIs" dxfId="147" priority="149" operator="greaterThan">
      <formula>0</formula>
    </cfRule>
    <cfRule type="cellIs" dxfId="146" priority="150" operator="greaterThan">
      <formula>0</formula>
    </cfRule>
    <cfRule type="cellIs" dxfId="145" priority="151" operator="greaterThan">
      <formula>0</formula>
    </cfRule>
  </conditionalFormatting>
  <conditionalFormatting sqref="F14">
    <cfRule type="cellIs" dxfId="144" priority="146" operator="greaterThan">
      <formula>0</formula>
    </cfRule>
  </conditionalFormatting>
  <conditionalFormatting sqref="F16">
    <cfRule type="cellIs" dxfId="143" priority="143" operator="greaterThan">
      <formula>0</formula>
    </cfRule>
    <cfRule type="cellIs" dxfId="142" priority="144" operator="greaterThan">
      <formula>0</formula>
    </cfRule>
    <cfRule type="cellIs" dxfId="141" priority="145" operator="greaterThan">
      <formula>" € - "</formula>
    </cfRule>
  </conditionalFormatting>
  <conditionalFormatting sqref="F16">
    <cfRule type="cellIs" dxfId="140" priority="138" operator="greaterThan">
      <formula>0</formula>
    </cfRule>
    <cfRule type="cellIs" dxfId="139" priority="139" operator="greaterThan">
      <formula>0</formula>
    </cfRule>
    <cfRule type="cellIs" dxfId="138" priority="140" operator="greaterThan">
      <formula>0</formula>
    </cfRule>
    <cfRule type="cellIs" dxfId="137" priority="141" operator="greaterThan">
      <formula>0</formula>
    </cfRule>
    <cfRule type="cellIs" dxfId="136" priority="142" operator="greaterThan">
      <formula>0</formula>
    </cfRule>
  </conditionalFormatting>
  <conditionalFormatting sqref="F16">
    <cfRule type="cellIs" dxfId="135" priority="137" operator="greaterThan">
      <formula>0</formula>
    </cfRule>
  </conditionalFormatting>
  <conditionalFormatting sqref="F18">
    <cfRule type="cellIs" dxfId="134" priority="134" operator="greaterThan">
      <formula>0</formula>
    </cfRule>
    <cfRule type="cellIs" dxfId="133" priority="135" operator="greaterThan">
      <formula>0</formula>
    </cfRule>
    <cfRule type="cellIs" dxfId="132" priority="136" operator="greaterThan">
      <formula>" € - "</formula>
    </cfRule>
  </conditionalFormatting>
  <conditionalFormatting sqref="F18">
    <cfRule type="cellIs" dxfId="131" priority="129" operator="greaterThan">
      <formula>0</formula>
    </cfRule>
    <cfRule type="cellIs" dxfId="130" priority="130" operator="greaterThan">
      <formula>0</formula>
    </cfRule>
    <cfRule type="cellIs" dxfId="129" priority="131" operator="greaterThan">
      <formula>0</formula>
    </cfRule>
    <cfRule type="cellIs" dxfId="128" priority="132" operator="greaterThan">
      <formula>0</formula>
    </cfRule>
    <cfRule type="cellIs" dxfId="127" priority="133" operator="greaterThan">
      <formula>0</formula>
    </cfRule>
  </conditionalFormatting>
  <conditionalFormatting sqref="F18">
    <cfRule type="cellIs" dxfId="126" priority="128" operator="greaterThan">
      <formula>0</formula>
    </cfRule>
  </conditionalFormatting>
  <conditionalFormatting sqref="F20">
    <cfRule type="cellIs" dxfId="125" priority="125" operator="greaterThan">
      <formula>0</formula>
    </cfRule>
    <cfRule type="cellIs" dxfId="124" priority="126" operator="greaterThan">
      <formula>0</formula>
    </cfRule>
    <cfRule type="cellIs" dxfId="123" priority="127" operator="greaterThan">
      <formula>" € - "</formula>
    </cfRule>
  </conditionalFormatting>
  <conditionalFormatting sqref="F20">
    <cfRule type="cellIs" dxfId="122" priority="120" operator="greaterThan">
      <formula>0</formula>
    </cfRule>
    <cfRule type="cellIs" dxfId="121" priority="121" operator="greaterThan">
      <formula>0</formula>
    </cfRule>
    <cfRule type="cellIs" dxfId="120" priority="122" operator="greaterThan">
      <formula>0</formula>
    </cfRule>
    <cfRule type="cellIs" dxfId="119" priority="123" operator="greaterThan">
      <formula>0</formula>
    </cfRule>
    <cfRule type="cellIs" dxfId="118" priority="124" operator="greaterThan">
      <formula>0</formula>
    </cfRule>
  </conditionalFormatting>
  <conditionalFormatting sqref="F20">
    <cfRule type="cellIs" dxfId="117" priority="119" operator="greaterThan">
      <formula>0</formula>
    </cfRule>
  </conditionalFormatting>
  <conditionalFormatting sqref="F22">
    <cfRule type="cellIs" dxfId="116" priority="116" operator="greaterThan">
      <formula>0</formula>
    </cfRule>
    <cfRule type="cellIs" dxfId="115" priority="117" operator="greaterThan">
      <formula>0</formula>
    </cfRule>
    <cfRule type="cellIs" dxfId="114" priority="118" operator="greaterThan">
      <formula>" € - "</formula>
    </cfRule>
  </conditionalFormatting>
  <conditionalFormatting sqref="F22">
    <cfRule type="cellIs" dxfId="113" priority="111" operator="greaterThan">
      <formula>0</formula>
    </cfRule>
    <cfRule type="cellIs" dxfId="112" priority="112" operator="greaterThan">
      <formula>0</formula>
    </cfRule>
    <cfRule type="cellIs" dxfId="111" priority="113" operator="greaterThan">
      <formula>0</formula>
    </cfRule>
    <cfRule type="cellIs" dxfId="110" priority="114" operator="greaterThan">
      <formula>0</formula>
    </cfRule>
    <cfRule type="cellIs" dxfId="109" priority="115" operator="greaterThan">
      <formula>0</formula>
    </cfRule>
  </conditionalFormatting>
  <conditionalFormatting sqref="F22">
    <cfRule type="cellIs" dxfId="108" priority="110" operator="greaterThan">
      <formula>0</formula>
    </cfRule>
  </conditionalFormatting>
  <conditionalFormatting sqref="F24">
    <cfRule type="cellIs" dxfId="107" priority="107" operator="greaterThan">
      <formula>0</formula>
    </cfRule>
    <cfRule type="cellIs" dxfId="106" priority="108" operator="greaterThan">
      <formula>0</formula>
    </cfRule>
    <cfRule type="cellIs" dxfId="105" priority="109" operator="greaterThan">
      <formula>" € - "</formula>
    </cfRule>
  </conditionalFormatting>
  <conditionalFormatting sqref="F24">
    <cfRule type="cellIs" dxfId="104" priority="102" operator="greaterThan">
      <formula>0</formula>
    </cfRule>
    <cfRule type="cellIs" dxfId="103" priority="103" operator="greaterThan">
      <formula>0</formula>
    </cfRule>
    <cfRule type="cellIs" dxfId="102" priority="104" operator="greaterThan">
      <formula>0</formula>
    </cfRule>
    <cfRule type="cellIs" dxfId="101" priority="105" operator="greaterThan">
      <formula>0</formula>
    </cfRule>
    <cfRule type="cellIs" dxfId="100" priority="106" operator="greaterThan">
      <formula>0</formula>
    </cfRule>
  </conditionalFormatting>
  <conditionalFormatting sqref="F24">
    <cfRule type="cellIs" dxfId="99" priority="101" operator="greaterThan">
      <formula>0</formula>
    </cfRule>
  </conditionalFormatting>
  <conditionalFormatting sqref="G6">
    <cfRule type="cellIs" dxfId="98" priority="98" operator="greaterThan">
      <formula>0</formula>
    </cfRule>
    <cfRule type="cellIs" dxfId="97" priority="99" operator="greaterThan">
      <formula>0</formula>
    </cfRule>
    <cfRule type="cellIs" dxfId="96" priority="100" operator="greaterThan">
      <formula>" € - "</formula>
    </cfRule>
  </conditionalFormatting>
  <conditionalFormatting sqref="G6">
    <cfRule type="cellIs" dxfId="95" priority="93" operator="greaterThan">
      <formula>0</formula>
    </cfRule>
    <cfRule type="cellIs" dxfId="94" priority="94" operator="greaterThan">
      <formula>0</formula>
    </cfRule>
    <cfRule type="cellIs" dxfId="93" priority="95" operator="greaterThan">
      <formula>0</formula>
    </cfRule>
    <cfRule type="cellIs" dxfId="92" priority="96" operator="greaterThan">
      <formula>0</formula>
    </cfRule>
    <cfRule type="cellIs" dxfId="91" priority="97" operator="greaterThan">
      <formula>0</formula>
    </cfRule>
  </conditionalFormatting>
  <conditionalFormatting sqref="G6">
    <cfRule type="cellIs" dxfId="90" priority="92" operator="greaterThan">
      <formula>0</formula>
    </cfRule>
  </conditionalFormatting>
  <conditionalFormatting sqref="G8">
    <cfRule type="cellIs" dxfId="89" priority="89" operator="greaterThan">
      <formula>0</formula>
    </cfRule>
    <cfRule type="cellIs" dxfId="88" priority="90" operator="greaterThan">
      <formula>0</formula>
    </cfRule>
    <cfRule type="cellIs" dxfId="87" priority="91" operator="greaterThan">
      <formula>" € - "</formula>
    </cfRule>
  </conditionalFormatting>
  <conditionalFormatting sqref="G8">
    <cfRule type="cellIs" dxfId="86" priority="84" operator="greaterThan">
      <formula>0</formula>
    </cfRule>
    <cfRule type="cellIs" dxfId="85" priority="85" operator="greaterThan">
      <formula>0</formula>
    </cfRule>
    <cfRule type="cellIs" dxfId="84" priority="86" operator="greaterThan">
      <formula>0</formula>
    </cfRule>
    <cfRule type="cellIs" dxfId="83" priority="87" operator="greaterThan">
      <formula>0</formula>
    </cfRule>
    <cfRule type="cellIs" dxfId="82" priority="88" operator="greaterThan">
      <formula>0</formula>
    </cfRule>
  </conditionalFormatting>
  <conditionalFormatting sqref="G8">
    <cfRule type="cellIs" dxfId="81" priority="83" operator="greaterThan">
      <formula>0</formula>
    </cfRule>
  </conditionalFormatting>
  <conditionalFormatting sqref="G10">
    <cfRule type="cellIs" dxfId="80" priority="80" operator="greaterThan">
      <formula>0</formula>
    </cfRule>
    <cfRule type="cellIs" dxfId="79" priority="81" operator="greaterThan">
      <formula>0</formula>
    </cfRule>
    <cfRule type="cellIs" dxfId="78" priority="82" operator="greaterThan">
      <formula>" € - "</formula>
    </cfRule>
  </conditionalFormatting>
  <conditionalFormatting sqref="G10">
    <cfRule type="cellIs" dxfId="77" priority="75" operator="greaterThan">
      <formula>0</formula>
    </cfRule>
    <cfRule type="cellIs" dxfId="76" priority="76" operator="greaterThan">
      <formula>0</formula>
    </cfRule>
    <cfRule type="cellIs" dxfId="75" priority="77" operator="greaterThan">
      <formula>0</formula>
    </cfRule>
    <cfRule type="cellIs" dxfId="74" priority="78" operator="greaterThan">
      <formula>0</formula>
    </cfRule>
    <cfRule type="cellIs" dxfId="73" priority="79" operator="greaterThan">
      <formula>0</formula>
    </cfRule>
  </conditionalFormatting>
  <conditionalFormatting sqref="G10">
    <cfRule type="cellIs" dxfId="72" priority="74" operator="greaterThan">
      <formula>0</formula>
    </cfRule>
  </conditionalFormatting>
  <conditionalFormatting sqref="G12">
    <cfRule type="cellIs" dxfId="71" priority="71" operator="greaterThan">
      <formula>0</formula>
    </cfRule>
    <cfRule type="cellIs" dxfId="70" priority="72" operator="greaterThan">
      <formula>0</formula>
    </cfRule>
    <cfRule type="cellIs" dxfId="69" priority="73" operator="greaterThan">
      <formula>" € - "</formula>
    </cfRule>
  </conditionalFormatting>
  <conditionalFormatting sqref="G12">
    <cfRule type="cellIs" dxfId="68" priority="66" operator="greaterThan">
      <formula>0</formula>
    </cfRule>
    <cfRule type="cellIs" dxfId="67" priority="67" operator="greaterThan">
      <formula>0</formula>
    </cfRule>
    <cfRule type="cellIs" dxfId="66" priority="68" operator="greaterThan">
      <formula>0</formula>
    </cfRule>
    <cfRule type="cellIs" dxfId="65" priority="69" operator="greaterThan">
      <formula>0</formula>
    </cfRule>
    <cfRule type="cellIs" dxfId="64" priority="70" operator="greaterThan">
      <formula>0</formula>
    </cfRule>
  </conditionalFormatting>
  <conditionalFormatting sqref="G12">
    <cfRule type="cellIs" dxfId="63" priority="65" operator="greaterThan">
      <formula>0</formula>
    </cfRule>
  </conditionalFormatting>
  <conditionalFormatting sqref="G14">
    <cfRule type="cellIs" dxfId="62" priority="62" operator="greaterThan">
      <formula>0</formula>
    </cfRule>
    <cfRule type="cellIs" dxfId="61" priority="63" operator="greaterThan">
      <formula>0</formula>
    </cfRule>
    <cfRule type="cellIs" dxfId="60" priority="64" operator="greaterThan">
      <formula>" € - "</formula>
    </cfRule>
  </conditionalFormatting>
  <conditionalFormatting sqref="G14">
    <cfRule type="cellIs" dxfId="59" priority="57" operator="greaterThan">
      <formula>0</formula>
    </cfRule>
    <cfRule type="cellIs" dxfId="58" priority="58" operator="greaterThan">
      <formula>0</formula>
    </cfRule>
    <cfRule type="cellIs" dxfId="57" priority="59" operator="greaterThan">
      <formula>0</formula>
    </cfRule>
    <cfRule type="cellIs" dxfId="56" priority="60" operator="greaterThan">
      <formula>0</formula>
    </cfRule>
    <cfRule type="cellIs" dxfId="55" priority="61" operator="greaterThan">
      <formula>0</formula>
    </cfRule>
  </conditionalFormatting>
  <conditionalFormatting sqref="G14">
    <cfRule type="cellIs" dxfId="54" priority="56" operator="greaterThan">
      <formula>0</formula>
    </cfRule>
  </conditionalFormatting>
  <conditionalFormatting sqref="G16">
    <cfRule type="cellIs" dxfId="53" priority="53" operator="greaterThan">
      <formula>0</formula>
    </cfRule>
    <cfRule type="cellIs" dxfId="52" priority="54" operator="greaterThan">
      <formula>0</formula>
    </cfRule>
    <cfRule type="cellIs" dxfId="51" priority="55" operator="greaterThan">
      <formula>" € - "</formula>
    </cfRule>
  </conditionalFormatting>
  <conditionalFormatting sqref="G16">
    <cfRule type="cellIs" dxfId="50" priority="48" operator="greaterThan">
      <formula>0</formula>
    </cfRule>
    <cfRule type="cellIs" dxfId="49" priority="49" operator="greaterThan">
      <formula>0</formula>
    </cfRule>
    <cfRule type="cellIs" dxfId="48" priority="50" operator="greaterThan">
      <formula>0</formula>
    </cfRule>
    <cfRule type="cellIs" dxfId="47" priority="51" operator="greaterThan">
      <formula>0</formula>
    </cfRule>
    <cfRule type="cellIs" dxfId="46" priority="52" operator="greaterThan">
      <formula>0</formula>
    </cfRule>
  </conditionalFormatting>
  <conditionalFormatting sqref="G16">
    <cfRule type="cellIs" dxfId="45" priority="47" operator="greaterThan">
      <formula>0</formula>
    </cfRule>
  </conditionalFormatting>
  <conditionalFormatting sqref="G18">
    <cfRule type="cellIs" dxfId="44" priority="44" operator="greaterThan">
      <formula>0</formula>
    </cfRule>
    <cfRule type="cellIs" dxfId="43" priority="45" operator="greaterThan">
      <formula>0</formula>
    </cfRule>
    <cfRule type="cellIs" dxfId="42" priority="46" operator="greaterThan">
      <formula>" € - "</formula>
    </cfRule>
  </conditionalFormatting>
  <conditionalFormatting sqref="G18">
    <cfRule type="cellIs" dxfId="41" priority="39" operator="greaterThan">
      <formula>0</formula>
    </cfRule>
    <cfRule type="cellIs" dxfId="40" priority="40" operator="greaterThan">
      <formula>0</formula>
    </cfRule>
    <cfRule type="cellIs" dxfId="39" priority="41" operator="greaterThan">
      <formula>0</formula>
    </cfRule>
    <cfRule type="cellIs" dxfId="38" priority="42" operator="greaterThan">
      <formula>0</formula>
    </cfRule>
    <cfRule type="cellIs" dxfId="37" priority="43" operator="greaterThan">
      <formula>0</formula>
    </cfRule>
  </conditionalFormatting>
  <conditionalFormatting sqref="G18">
    <cfRule type="cellIs" dxfId="36" priority="38" operator="greaterThan">
      <formula>0</formula>
    </cfRule>
  </conditionalFormatting>
  <conditionalFormatting sqref="G20">
    <cfRule type="cellIs" dxfId="35" priority="35" operator="greaterThan">
      <formula>0</formula>
    </cfRule>
    <cfRule type="cellIs" dxfId="34" priority="36" operator="greaterThan">
      <formula>0</formula>
    </cfRule>
    <cfRule type="cellIs" dxfId="33" priority="37" operator="greaterThan">
      <formula>" € - "</formula>
    </cfRule>
  </conditionalFormatting>
  <conditionalFormatting sqref="G20">
    <cfRule type="cellIs" dxfId="32" priority="30" operator="greaterThan">
      <formula>0</formula>
    </cfRule>
    <cfRule type="cellIs" dxfId="31" priority="31" operator="greaterThan">
      <formula>0</formula>
    </cfRule>
    <cfRule type="cellIs" dxfId="30" priority="32" operator="greaterThan">
      <formula>0</formula>
    </cfRule>
    <cfRule type="cellIs" dxfId="29" priority="33" operator="greaterThan">
      <formula>0</formula>
    </cfRule>
    <cfRule type="cellIs" dxfId="28" priority="34" operator="greaterThan">
      <formula>0</formula>
    </cfRule>
  </conditionalFormatting>
  <conditionalFormatting sqref="G20">
    <cfRule type="cellIs" dxfId="27" priority="29" operator="greaterThan">
      <formula>0</formula>
    </cfRule>
  </conditionalFormatting>
  <conditionalFormatting sqref="G22">
    <cfRule type="cellIs" dxfId="26" priority="26" operator="greaterThan">
      <formula>0</formula>
    </cfRule>
    <cfRule type="cellIs" dxfId="25" priority="27" operator="greaterThan">
      <formula>0</formula>
    </cfRule>
    <cfRule type="cellIs" dxfId="24" priority="28" operator="greaterThan">
      <formula>" € - "</formula>
    </cfRule>
  </conditionalFormatting>
  <conditionalFormatting sqref="G22">
    <cfRule type="cellIs" dxfId="23" priority="21" operator="greaterThan">
      <formula>0</formula>
    </cfRule>
    <cfRule type="cellIs" dxfId="22" priority="22" operator="greaterThan">
      <formula>0</formula>
    </cfRule>
    <cfRule type="cellIs" dxfId="21" priority="23" operator="greaterThan">
      <formula>0</formula>
    </cfRule>
    <cfRule type="cellIs" dxfId="20" priority="24" operator="greaterThan">
      <formula>0</formula>
    </cfRule>
    <cfRule type="cellIs" dxfId="19" priority="25" operator="greaterThan">
      <formula>0</formula>
    </cfRule>
  </conditionalFormatting>
  <conditionalFormatting sqref="G22">
    <cfRule type="cellIs" dxfId="18" priority="20" operator="greaterThan">
      <formula>0</formula>
    </cfRule>
  </conditionalFormatting>
  <conditionalFormatting sqref="G24">
    <cfRule type="cellIs" dxfId="17" priority="17" operator="greaterThan">
      <formula>0</formula>
    </cfRule>
    <cfRule type="cellIs" dxfId="16" priority="18" operator="greaterThan">
      <formula>0</formula>
    </cfRule>
    <cfRule type="cellIs" dxfId="15" priority="19" operator="greaterThan">
      <formula>" € - "</formula>
    </cfRule>
  </conditionalFormatting>
  <conditionalFormatting sqref="G24">
    <cfRule type="cellIs" dxfId="14" priority="12" operator="greaterThan">
      <formula>0</formula>
    </cfRule>
    <cfRule type="cellIs" dxfId="13" priority="13" operator="greaterThan">
      <formula>0</formula>
    </cfRule>
    <cfRule type="cellIs" dxfId="12" priority="14" operator="greaterThan">
      <formula>0</formula>
    </cfRule>
    <cfRule type="cellIs" dxfId="11" priority="15" operator="greaterThan">
      <formula>0</formula>
    </cfRule>
    <cfRule type="cellIs" dxfId="10" priority="16" operator="greaterThan">
      <formula>0</formula>
    </cfRule>
  </conditionalFormatting>
  <conditionalFormatting sqref="G24">
    <cfRule type="cellIs" dxfId="9" priority="11" operator="greaterThan">
      <formula>0</formula>
    </cfRule>
  </conditionalFormatting>
  <conditionalFormatting sqref="E6">
    <cfRule type="cellIs" dxfId="8" priority="7" operator="greaterThan">
      <formula>0</formula>
    </cfRule>
    <cfRule type="cellIs" dxfId="7" priority="8" operator="greaterThan">
      <formula>0</formula>
    </cfRule>
    <cfRule type="cellIs" dxfId="6" priority="9" operator="greaterThan">
      <formula>" € - "</formula>
    </cfRule>
  </conditionalFormatting>
  <conditionalFormatting sqref="E6">
    <cfRule type="cellIs" dxfId="5" priority="2" operator="greaterThan">
      <formula>0</formula>
    </cfRule>
    <cfRule type="cellIs" dxfId="4" priority="3" operator="greaterThan">
      <formula>0</formula>
    </cfRule>
    <cfRule type="cellIs" dxfId="3" priority="4" operator="greaterThan">
      <formula>0</formula>
    </cfRule>
    <cfRule type="cellIs" dxfId="2" priority="5" operator="greaterThan">
      <formula>0</formula>
    </cfRule>
    <cfRule type="cellIs" dxfId="1" priority="6" operator="greaterThan">
      <formula>0</formula>
    </cfRule>
  </conditionalFormatting>
  <conditionalFormatting sqref="E6">
    <cfRule type="cellIs" dxfId="0" priority="1" operator="greaterThan">
      <formula>0</formula>
    </cfRule>
  </conditionalFormatting>
  <dataValidations xWindow="856" yWindow="417" count="36">
    <dataValidation type="decimal" operator="lessThanOrEqual" allowBlank="1" showInputMessage="1" showErrorMessage="1" errorTitle="Fout teken" error="U hebt een positief bedrag ingevuld" promptTitle="Omvang investeringen" prompt="Voer voor de omvang van de investeringen in (im-)materiele activa inclusief bijdragen aan activa van derden van het begrotingsjaar 2019 een negatief bedrag in. " sqref="C6" xr:uid="{00000000-0002-0000-0200-000000000000}">
      <formula1>0</formula1>
    </dataValidation>
    <dataValidation type="whole" operator="greaterThanOrEqual" allowBlank="1" showInputMessage="1" showErrorMessage="1" promptTitle="Verkoop (im-)materiele activa" prompt="Voer voor de omvang van de bruto verkoopopbrengst uit de verkoop van (im-)materiele activa in het begrotingsjaar 2019 een positief bedrag in. Vul pas erna de boekwinst of het boekverlies in op het blad Balansprognose." sqref="C7" xr:uid="{00000000-0002-0000-0200-000001000000}">
      <formula1>0</formula1>
    </dataValidation>
    <dataValidation type="whole" operator="lessThanOrEqual" allowBlank="1" showInputMessage="1" showErrorMessage="1" errorTitle="Fout teken" error="U hebt een positief bedrag ingevuld" promptTitle="Nieuwe kapitaalverstrekkingen" prompt="Voer het bedrag (negatief) in voor de nieuwe kapitaalverstrekkingen aan verbonden partijen en aan derden in het begrotingsjaar 2017." sqref="H6" xr:uid="{00000000-0002-0000-0200-000002000000}">
      <formula1>0</formula1>
    </dataValidation>
    <dataValidation type="whole" operator="greaterThanOrEqual" allowBlank="1" showInputMessage="1" showErrorMessage="1" errorTitle="Fout teken" error="U hebt een negatief bedrag ingevuld. Een boekverlies vult u in op het blad Balansprognose " promptTitle="Verkoop deelnemingen" prompt="Voer het bedrag (positief) in voor de bruto opbrengst uit de verkoop of liquidatie van deelnemingen in het begrotingsjaar 2017. Vul pas er na de boekwinst of het boekverlies in op het blad Balansprognose. " sqref="H7" xr:uid="{00000000-0002-0000-0200-000003000000}">
      <formula1>0</formula1>
    </dataValidation>
    <dataValidation operator="lessThanOrEqual" allowBlank="1" showInputMessage="1" showErrorMessage="1" errorTitle="Fout teken" error="U hebt een positief bedrag ingevuld " promptTitle="Investeringen bouwgrond" prompt="Voer het bedrag (negatief) in voor de investeringen in de aankoop van grond (niet in exploitatie). Vul pas er na op het blad Balansprognose de afname van niet in exploitatie genomen (bouw-)grond door overboeking naar onderhanden werk._x000a_ " sqref="D10 D8" xr:uid="{00000000-0002-0000-0200-000004000000}"/>
    <dataValidation type="decimal" operator="greaterThanOrEqual" allowBlank="1" showInputMessage="1" showErrorMessage="1" errorTitle="Foutieve invoer" error="U hebt een negatief bedrag ingevuld." promptTitle="Aflossing uitgezette leningen  " prompt="Vul het bedrag (positief) aan aflossingen in 2018 op verstrekte leningen aan verbonden partijen in. Nieuwe leningen aan verbonden partijen in 2018 moet u op het blad Balansprognose invullen." sqref="C55" xr:uid="{00000000-0002-0000-0200-000005000000}">
      <formula1>0</formula1>
    </dataValidation>
    <dataValidation type="decimal" operator="greaterThanOrEqual" allowBlank="1" showInputMessage="1" showErrorMessage="1" errorTitle="Foutieve invoer" error="U hebt een negatief bedrag ingevuld." promptTitle="Aflossing uitgezette leningen" prompt="Vul het bedrag (positief) aan aflossingen in 2018 op leningen aan derden in. Nieuwe leningen aan derden in 2018 moet u op het blad Balansprognose invullen." sqref="D55" xr:uid="{00000000-0002-0000-0200-000006000000}">
      <formula1>0</formula1>
    </dataValidation>
    <dataValidation type="whole" operator="greaterThanOrEqual" allowBlank="1" showInputMessage="1" showErrorMessage="1" errorTitle="Foutieve invoer" error="U hebt een negatief bedrag ingevuld." promptTitle="Vrijval langlopende uitzettingen" prompt="Vul het bedrag (positief) in aan langlopende uitzettingen dat in 2018 vrijvalt.  Nieuwe langlopende uitzettingen in 2018 moet u op het blad Balansprognose invullen." sqref="E55" xr:uid="{00000000-0002-0000-0200-000007000000}">
      <formula1>0</formula1>
    </dataValidation>
    <dataValidation allowBlank="1" showInputMessage="1" showErrorMessage="1" promptTitle="Mutatie kortlopende vorderingen" prompt="Vul het bedrag in van de mutatie Kort lopende vorderingen voor het bepalen van de eindbalans 2018. Bij toename negatief bedrag invullen. Bij afname positief bedrag invullen. Bij geen idee kan dit veld leeg worden gelaten." sqref="F55" xr:uid="{00000000-0002-0000-0200-000008000000}"/>
    <dataValidation allowBlank="1" showInputMessage="1" showErrorMessage="1" promptTitle="Mutatie liquide middelen " prompt="Vul het bedrag in van de mutatie Liquide middelen &amp; uitzettingen kort voor het bepalen van de eindbalans 2018. Bij toename negatief bedrag invullen. Bij afname positief bedrag invullen. Bij geen idee kan dit veld leeg worden gelaten. " sqref="G55" xr:uid="{00000000-0002-0000-0200-000009000000}"/>
    <dataValidation allowBlank="1" showInputMessage="1" showErrorMessage="1" promptTitle="Mutatie overlopende activa" prompt="Vul het bedrag in van de mutatie Overlopende activa voor het bepalen van de eindbalans 2018. Bij toename negatief bedrag invullen. Bij afname positief bedrag invullen. Bij geen idee kan dit veld leeg worden gelaten._x000a__x000a_" sqref="H55" xr:uid="{00000000-0002-0000-0200-00000A000000}"/>
    <dataValidation allowBlank="1" showInputMessage="1" showErrorMessage="1" promptTitle="Mutatie kortlopende leningen" prompt="Vul het bedrag in van de mutatie kortlopende schulden voor het bepalen van de stand eindbalans 2018. Bij toename positief bedrag invullen. Bij afname negatief bedrag invullen. Bij geen idee kan dit veld leeg worden gelaten." sqref="K55" xr:uid="{00000000-0002-0000-0200-00000B000000}"/>
    <dataValidation allowBlank="1" showInputMessage="1" showErrorMessage="1" promptTitle="Mutatie crediteuren" prompt="Vul het bedrag in van de mutatie crediteuren voor het bepalen van de stand eindbalans 2018. Bij toename positief bedrag invullen. Bij afname negatief bedrag invullen. Bij geen idee kan dit veld leeg worden gelaten.  " sqref="L55" xr:uid="{00000000-0002-0000-0200-00000C000000}"/>
    <dataValidation allowBlank="1" showInputMessage="1" showErrorMessage="1" promptTitle="Mutatie overlopende passiva" prompt="Vul het bedrag in van de mutatie overlopende passiva voor het bepalen van de stand eindbalans 2018. Bij toename positief bedrag invullen. Bij afname negatief bedrag invullen. Bij geen idee kan dit veld leeg worden gelaten. " sqref="M55" xr:uid="{00000000-0002-0000-0200-00000D000000}"/>
    <dataValidation allowBlank="1" showInputMessage="1" showErrorMessage="1" promptTitle="Rente leningen verb. partijen" prompt="Rentepercentage is een schatting van het gemiddelde percentage voor rente op verstrekte leningen aan verbonden partijen. Vervang het percentage bij afwijking van het werkelijke rentepercentage van de te ontvangen rente." sqref="C56" xr:uid="{00000000-0002-0000-0200-00000E000000}"/>
    <dataValidation allowBlank="1" showInputMessage="1" showErrorMessage="1" promptTitle="Rente leningen derden" prompt="Rentepercentage is een schatting van het gemiddelde percentage voor de rente op versterkte leningen aan derden. Vervang het percentage bij afwijking van het werkelijke rentepercentage van de te ontvangen rente.     " sqref="D56" xr:uid="{00000000-0002-0000-0200-00000F000000}"/>
    <dataValidation allowBlank="1" showInputMessage="1" showErrorMessage="1" promptTitle="Rente langlopende uitzettingen" prompt="Rentepercentage is een schatting van het  gemiddelde percentage van de rente op langlopende uitzettingen. Vervang het percentage bij afwijking van het werkelijke rentepercentage voor de te ontvangen rente." sqref="E56" xr:uid="{00000000-0002-0000-0200-000010000000}"/>
    <dataValidation allowBlank="1" showInputMessage="1" showErrorMessage="1" promptTitle="Rente onderhandse leningen" prompt="Rentepercentage is een schatting voor het gemiddelde percentage aan te betalen rente op onderhandse leningen. Vervang het percentage bij afwijking van het werkelijke rentepercentage voor de te betalen rente. " sqref="I56" xr:uid="{00000000-0002-0000-0200-000011000000}"/>
    <dataValidation allowBlank="1" showInputMessage="1" showErrorMessage="1" promptTitle="Rente overige vaste schuld" prompt="Rentepercentage is een schatting voor het gemiddelde percentage voor de te betalen rente op de Overige vaste schuld. Vervang het percentage bij afwijking van het werkelijke rentepercentage voor de te betalen rente.  " sqref="J56" xr:uid="{00000000-0002-0000-0200-000012000000}"/>
    <dataValidation type="whole" operator="greaterThanOrEqual" allowBlank="1" showInputMessage="1" showErrorMessage="1" errorTitle="Fout teken" error="U hebt een negatiefg bedrag ingevuld" promptTitle="Opbrengst bouwgrondexploitatie " prompt="Vul een positief bedrag in voor de verwachte overboeking van niet in exploitatie genomen grond naar onderhanden werk (exclusief de waardestijging). Vul erna op het blad Balansprognose linksonder de waardestijging bij deze overboeking in. " sqref="D7" xr:uid="{00000000-0002-0000-0200-000013000000}">
      <formula1>0</formula1>
    </dataValidation>
    <dataValidation type="whole" operator="greaterThanOrEqual" allowBlank="1" showInputMessage="1" showErrorMessage="1" errorTitle="Foutieve invoer" error="U hebt een negatief bedrag ingevuld. Een boekverlies vult u in op het blad Balansprognose." promptTitle="Verkoop deelnemingen" prompt="Vul voor de bruto opbrengst uit de verkoop of liquidatie van deelnemingen in 2019 een positief bedrag in. Vul erna de boekwinst of het boekverlies in op het blad Balansprognose. " sqref="G7" xr:uid="{00000000-0002-0000-0200-000014000000}">
      <formula1>0</formula1>
    </dataValidation>
    <dataValidation type="decimal" operator="lessThanOrEqual" allowBlank="1" showInputMessage="1" showErrorMessage="1" errorTitle="Fout teken" error="U hebt een positief bedrag ingevuld " promptTitle="Investeringen bouwgrond" prompt="Vul een negatief bedrag in voor de aankoop van strategische gronden / bouwgronden." sqref="D6" xr:uid="{00000000-0002-0000-0200-000015000000}">
      <formula1>0</formula1>
    </dataValidation>
    <dataValidation operator="lessThanOrEqual" allowBlank="1" showInputMessage="1" showErrorMessage="1" promptTitle="Investering" prompt="Vul voor de investeringen in kapitaalverstrekkingen in 2019 een negatief bedrag in." sqref="G6" xr:uid="{00000000-0002-0000-0200-000016000000}"/>
    <dataValidation operator="greaterThanOrEqual" allowBlank="1" showInputMessage="1" showErrorMessage="1" promptTitle="Aflossing uitgezette leningen" prompt="Vul voor de aflossingen op leningen aan verbonden partijen in 2019 een positief bedrag in. Vul erna op het blad Balansprognose de verstrekking van nieuwe leningen aan verbonden partijen in." sqref="C79" xr:uid="{00000000-0002-0000-0200-000017000000}"/>
    <dataValidation operator="greaterThanOrEqual" allowBlank="1" showInputMessage="1" showErrorMessage="1" promptTitle="Aflossing uitgezette leningen" prompt="Vul voor de aflossingen op de verstrekte leningen aan derden in 2019 een positief bedrag in. Vul erna op het blad Balansprognose de verstrekking van nieuwe leningen aan derden in. " sqref="D79" xr:uid="{00000000-0002-0000-0200-000018000000}"/>
    <dataValidation operator="greaterThanOrEqual" allowBlank="1" showInputMessage="1" showErrorMessage="1" promptTitle="Vrijval lanlopende uitzettingen" prompt="Vul voor de langlopende uitzettingen die in 2019 vrijvallen een positief bedrag in. Vul erna op het blad Balansprognose het bedrag van de nieuwe langlopende uitzettingen in.  " sqref="E79" xr:uid="{00000000-0002-0000-0200-000019000000}"/>
    <dataValidation allowBlank="1" showInputMessage="1" showErrorMessage="1" promptTitle="Mutatie vorderingen" prompt="Vul het bedrag in waarmee de vorderingen in 2019 muteren. Vul voor een afname een posief bedrag in. Vul voor een toename van de vorderingen een negatief bedrag in." sqref="F79" xr:uid="{00000000-0002-0000-0200-00001A000000}"/>
    <dataValidation allowBlank="1" showInputMessage="1" showErrorMessage="1" promptTitle="Mutatie liquide middelen" prompt="Vul het bedrag in waarmee de omvang van de kortlopende uitzettingen en liquide middelen in 2019 muteren. Vul bij een afname een positief bedrag in. Vul bij een toename een negatief bedrag in. " sqref="G79" xr:uid="{00000000-0002-0000-0200-00001B000000}"/>
    <dataValidation allowBlank="1" showInputMessage="1" showErrorMessage="1" promptTitle="Mutatie overlopende activa" prompt="Vul het bedrag in waarmee de overlopende activa in 2019 muteren. Vul voor een afname een positief bedrag in. Vul voor een toename een negatief bedrag in." sqref="H79" xr:uid="{00000000-0002-0000-0200-00001C000000}"/>
    <dataValidation allowBlank="1" showInputMessage="1" showErrorMessage="1" promptTitle="Mutatie kortlopende schulden" prompt="Vul het bedrag in waarmee de kortlopende schulden inclusief rekeningcourant kredieten in 2019 muteren. Vul voor een toename een positief bedrag in. Voer voor een afname een negatief bedrag in.  " sqref="K79" xr:uid="{00000000-0002-0000-0200-00001D000000}"/>
    <dataValidation allowBlank="1" showInputMessage="1" showErrorMessage="1" promptTitle="Mutatie crediteuren" prompt="Vul het bedrag in waarmee de post crediteuren in 2019 muteert. Vul bij een toename een positief bedrag in. Vul bij een afname een negatief bedrag in.   " sqref="L79" xr:uid="{00000000-0002-0000-0200-00001E000000}"/>
    <dataValidation allowBlank="1" showInputMessage="1" showErrorMessage="1" promptTitle="Mutatie overlopende passiva" prompt="Vul het bedrag in waarmee de overlopende passiva in 2019 muteren. Vul bij een toename een positief bedrag in. Vul bij een afname een negatief bedrag in." sqref="M79" xr:uid="{00000000-0002-0000-0200-00001F000000}"/>
    <dataValidation allowBlank="1" showInputMessage="1" showErrorMessage="1" promptTitle="Investeringen onderhanden werk" prompt="Vul voor de investeringen in onderhanden werk bouwgrondexploitatie in 2019 een negatief bedrag in." sqref="E6" xr:uid="{00000000-0002-0000-0200-000020000000}"/>
    <dataValidation allowBlank="1" showInputMessage="1" showErrorMessage="1" promptTitle="Opbrengst bouwgrondexploitatie" prompt="Vul voor de bruto opbrengsten uit de bouwgrondexploitatie in 2019 een positief bedrag in. Vul erna op het blad Balansprognose de afname van de voorraad onderhanden werk bouwgrondexploitatie in." sqref="E7" xr:uid="{00000000-0002-0000-0200-000021000000}"/>
    <dataValidation allowBlank="1" showInputMessage="1" showErrorMessage="1" promptTitle="Uitgaven nieuwe voorraden" prompt="Vul voor de uitgaven in 2019 voor het aanvullen van de overige voorraden een negatief bedrag in." sqref="F6" xr:uid="{00000000-0002-0000-0200-000022000000}"/>
    <dataValidation allowBlank="1" showInputMessage="1" showErrorMessage="1" promptTitle="Afname overige voorraden" prompt="Vul voor het verbruik van de overige voorraden in 2019 een positief bedrag in." sqref="F7" xr:uid="{00000000-0002-0000-0200-000023000000}"/>
  </dataValidations>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93"/>
  <sheetViews>
    <sheetView showGridLines="0" tabSelected="1" zoomScale="80" zoomScaleNormal="80" workbookViewId="0">
      <selection activeCell="G34" sqref="G34"/>
    </sheetView>
  </sheetViews>
  <sheetFormatPr defaultColWidth="9.109375" defaultRowHeight="13.2" x14ac:dyDescent="0.25"/>
  <cols>
    <col min="1" max="1" width="3" style="13" customWidth="1"/>
    <col min="2" max="2" width="99.6640625" style="290" bestFit="1" customWidth="1"/>
    <col min="3" max="3" width="17.88671875" style="3" bestFit="1" customWidth="1"/>
    <col min="4" max="4" width="9.109375" style="3" customWidth="1"/>
    <col min="5" max="5" width="3.44140625" style="13" customWidth="1"/>
    <col min="6" max="6" width="125.88671875" style="290" bestFit="1" customWidth="1"/>
    <col min="7" max="7" width="20.6640625" style="3" customWidth="1"/>
    <col min="8" max="8" width="18.6640625" style="3" hidden="1" customWidth="1"/>
    <col min="9" max="9" width="39.33203125" style="3" hidden="1" customWidth="1"/>
    <col min="10" max="10" width="18.6640625" style="3" hidden="1" customWidth="1"/>
    <col min="11" max="11" width="40.33203125" style="3" hidden="1" customWidth="1"/>
    <col min="12" max="12" width="40.6640625" style="3" hidden="1" customWidth="1"/>
    <col min="13" max="13" width="18.6640625" style="3" hidden="1" customWidth="1"/>
    <col min="14" max="14" width="23.44140625" style="3" hidden="1" customWidth="1"/>
    <col min="15" max="15" width="18.6640625" style="3" customWidth="1"/>
    <col min="16" max="16" width="45.88671875" style="3" bestFit="1" customWidth="1"/>
    <col min="17" max="17" width="13.33203125" style="3" bestFit="1" customWidth="1"/>
    <col min="18" max="18" width="37.6640625" style="3" bestFit="1" customWidth="1"/>
    <col min="19" max="26" width="9.109375" style="3" customWidth="1"/>
    <col min="27" max="16384" width="9.109375" style="3"/>
  </cols>
  <sheetData>
    <row r="1" spans="1:19" ht="15.9" customHeight="1" x14ac:dyDescent="0.25">
      <c r="A1" s="321" t="s">
        <v>88</v>
      </c>
      <c r="B1" s="321"/>
      <c r="C1" s="1">
        <f>Macrogegevens!C1</f>
        <v>2019</v>
      </c>
      <c r="D1" s="1"/>
      <c r="E1" s="172" t="s">
        <v>89</v>
      </c>
      <c r="F1" s="172"/>
      <c r="G1" s="1">
        <f>Macrogegevens!C1</f>
        <v>2019</v>
      </c>
      <c r="H1" s="2"/>
      <c r="I1" s="2" t="s">
        <v>0</v>
      </c>
      <c r="L1" s="2" t="s">
        <v>29</v>
      </c>
      <c r="P1" s="172" t="s">
        <v>597</v>
      </c>
      <c r="Q1" s="173"/>
      <c r="R1" s="5"/>
      <c r="S1" s="5"/>
    </row>
    <row r="2" spans="1:19" ht="15.9" customHeight="1" x14ac:dyDescent="0.25">
      <c r="A2" s="278" t="s">
        <v>4</v>
      </c>
      <c r="B2" s="172" t="s">
        <v>682</v>
      </c>
      <c r="C2" s="4">
        <f>SUM(1,J10,J3,J6*J11)</f>
        <v>1.032224958437469</v>
      </c>
      <c r="D2" s="5"/>
      <c r="E2" s="278" t="s">
        <v>4</v>
      </c>
      <c r="F2" s="172" t="s">
        <v>739</v>
      </c>
      <c r="G2" s="6">
        <f>SUM(1,$J$4,$J$6)</f>
        <v>1.0278749307291151</v>
      </c>
      <c r="I2" s="3" t="s">
        <v>1</v>
      </c>
      <c r="J2" s="8">
        <f>Macrogegevens!C4</f>
        <v>1.4E-2</v>
      </c>
      <c r="L2" s="3" t="s">
        <v>885</v>
      </c>
      <c r="M2" s="19">
        <f>Macrogegevens!G3</f>
        <v>0.2</v>
      </c>
      <c r="N2" s="19">
        <f>SUM(1,-M2)</f>
        <v>0.8</v>
      </c>
      <c r="P2" s="174" t="s">
        <v>582</v>
      </c>
      <c r="Q2" s="4">
        <f>SUM($C$3,$C$15,$C$16,$C$35,$C$36,$C$37,$C$46,$C$47,$C$48)/$C$74</f>
        <v>0.56123532952605837</v>
      </c>
      <c r="R2" s="5" t="s">
        <v>71</v>
      </c>
      <c r="S2" s="189">
        <f>C3/C74</f>
        <v>0.44261472857663253</v>
      </c>
    </row>
    <row r="3" spans="1:19" ht="15.9" customHeight="1" x14ac:dyDescent="0.25">
      <c r="A3" s="279">
        <v>1</v>
      </c>
      <c r="B3" s="285" t="s">
        <v>71</v>
      </c>
      <c r="C3" s="11">
        <f>VLOOKUP(Macrogegevens!$C$2,Inkomsten!$A$2:$O$357,3,0)</f>
        <v>100138041.4226345</v>
      </c>
      <c r="D3" s="5"/>
      <c r="E3" s="279">
        <v>1</v>
      </c>
      <c r="F3" s="285" t="s">
        <v>1332</v>
      </c>
      <c r="G3" s="11">
        <f>VLOOKUP(Macrogegevens!$C$2,Uitgaven!$B$2:$S$357,9,0)*1000</f>
        <v>71202000</v>
      </c>
      <c r="I3" s="3" t="s">
        <v>569</v>
      </c>
      <c r="J3" s="8">
        <f>SUM(Macrogegevens!C6,-J5)</f>
        <v>1.29E-2</v>
      </c>
      <c r="L3" s="3" t="s">
        <v>886</v>
      </c>
      <c r="M3" s="19">
        <f>Macrogegevens!G4</f>
        <v>0.11</v>
      </c>
      <c r="N3" s="19">
        <f>SUM(1,-M3)</f>
        <v>0.89</v>
      </c>
      <c r="P3" s="175" t="s">
        <v>575</v>
      </c>
      <c r="Q3" s="4">
        <f>SUM(C25,C60)/C74</f>
        <v>9.42265361869149E-2</v>
      </c>
      <c r="R3" s="175" t="s">
        <v>577</v>
      </c>
      <c r="S3" s="189">
        <f>SUM(C35)/C74</f>
        <v>0.10197178242766596</v>
      </c>
    </row>
    <row r="4" spans="1:19" ht="15.9" customHeight="1" x14ac:dyDescent="0.4">
      <c r="A4" s="279">
        <v>2</v>
      </c>
      <c r="B4" s="285" t="s">
        <v>897</v>
      </c>
      <c r="C4" s="83">
        <f>VLOOKUP(Macrogegevens!$C$2,Inkomsten!$A$2:$O$357,7,0)</f>
        <v>644935</v>
      </c>
      <c r="D4" s="5"/>
      <c r="E4" s="279">
        <v>2</v>
      </c>
      <c r="F4" s="285" t="s">
        <v>1333</v>
      </c>
      <c r="G4" s="11">
        <f>VLOOKUP(Macrogegevens!$C$2,Uitgaven!$B$2:$S$357,15,0)*1000</f>
        <v>22559000</v>
      </c>
      <c r="I4" s="3" t="s">
        <v>2</v>
      </c>
      <c r="J4" s="8">
        <f>Macrogegevens!C7</f>
        <v>1.9E-2</v>
      </c>
      <c r="M4" s="19"/>
      <c r="N4" s="19"/>
      <c r="P4" s="175" t="s">
        <v>578</v>
      </c>
      <c r="Q4" s="4">
        <f>C10/C74</f>
        <v>3.7879792434649624E-2</v>
      </c>
      <c r="R4" s="175" t="s">
        <v>583</v>
      </c>
      <c r="S4" s="189">
        <f>SUM(C15,C16,C36,C37,C46,C47,C48)/C74</f>
        <v>1.6648818521759885E-2</v>
      </c>
    </row>
    <row r="5" spans="1:19" ht="15.9" customHeight="1" x14ac:dyDescent="0.25">
      <c r="A5" s="279">
        <v>3</v>
      </c>
      <c r="B5" s="286"/>
      <c r="C5" s="11"/>
      <c r="D5" s="5"/>
      <c r="E5" s="279">
        <v>3</v>
      </c>
      <c r="F5" s="286"/>
      <c r="G5" s="81">
        <v>0</v>
      </c>
      <c r="I5" s="3" t="s">
        <v>64</v>
      </c>
      <c r="J5" s="8">
        <f>Macrogegevens!C11</f>
        <v>3.0999999999999999E-3</v>
      </c>
      <c r="L5" s="3" t="s">
        <v>737</v>
      </c>
      <c r="M5" s="19">
        <f>Macrogegevens!G6</f>
        <v>0.01</v>
      </c>
      <c r="N5" s="19">
        <f>SUM(1,M5)</f>
        <v>1.01</v>
      </c>
      <c r="P5" s="175" t="s">
        <v>73</v>
      </c>
      <c r="Q5" s="4">
        <f>C11/C74</f>
        <v>3.8423458067025573E-2</v>
      </c>
    </row>
    <row r="6" spans="1:19" ht="15.9" customHeight="1" x14ac:dyDescent="0.25">
      <c r="A6" s="279"/>
      <c r="B6" s="285"/>
      <c r="C6" s="9"/>
      <c r="D6" s="5"/>
      <c r="E6" s="279">
        <v>4</v>
      </c>
      <c r="F6" s="286"/>
      <c r="G6" s="35">
        <v>0</v>
      </c>
      <c r="I6" s="3" t="s">
        <v>65</v>
      </c>
      <c r="J6" s="8">
        <f>Macrogegevens!C12</f>
        <v>8.8749307291150579E-3</v>
      </c>
      <c r="L6" s="3" t="s">
        <v>760</v>
      </c>
      <c r="M6" s="19">
        <f>Macrogegevens!G5</f>
        <v>0.01</v>
      </c>
      <c r="N6" s="19">
        <f>SUM(1,M6)</f>
        <v>1.01</v>
      </c>
      <c r="P6" s="175" t="s">
        <v>580</v>
      </c>
      <c r="Q6" s="4">
        <f>C86/C74</f>
        <v>0</v>
      </c>
      <c r="R6" s="175"/>
      <c r="S6" s="4"/>
    </row>
    <row r="7" spans="1:19" ht="15.9" customHeight="1" x14ac:dyDescent="0.25">
      <c r="A7" s="279"/>
      <c r="B7" s="285" t="s">
        <v>7</v>
      </c>
      <c r="C7" s="9">
        <f>SUM($C$3:$C$5)</f>
        <v>100782976.4226345</v>
      </c>
      <c r="D7" s="5"/>
      <c r="E7" s="279"/>
      <c r="F7" s="285"/>
      <c r="G7" s="203"/>
      <c r="I7" s="3" t="s">
        <v>24</v>
      </c>
      <c r="J7" s="8">
        <f>Macrogegevens!C16</f>
        <v>6.0000000000000001E-3</v>
      </c>
      <c r="M7" s="19"/>
      <c r="N7" s="7"/>
      <c r="P7" s="175" t="s">
        <v>576</v>
      </c>
      <c r="Q7" s="4">
        <f>SUM(C14,C26,C27,C61)/C74</f>
        <v>1.3741922366315716E-2</v>
      </c>
      <c r="R7" s="175"/>
      <c r="S7" s="175"/>
    </row>
    <row r="8" spans="1:19" ht="15.9" customHeight="1" x14ac:dyDescent="0.25">
      <c r="B8" s="285"/>
      <c r="C8" s="9"/>
      <c r="D8" s="5"/>
      <c r="E8" s="279"/>
      <c r="F8" s="285" t="s">
        <v>7</v>
      </c>
      <c r="G8" s="9">
        <f>SUM($G$3:$G$6)</f>
        <v>93761000</v>
      </c>
      <c r="I8" s="14" t="s">
        <v>738</v>
      </c>
      <c r="J8" s="8">
        <f>Macrogegevens!C8</f>
        <v>1.4999999999999999E-2</v>
      </c>
      <c r="L8" s="3" t="s">
        <v>49</v>
      </c>
      <c r="M8" s="19">
        <f>Macrogegevens!G17</f>
        <v>3.6999999999999998E-2</v>
      </c>
      <c r="P8" s="175" t="s">
        <v>579</v>
      </c>
      <c r="Q8" s="4">
        <f>SUM(C43,C44,C45,C12)/C74</f>
        <v>3.4264194977059965E-2</v>
      </c>
      <c r="R8" s="175"/>
      <c r="S8" s="175"/>
    </row>
    <row r="9" spans="1:19" ht="15.9" customHeight="1" x14ac:dyDescent="0.25">
      <c r="A9" s="278" t="s">
        <v>5</v>
      </c>
      <c r="B9" s="172" t="s">
        <v>741</v>
      </c>
      <c r="C9" s="4">
        <f>SUM(1,(0.5*J8),(0.5*J4),J6)</f>
        <v>1.0258749307291153</v>
      </c>
      <c r="D9" s="5"/>
      <c r="E9" s="279"/>
      <c r="F9" s="285"/>
      <c r="G9" s="203"/>
      <c r="I9" s="3" t="s">
        <v>70</v>
      </c>
      <c r="J9" s="8">
        <f>Macrogegevens!C13</f>
        <v>4.8005598320503849E-2</v>
      </c>
      <c r="L9" s="3" t="s">
        <v>766</v>
      </c>
      <c r="M9" s="19">
        <f>Macrogegevens!G12</f>
        <v>0.01</v>
      </c>
      <c r="P9" s="5" t="s">
        <v>626</v>
      </c>
      <c r="Q9" s="4">
        <f>SUM(C28,C85)/C74</f>
        <v>0</v>
      </c>
      <c r="R9" s="175"/>
      <c r="S9" s="175"/>
    </row>
    <row r="10" spans="1:19" ht="15.9" customHeight="1" x14ac:dyDescent="0.4">
      <c r="A10" s="280">
        <v>4</v>
      </c>
      <c r="B10" s="285" t="s">
        <v>74</v>
      </c>
      <c r="C10" s="83">
        <f>VLOOKUP(Macrogegevens!$C$2,' Data belastingen 2019'!$B$2:$O$357,9,0)*1000</f>
        <v>8570000</v>
      </c>
      <c r="D10" s="5"/>
      <c r="E10" s="278" t="s">
        <v>5</v>
      </c>
      <c r="F10" s="172" t="s">
        <v>893</v>
      </c>
      <c r="G10" s="4">
        <f>SUM(1,(0.2*$J$8),(0.8*$J$15),$J$6)</f>
        <v>1.0310749307291152</v>
      </c>
      <c r="I10" s="3" t="s">
        <v>681</v>
      </c>
      <c r="J10" s="8">
        <f>Macrogegevens!C5</f>
        <v>1.4E-2</v>
      </c>
      <c r="K10" s="125" t="s">
        <v>525</v>
      </c>
      <c r="L10" s="3" t="s">
        <v>767</v>
      </c>
      <c r="M10" s="19">
        <f>Macrogegevens!G13</f>
        <v>0.02</v>
      </c>
      <c r="N10" s="37"/>
      <c r="P10" s="3" t="s">
        <v>581</v>
      </c>
      <c r="Q10" s="19">
        <f>SUM(1,-Q2,-Q3,-Q4,-Q5,-Q6,-Q7,-Q8,-Q9)</f>
        <v>0.22022876644197587</v>
      </c>
    </row>
    <row r="11" spans="1:19" s="30" customFormat="1" ht="15.9" customHeight="1" x14ac:dyDescent="0.4">
      <c r="A11" s="280">
        <v>5</v>
      </c>
      <c r="B11" s="287" t="s">
        <v>73</v>
      </c>
      <c r="C11" s="83">
        <f>VLOOKUP(Macrogegevens!$C$2,' Data belastingen 2019'!$B$2:$O$357,10,0)*1000</f>
        <v>8693000</v>
      </c>
      <c r="D11" s="32"/>
      <c r="E11" s="279">
        <v>5</v>
      </c>
      <c r="F11" s="285" t="s">
        <v>1334</v>
      </c>
      <c r="G11" s="11">
        <f>VLOOKUP(Macrogegevens!$C$2,Uitgaven!$B$2:$S$357,16,0)*1000</f>
        <v>32140000</v>
      </c>
      <c r="I11" s="30" t="s">
        <v>91</v>
      </c>
      <c r="J11" s="37">
        <f>IF(Macrogegevens!C18="Hoog",85%,K11)</f>
        <v>0.6</v>
      </c>
      <c r="K11" s="126">
        <f>IF(Macrogegevens!C18="Midden",72.5%,60%)</f>
        <v>0.6</v>
      </c>
      <c r="L11" s="30" t="s">
        <v>768</v>
      </c>
      <c r="M11" s="37">
        <f>Macrogegevens!G14</f>
        <v>0.03</v>
      </c>
      <c r="N11" s="37"/>
    </row>
    <row r="12" spans="1:19" s="30" customFormat="1" ht="15.9" customHeight="1" x14ac:dyDescent="0.4">
      <c r="A12" s="281">
        <v>6</v>
      </c>
      <c r="B12" s="288" t="s">
        <v>876</v>
      </c>
      <c r="C12" s="83">
        <f>VLOOKUP(Macrogegevens!$C$2,' Data belastingen 2019'!$B$2:$O$357,12,0)*1000</f>
        <v>3790000</v>
      </c>
      <c r="D12" s="32"/>
      <c r="E12" s="279">
        <v>6</v>
      </c>
      <c r="F12" s="286"/>
      <c r="G12" s="11">
        <v>0</v>
      </c>
      <c r="I12" s="30" t="s">
        <v>514</v>
      </c>
      <c r="J12" s="21">
        <f>VLOOKUP(Macrogegevens!$C$2,' Data belastingen 2019'!$B$2:$M$390,12,0)</f>
        <v>3790</v>
      </c>
      <c r="L12" s="30" t="s">
        <v>50</v>
      </c>
      <c r="M12" s="36">
        <f>Macrogegevens!G18</f>
        <v>1</v>
      </c>
    </row>
    <row r="13" spans="1:19" s="30" customFormat="1" ht="15.9" customHeight="1" x14ac:dyDescent="0.25">
      <c r="A13" s="281">
        <v>7</v>
      </c>
      <c r="B13" s="287" t="s">
        <v>78</v>
      </c>
      <c r="C13" s="34">
        <v>0</v>
      </c>
      <c r="D13" s="32"/>
      <c r="E13" s="279">
        <v>7</v>
      </c>
      <c r="F13" s="286"/>
      <c r="G13" s="11">
        <v>0</v>
      </c>
      <c r="I13" s="30" t="s">
        <v>544</v>
      </c>
      <c r="J13" s="130">
        <v>0</v>
      </c>
      <c r="L13" s="30" t="s">
        <v>545</v>
      </c>
      <c r="M13" s="21">
        <f>VLOOKUP(Macrogegevens!$C$2,' Data belastingen 2019'!$B$2:$V$357,21,0)</f>
        <v>20816155</v>
      </c>
      <c r="N13" s="150">
        <f>IF(M13&lt;M15,0.2*M13,0)</f>
        <v>4163231</v>
      </c>
    </row>
    <row r="14" spans="1:19" ht="15.9" customHeight="1" x14ac:dyDescent="0.25">
      <c r="A14" s="281">
        <v>8</v>
      </c>
      <c r="B14" s="287" t="s">
        <v>576</v>
      </c>
      <c r="C14" s="20">
        <f>VLOOKUP(Macrogegevens!$C$2,' Data belastingen 2019'!$B$2:$O$357,8,0)*1000</f>
        <v>320000</v>
      </c>
      <c r="D14" s="5"/>
      <c r="E14" s="279"/>
      <c r="F14" s="285"/>
      <c r="G14" s="9"/>
      <c r="I14" s="3" t="s">
        <v>20</v>
      </c>
      <c r="J14" s="27">
        <f>Balansprognose!G35</f>
        <v>226242000</v>
      </c>
      <c r="L14" s="3" t="s">
        <v>546</v>
      </c>
      <c r="M14" s="12">
        <f>SUM(G67,-C4,-C10,-C11,-C12,-C15,-C35,-C36,-C43,-C44,-C45,-C46,-C47,-C48)</f>
        <v>154392487.62155348</v>
      </c>
    </row>
    <row r="15" spans="1:19" ht="15.9" customHeight="1" x14ac:dyDescent="0.4">
      <c r="A15" s="281">
        <v>9</v>
      </c>
      <c r="B15" s="288" t="s">
        <v>100</v>
      </c>
      <c r="C15" s="71">
        <v>0</v>
      </c>
      <c r="D15" s="5"/>
      <c r="E15" s="279"/>
      <c r="F15" s="285" t="s">
        <v>8</v>
      </c>
      <c r="G15" s="9">
        <f>SUM($G$11:$G$13)</f>
        <v>32140000</v>
      </c>
      <c r="H15" s="2"/>
      <c r="I15" s="171" t="s">
        <v>892</v>
      </c>
      <c r="J15" s="8">
        <f>Macrogegevens!C9</f>
        <v>2.4E-2</v>
      </c>
      <c r="L15" s="3" t="s">
        <v>646</v>
      </c>
      <c r="M15" s="43">
        <f>Macrogegevens!H18</f>
        <v>32413598.884987392</v>
      </c>
    </row>
    <row r="16" spans="1:19" ht="15.9" customHeight="1" x14ac:dyDescent="0.25">
      <c r="A16" s="281">
        <v>10</v>
      </c>
      <c r="B16" s="287" t="s">
        <v>79</v>
      </c>
      <c r="C16" s="20">
        <v>0</v>
      </c>
      <c r="D16" s="5"/>
      <c r="E16" s="279"/>
      <c r="F16" s="285"/>
      <c r="G16" s="9"/>
      <c r="H16" s="13"/>
    </row>
    <row r="17" spans="1:17" ht="15.9" customHeight="1" x14ac:dyDescent="0.25">
      <c r="A17" s="281">
        <v>11</v>
      </c>
      <c r="B17" s="287" t="s">
        <v>93</v>
      </c>
      <c r="C17" s="34">
        <v>0</v>
      </c>
      <c r="D17" s="5"/>
      <c r="E17" s="278" t="s">
        <v>6</v>
      </c>
      <c r="F17" s="172" t="s">
        <v>894</v>
      </c>
      <c r="G17" s="4">
        <f>SUM(1,(0.5*$J$8),(0.5*$J$15),$J$6)</f>
        <v>1.0283749307291152</v>
      </c>
      <c r="L17" s="3" t="s">
        <v>733</v>
      </c>
      <c r="M17" s="4">
        <f>SUM($C$3,$C$4,C15,C16,C36,$C$37,$C$46,$C$47,$C$48)/$C$67</f>
        <v>0.48750358818306216</v>
      </c>
    </row>
    <row r="18" spans="1:17" ht="15.9" customHeight="1" x14ac:dyDescent="0.25">
      <c r="A18" s="281">
        <v>12</v>
      </c>
      <c r="B18" s="287" t="s">
        <v>642</v>
      </c>
      <c r="C18" s="11">
        <v>0</v>
      </c>
      <c r="D18" s="279"/>
      <c r="E18" s="279">
        <v>8</v>
      </c>
      <c r="F18" s="285" t="s">
        <v>1335</v>
      </c>
      <c r="G18" s="11">
        <f>VLOOKUP(Macrogegevens!$C$2,Uitgaven!$B$2:$S$357,10,0)*1000</f>
        <v>59721000</v>
      </c>
      <c r="L18" s="3" t="s">
        <v>735</v>
      </c>
      <c r="M18" s="4">
        <f>Q10</f>
        <v>0.22022876644197587</v>
      </c>
    </row>
    <row r="19" spans="1:17" ht="15.9" customHeight="1" x14ac:dyDescent="0.25">
      <c r="A19" s="279">
        <v>13</v>
      </c>
      <c r="B19" s="286"/>
      <c r="C19" s="11">
        <v>0</v>
      </c>
      <c r="D19" s="279"/>
      <c r="E19" s="279">
        <v>9</v>
      </c>
      <c r="F19" s="285" t="s">
        <v>1336</v>
      </c>
      <c r="G19" s="11">
        <f>VLOOKUP(Macrogegevens!$C$2,Uitgaven!$B$2:$S$357,11,0)*1000</f>
        <v>6629000</v>
      </c>
      <c r="L19" s="3" t="s">
        <v>734</v>
      </c>
      <c r="M19" s="7">
        <f>M2*M17</f>
        <v>9.7500717636612444E-2</v>
      </c>
    </row>
    <row r="20" spans="1:17" ht="15.9" customHeight="1" x14ac:dyDescent="0.25">
      <c r="A20" s="279">
        <v>14</v>
      </c>
      <c r="B20" s="286"/>
      <c r="C20" s="11">
        <v>0</v>
      </c>
      <c r="D20" s="279"/>
      <c r="E20" s="279">
        <v>10</v>
      </c>
      <c r="F20" s="290" t="s">
        <v>1337</v>
      </c>
      <c r="G20" s="11">
        <f>VLOOKUP(Macrogegevens!$C$2,Uitgaven!$B$2:$S$357,13,0)*1000</f>
        <v>5069000</v>
      </c>
      <c r="L20" s="3" t="s">
        <v>680</v>
      </c>
      <c r="M20" s="7">
        <f>M3*M18</f>
        <v>2.4225164308617344E-2</v>
      </c>
    </row>
    <row r="21" spans="1:17" ht="15.9" customHeight="1" x14ac:dyDescent="0.25">
      <c r="A21" s="279"/>
      <c r="B21" s="285"/>
      <c r="C21" s="9"/>
      <c r="D21" s="279"/>
      <c r="E21" s="279">
        <v>11</v>
      </c>
      <c r="F21" s="286"/>
      <c r="G21" s="11">
        <v>0</v>
      </c>
      <c r="L21" s="3" t="s">
        <v>888</v>
      </c>
      <c r="M21" s="10">
        <f>SUM(M19:M20)</f>
        <v>0.12172588194522979</v>
      </c>
      <c r="N21" s="7">
        <f>SUM(1,-M21)</f>
        <v>0.87827411805477018</v>
      </c>
    </row>
    <row r="22" spans="1:17" ht="15.9" customHeight="1" x14ac:dyDescent="0.25">
      <c r="A22" s="279"/>
      <c r="B22" s="285" t="s">
        <v>8</v>
      </c>
      <c r="C22" s="9">
        <f>SUM(C10:C20)</f>
        <v>21373000</v>
      </c>
      <c r="D22" s="279"/>
      <c r="E22" s="279">
        <v>12</v>
      </c>
      <c r="F22" s="286"/>
      <c r="G22" s="11">
        <v>0</v>
      </c>
      <c r="M22" s="21"/>
    </row>
    <row r="23" spans="1:17" ht="15.9" customHeight="1" x14ac:dyDescent="0.25">
      <c r="A23" s="279"/>
      <c r="B23" s="285"/>
      <c r="C23" s="9"/>
      <c r="D23" s="5"/>
      <c r="E23" s="278"/>
      <c r="F23" s="172"/>
      <c r="G23" s="4"/>
      <c r="L23" s="3" t="s">
        <v>736</v>
      </c>
      <c r="M23" s="19">
        <f>SUM(G67,-G5)/G67</f>
        <v>1</v>
      </c>
    </row>
    <row r="24" spans="1:17" ht="15.9" customHeight="1" x14ac:dyDescent="0.25">
      <c r="A24" s="278" t="s">
        <v>6</v>
      </c>
      <c r="B24" s="172" t="s">
        <v>683</v>
      </c>
      <c r="C24" s="4">
        <f>SUM(1,J2,J3,J6)</f>
        <v>1.0357749307291151</v>
      </c>
      <c r="D24" s="5"/>
      <c r="E24" s="279"/>
      <c r="F24" s="291" t="s">
        <v>9</v>
      </c>
      <c r="G24" s="9">
        <f>SUM($G$18:$G$22)</f>
        <v>71419000</v>
      </c>
      <c r="L24" s="3" t="s">
        <v>887</v>
      </c>
      <c r="M24" s="19">
        <f>M5*M23</f>
        <v>0.01</v>
      </c>
      <c r="N24" s="19">
        <f>SUM(1,-M24)</f>
        <v>0.99</v>
      </c>
    </row>
    <row r="25" spans="1:17" ht="15.9" customHeight="1" x14ac:dyDescent="0.25">
      <c r="A25" s="279">
        <v>15</v>
      </c>
      <c r="B25" s="285" t="s">
        <v>72</v>
      </c>
      <c r="C25" s="20">
        <f>VLOOKUP(Macrogegevens!$C$2,' Data belastingen 2019'!$B$2:$O$357,3,0)*1000</f>
        <v>11440000</v>
      </c>
      <c r="D25" s="5"/>
      <c r="E25" s="279"/>
      <c r="F25" s="291"/>
      <c r="G25" s="9"/>
      <c r="K25" s="21"/>
      <c r="L25" s="21" t="s">
        <v>889</v>
      </c>
      <c r="M25" s="19">
        <f>M6*M23</f>
        <v>0.01</v>
      </c>
      <c r="N25" s="19">
        <f>SUM(1,-M25)</f>
        <v>0.99</v>
      </c>
    </row>
    <row r="26" spans="1:17" ht="15.9" customHeight="1" x14ac:dyDescent="0.25">
      <c r="A26" s="279">
        <v>16</v>
      </c>
      <c r="B26" s="285" t="s">
        <v>77</v>
      </c>
      <c r="C26" s="20">
        <f>VLOOKUP(Macrogegevens!$C$2,' Data belastingen 2019'!$B$2:$O$357,7,0)*1000</f>
        <v>132000</v>
      </c>
      <c r="D26" s="5"/>
      <c r="E26" s="278" t="s">
        <v>14</v>
      </c>
      <c r="F26" s="172" t="s">
        <v>896</v>
      </c>
      <c r="G26" s="4">
        <f>SUM(1,(0.5*$J$8),(0.5*$J$15),$J$3,$J$6)</f>
        <v>1.0412749307291151</v>
      </c>
      <c r="K26" s="21"/>
      <c r="L26" s="21"/>
      <c r="M26" s="19"/>
    </row>
    <row r="27" spans="1:17" ht="15.9" customHeight="1" x14ac:dyDescent="0.25">
      <c r="A27" s="279">
        <v>17</v>
      </c>
      <c r="B27" s="285" t="s">
        <v>103</v>
      </c>
      <c r="C27" s="20">
        <f>VLOOKUP(Macrogegevens!$C$2,' Data belastingen 2019'!$B$2:$O$357,6,0)*1000</f>
        <v>0</v>
      </c>
      <c r="D27" s="5"/>
      <c r="E27" s="279">
        <v>13</v>
      </c>
      <c r="F27" s="285" t="s">
        <v>1338</v>
      </c>
      <c r="G27" s="11">
        <f>VLOOKUP(Macrogegevens!$C$2,Uitgaven!$B$2:$S$357,12,0)*1000</f>
        <v>2265000</v>
      </c>
    </row>
    <row r="28" spans="1:17" ht="15.9" customHeight="1" x14ac:dyDescent="0.25">
      <c r="A28" s="279">
        <v>18</v>
      </c>
      <c r="B28" s="285" t="s">
        <v>104</v>
      </c>
      <c r="C28" s="11">
        <v>0</v>
      </c>
      <c r="D28" s="5"/>
      <c r="E28" s="279">
        <v>14</v>
      </c>
      <c r="F28" s="285" t="s">
        <v>643</v>
      </c>
      <c r="G28" s="132">
        <v>0</v>
      </c>
      <c r="H28" s="2" t="s">
        <v>47</v>
      </c>
      <c r="P28" s="201" t="s">
        <v>641</v>
      </c>
      <c r="Q28" s="202"/>
    </row>
    <row r="29" spans="1:17" ht="15.9" customHeight="1" x14ac:dyDescent="0.25">
      <c r="A29" s="279">
        <v>19</v>
      </c>
      <c r="B29" s="286"/>
      <c r="C29" s="11">
        <v>0</v>
      </c>
      <c r="D29" s="5"/>
      <c r="E29" s="279"/>
      <c r="F29" s="285"/>
      <c r="G29" s="5"/>
      <c r="H29" s="13" t="s">
        <v>21</v>
      </c>
      <c r="I29" s="13" t="s">
        <v>20</v>
      </c>
      <c r="J29" s="13" t="s">
        <v>22</v>
      </c>
      <c r="K29" s="13" t="s">
        <v>46</v>
      </c>
      <c r="L29" s="13" t="s">
        <v>48</v>
      </c>
      <c r="M29" s="13" t="s">
        <v>3</v>
      </c>
      <c r="N29" s="3" t="s">
        <v>51</v>
      </c>
      <c r="P29" s="314" t="s">
        <v>627</v>
      </c>
      <c r="Q29" s="198">
        <f>Q2</f>
        <v>0.56123532952605837</v>
      </c>
    </row>
    <row r="30" spans="1:17" ht="15.9" customHeight="1" x14ac:dyDescent="0.25">
      <c r="A30" s="279">
        <v>20</v>
      </c>
      <c r="B30" s="286"/>
      <c r="C30" s="11">
        <v>0</v>
      </c>
      <c r="D30" s="5"/>
      <c r="E30" s="279"/>
      <c r="F30" s="285" t="s">
        <v>11</v>
      </c>
      <c r="G30" s="9">
        <f>SUM($G$27:$G$28)</f>
        <v>2265000</v>
      </c>
      <c r="H30" s="3">
        <f>Macrogegevens!C1</f>
        <v>2019</v>
      </c>
      <c r="I30" s="31">
        <f>C67</f>
        <v>214459218.264</v>
      </c>
      <c r="J30" s="31">
        <f>G67</f>
        <v>206889384.62155348</v>
      </c>
      <c r="K30" s="21">
        <v>0</v>
      </c>
      <c r="L30" s="21">
        <f>SUM(I30,-J30,K30)</f>
        <v>7569833.6424465179</v>
      </c>
      <c r="M30" s="21">
        <f>J7*0.5*L30</f>
        <v>22709.500927339555</v>
      </c>
      <c r="N30" s="21">
        <f t="shared" ref="N30:N39" si="0">SUM(L30:M30)</f>
        <v>7592543.1433738573</v>
      </c>
      <c r="P30" s="315" t="s">
        <v>662</v>
      </c>
      <c r="Q30" s="112">
        <f>$M$14/$G$74</f>
        <v>0.68378797830529914</v>
      </c>
    </row>
    <row r="31" spans="1:17" s="30" customFormat="1" ht="15.9" customHeight="1" x14ac:dyDescent="0.25">
      <c r="A31" s="279"/>
      <c r="B31" s="285"/>
      <c r="C31" s="9"/>
      <c r="D31" s="32"/>
      <c r="E31" s="279"/>
      <c r="F31" s="285"/>
      <c r="G31" s="5"/>
      <c r="H31" s="3">
        <f t="shared" ref="H31:H39" si="1">SUM(H30,1)</f>
        <v>2020</v>
      </c>
      <c r="I31" s="31">
        <f>SUM(SUM(C67*N21,J13)*C66,N13*C66)</f>
        <v>198711867.32563692</v>
      </c>
      <c r="J31" s="31">
        <f>SUM(G67*N24,J13)*G66</f>
        <v>210675373.16027784</v>
      </c>
      <c r="K31" s="31">
        <f>SUM((M8*M12*SUM(M13,M14))*(G66^1),-N13*C66)</f>
        <v>2370839.2120204167</v>
      </c>
      <c r="L31" s="31">
        <f t="shared" ref="L31:L39" si="2">SUM(I31,-J31,K31)</f>
        <v>-9592666.6226205043</v>
      </c>
      <c r="M31" s="31">
        <f>SUM(SUM(J7,M9)*0.5*L31,J7*N30)</f>
        <v>-31186.074120720899</v>
      </c>
      <c r="N31" s="31">
        <f t="shared" si="0"/>
        <v>-9623852.6967412252</v>
      </c>
      <c r="P31" s="315" t="s">
        <v>660</v>
      </c>
      <c r="Q31" s="112">
        <f>VLOOKUP(Macrogegevens!$C$2,' Data belastingen 2019'!$B$2:$V$357,20,0)/C74</f>
        <v>9.2008358306592056E-2</v>
      </c>
    </row>
    <row r="32" spans="1:17" ht="15.9" customHeight="1" x14ac:dyDescent="0.25">
      <c r="A32" s="279"/>
      <c r="B32" s="285" t="s">
        <v>9</v>
      </c>
      <c r="C32" s="9">
        <f>SUM(C25:C30)</f>
        <v>11572000</v>
      </c>
      <c r="D32" s="5"/>
      <c r="E32" s="293" t="s">
        <v>10</v>
      </c>
      <c r="F32" s="294" t="s">
        <v>895</v>
      </c>
      <c r="G32" s="33">
        <f>SUM(1,(0.8*$J$2),(0.2*$J$15),$J$6)</f>
        <v>1.0248749307291152</v>
      </c>
      <c r="H32" s="3">
        <f t="shared" si="1"/>
        <v>2021</v>
      </c>
      <c r="I32" s="21">
        <f>SUM(SUM(C67*N21,J13)*(C66^2),2*N13*(C66^2))</f>
        <v>209541312.55594525</v>
      </c>
      <c r="J32" s="21">
        <f>SUM(G67*N25,J13)*(G66^2)</f>
        <v>216697619.89246503</v>
      </c>
      <c r="K32" s="21">
        <f>SUM((M8*M12*SUM(M13,M14))*(G66^2)*2,-2*N13*(C66^2))</f>
        <v>4846352.7429923546</v>
      </c>
      <c r="L32" s="21">
        <f t="shared" si="2"/>
        <v>-2309954.5935274232</v>
      </c>
      <c r="M32" s="21">
        <f>SUM(SUM(J7,M10)*0.5*L32,J7*N30,SUM(J7,M9)*N31)</f>
        <v>-138455.79400347295</v>
      </c>
      <c r="N32" s="21">
        <f t="shared" si="0"/>
        <v>-2448410.3875308963</v>
      </c>
      <c r="P32" s="315" t="s">
        <v>658</v>
      </c>
      <c r="Q32" s="112">
        <f>SUM($C$74,-$G$74)/$C$74</f>
        <v>1.9978606978368297E-3</v>
      </c>
    </row>
    <row r="33" spans="1:17" ht="15.9" customHeight="1" x14ac:dyDescent="0.25">
      <c r="A33" s="279"/>
      <c r="B33" s="285"/>
      <c r="C33" s="9"/>
      <c r="D33" s="5"/>
      <c r="E33" s="279">
        <v>15</v>
      </c>
      <c r="F33" s="285" t="s">
        <v>1339</v>
      </c>
      <c r="G33" s="11">
        <f>VLOOKUP(Macrogegevens!$C$2,Uitgaven!$B$2:$S$357,14,0)*1000</f>
        <v>16795000</v>
      </c>
      <c r="H33" s="3">
        <f t="shared" si="1"/>
        <v>2022</v>
      </c>
      <c r="I33" s="21">
        <f>SUM(SUM(C67*N21,J13)*(C66^3),3*N13*(C66^3))</f>
        <v>220861939.06553131</v>
      </c>
      <c r="J33" s="21">
        <f>SUM(G67*N25,J13)*(G66^3)</f>
        <v>222892015.15420884</v>
      </c>
      <c r="K33" s="21">
        <f>SUM((M8*M12*SUM(M13,M14))*(G66^3)*3,-3*N13*(C66^3))</f>
        <v>7429538.9380052127</v>
      </c>
      <c r="L33" s="21">
        <f t="shared" si="2"/>
        <v>5399462.8493276872</v>
      </c>
      <c r="M33" s="21">
        <f>SUM(SUM(J7,M11)*0.5*L33,J7*N30,SUM(J7,M9)*N31,SUM(J7,M10)*N32)</f>
        <v>-74894.723075521426</v>
      </c>
      <c r="N33" s="21">
        <f t="shared" si="0"/>
        <v>5324568.126252166</v>
      </c>
      <c r="P33" s="315" t="s">
        <v>659</v>
      </c>
      <c r="Q33" s="199">
        <f>$G$70/$C$74</f>
        <v>9.6030594604295701E-3</v>
      </c>
    </row>
    <row r="34" spans="1:17" ht="15.9" customHeight="1" x14ac:dyDescent="0.25">
      <c r="A34" s="278" t="s">
        <v>10</v>
      </c>
      <c r="B34" s="172" t="s">
        <v>81</v>
      </c>
      <c r="C34" s="4">
        <f>SUM(1,J6,J4)</f>
        <v>1.0278749307291151</v>
      </c>
      <c r="D34" s="5"/>
      <c r="E34" s="282">
        <v>16</v>
      </c>
      <c r="F34" s="285" t="s">
        <v>1340</v>
      </c>
      <c r="G34" s="11">
        <f>VLOOKUP(Macrogegevens!$C$2,Uitgaven!$B$2:$S$357,17,0)*1000</f>
        <v>14590000</v>
      </c>
      <c r="H34" s="3">
        <f t="shared" si="1"/>
        <v>2023</v>
      </c>
      <c r="I34" s="21">
        <f>SUM(SUM(C67*N21,J13)*(C66^4),4*N13*(C66^4))</f>
        <v>232694144.01062277</v>
      </c>
      <c r="J34" s="21">
        <f>SUM(G67*N25,J13)*(G66^4)</f>
        <v>229263479.88574082</v>
      </c>
      <c r="K34" s="21">
        <f>SUM((M8*M12*SUM(M13,M14))*(G66^4)*4,-4*N13*(C66^4))</f>
        <v>10123446.499992382</v>
      </c>
      <c r="L34" s="21">
        <f t="shared" si="2"/>
        <v>13554110.624874335</v>
      </c>
      <c r="M34" s="21">
        <f>SUM(SUM(J7,M11)*SUM(0.5*L34,N33),J7*N30,SUM(J7,M9)*N31,SUM(J7,M10)*N32)</f>
        <v>263573.38942939619</v>
      </c>
      <c r="N34" s="21">
        <f t="shared" si="0"/>
        <v>13817684.014303731</v>
      </c>
      <c r="P34" s="316" t="s">
        <v>661</v>
      </c>
      <c r="Q34" s="200">
        <f>SUM($C$74,-$G$74,$G$72)/$C$74</f>
        <v>4.6410480812581222E-2</v>
      </c>
    </row>
    <row r="35" spans="1:17" s="133" customFormat="1" ht="15.9" customHeight="1" x14ac:dyDescent="0.4">
      <c r="A35" s="282">
        <v>21</v>
      </c>
      <c r="B35" s="289" t="s">
        <v>83</v>
      </c>
      <c r="C35" s="83">
        <f>SUM(VLOOKUP(Macrogegevens!$C$2,Inkomsten!$A$2:$O$357,8,0),VLOOKUP(Macrogegevens!$C$2,Inkomsten!$A$2:$OB$357,9,0))</f>
        <v>23070300</v>
      </c>
      <c r="D35" s="131"/>
      <c r="E35" s="282">
        <v>17</v>
      </c>
      <c r="F35" s="285" t="s">
        <v>1341</v>
      </c>
      <c r="G35" s="11">
        <f>VLOOKUP(Macrogegevens!$C$2,Uitgaven!$B$2:$S$357,18,0)*1000</f>
        <v>2109000</v>
      </c>
      <c r="H35" s="133">
        <f t="shared" si="1"/>
        <v>2024</v>
      </c>
      <c r="I35" s="134">
        <f>SUM(SUM(C67*N21,J13)*(C66^5),5*N13*(C66^5))</f>
        <v>245059128.6383135</v>
      </c>
      <c r="J35" s="134">
        <f>SUM(G67*N25,J13)*(G66^5)</f>
        <v>235817075.69449899</v>
      </c>
      <c r="K35" s="134">
        <f>SUM((M8*M12*SUM(M13,M14))*(G66^5)*5,-5*N13*(C66^5))</f>
        <v>12931173.718120094</v>
      </c>
      <c r="L35" s="134">
        <f t="shared" si="2"/>
        <v>22173226.66193461</v>
      </c>
      <c r="M35" s="134">
        <f>SUM(SUM(J7,M11)*SUM(0.5*L35,N33,N34),J7*N30,SUM(J7,M9)*N31,SUM(J7,M10)*N32)</f>
        <v>916154.10261141567</v>
      </c>
      <c r="N35" s="134">
        <f t="shared" si="0"/>
        <v>23089380.764546026</v>
      </c>
      <c r="P35" s="3"/>
      <c r="Q35" s="3"/>
    </row>
    <row r="36" spans="1:17" s="133" customFormat="1" ht="15.9" customHeight="1" x14ac:dyDescent="0.4">
      <c r="A36" s="282">
        <v>22</v>
      </c>
      <c r="B36" s="289" t="s">
        <v>913</v>
      </c>
      <c r="C36" s="83">
        <f>VLOOKUP(Macrogegevens!$C$2,Inkomsten!$A$2:$O$357,6,0)</f>
        <v>2265071</v>
      </c>
      <c r="D36" s="131"/>
      <c r="E36" s="282">
        <v>18</v>
      </c>
      <c r="F36" s="286"/>
      <c r="G36" s="132">
        <v>0</v>
      </c>
      <c r="H36" s="133">
        <f t="shared" si="1"/>
        <v>2025</v>
      </c>
      <c r="I36" s="134">
        <f>SUM(SUM(C67*N21,J13)*(C66^6),5*N13*(C66^6))</f>
        <v>252944433.41865653</v>
      </c>
      <c r="J36" s="134">
        <f>SUM(G67*N25,J13)*(G66^6)</f>
        <v>242558008.87616098</v>
      </c>
      <c r="K36" s="134">
        <f>SUM((M8*M12*SUM(M13,M14))*(G66^6)*5,-5*N13*(C66^6))</f>
        <v>13213222.975363035</v>
      </c>
      <c r="L36" s="134">
        <f t="shared" si="2"/>
        <v>23599647.517858583</v>
      </c>
      <c r="M36" s="134">
        <f>SUM(SUM(J7,M11)*SUM(0.5*L36,N33,N34,N35),J7*N30,SUM(J7,M9)*N31,SUM(J7,M10)*N32)</f>
        <v>1773047.3855417038</v>
      </c>
      <c r="N36" s="134">
        <f t="shared" si="0"/>
        <v>25372694.903400287</v>
      </c>
      <c r="P36" s="3"/>
      <c r="Q36" s="3"/>
    </row>
    <row r="37" spans="1:17" s="133" customFormat="1" ht="15.9" customHeight="1" x14ac:dyDescent="0.25">
      <c r="A37" s="282">
        <v>23</v>
      </c>
      <c r="B37" s="286"/>
      <c r="C37" s="20">
        <v>0</v>
      </c>
      <c r="D37" s="131"/>
      <c r="E37" s="282">
        <v>19</v>
      </c>
      <c r="F37" s="286"/>
      <c r="G37" s="132">
        <v>0</v>
      </c>
      <c r="H37" s="133">
        <f t="shared" si="1"/>
        <v>2026</v>
      </c>
      <c r="I37" s="134">
        <f>SUM(SUM(C67*N21,J13)*(C66^7),5*N13*(C66^7))</f>
        <v>261083464.8478471</v>
      </c>
      <c r="J37" s="134">
        <f>SUM(G67*N25,J13)*(G66^7)</f>
        <v>249491634.55061975</v>
      </c>
      <c r="K37" s="134">
        <f>SUM((M8*M12*SUM(M13,M14))*(G66^7)*5,-5*N13*(C66^7))</f>
        <v>13500516.209182009</v>
      </c>
      <c r="L37" s="134">
        <f t="shared" si="2"/>
        <v>25092346.506409362</v>
      </c>
      <c r="M37" s="134">
        <f>SUM(SUM(J7,M11)*SUM(0.5*L37,N33,N34,N35,N36),J7*N30,SUM(J7,M9)*N31,SUM(J7,M10)*N32)</f>
        <v>2713332.9838580275</v>
      </c>
      <c r="N37" s="134">
        <f t="shared" si="0"/>
        <v>27805679.490267389</v>
      </c>
      <c r="P37" s="3"/>
      <c r="Q37" s="3"/>
    </row>
    <row r="38" spans="1:17" s="30" customFormat="1" ht="15.9" customHeight="1" x14ac:dyDescent="0.25">
      <c r="A38" s="279">
        <v>24</v>
      </c>
      <c r="B38" s="286"/>
      <c r="C38" s="11">
        <v>0</v>
      </c>
      <c r="D38" s="32"/>
      <c r="E38" s="279">
        <v>20</v>
      </c>
      <c r="F38" s="286"/>
      <c r="G38" s="11">
        <v>0</v>
      </c>
      <c r="H38" s="3">
        <f t="shared" si="1"/>
        <v>2027</v>
      </c>
      <c r="I38" s="21">
        <f>SUM(SUM(C67*N21,J13)*(C66^8),5*N13*(C66^8))</f>
        <v>269484387.12677908</v>
      </c>
      <c r="J38" s="21">
        <f>SUM(G67*N25,J13)*(G66^8)</f>
        <v>256623460.91618854</v>
      </c>
      <c r="K38" s="31">
        <f>SUM((M8*M12*SUM(M13,M14))*(G66^8)*5,-5*N13*(C66^8))</f>
        <v>13793112.628857914</v>
      </c>
      <c r="L38" s="31">
        <f t="shared" si="2"/>
        <v>26654038.839448456</v>
      </c>
      <c r="M38" s="31">
        <f>SUM(SUM(J7,M11)*SUM(0.5*L38,N33,N34,N35,N36,N37),J7*N30,SUM(J7,M9)*N31,SUM(J7,M10)*N32)</f>
        <v>3742447.9075023569</v>
      </c>
      <c r="N38" s="31">
        <f t="shared" si="0"/>
        <v>30396486.746950813</v>
      </c>
    </row>
    <row r="39" spans="1:17" ht="15.9" customHeight="1" x14ac:dyDescent="0.25">
      <c r="A39" s="279"/>
      <c r="B39" s="285"/>
      <c r="C39" s="9"/>
      <c r="D39" s="5"/>
      <c r="E39" s="279">
        <v>21</v>
      </c>
      <c r="F39" s="285" t="s">
        <v>526</v>
      </c>
      <c r="G39" s="9">
        <f>SUM($G$67,-$G$8,-$G$15,-$G$24,-$G$30,-G33,-G34,-G35,-G36,-G37,-G38)</f>
        <v>-26189615.378446519</v>
      </c>
      <c r="H39" s="3">
        <f t="shared" si="1"/>
        <v>2028</v>
      </c>
      <c r="I39" s="21">
        <f>SUM(SUM(C67*N21,J13)*(C66^9),5*N13*(C66^9))</f>
        <v>278155627.15707755</v>
      </c>
      <c r="J39" s="21">
        <f>SUM(G67*N25,J13)*(G66^9)</f>
        <v>263959153.62541342</v>
      </c>
      <c r="K39" s="21">
        <f>SUM((M8*M12*SUM(M13,M14))*(G66^9)*5,-5*N13*(C66^9))</f>
        <v>14091070.217982471</v>
      </c>
      <c r="L39" s="21">
        <f t="shared" si="2"/>
        <v>28287543.749646604</v>
      </c>
      <c r="M39" s="21">
        <f>SUM(SUM(J7,M11)*SUM(0.5*L39,N33,N34,N35,N36,N37,N38),J7*N30,SUM(J7,M9)*N31,SUM(J7,M10)*N32)</f>
        <v>4866124.5187761532</v>
      </c>
      <c r="N39" s="21">
        <f t="shared" si="0"/>
        <v>33153668.268422756</v>
      </c>
    </row>
    <row r="40" spans="1:17" ht="15.9" customHeight="1" x14ac:dyDescent="0.25">
      <c r="A40" s="279"/>
      <c r="B40" s="285" t="s">
        <v>11</v>
      </c>
      <c r="C40" s="9">
        <f>SUM(C35:C38)</f>
        <v>25335371</v>
      </c>
      <c r="D40" s="5"/>
      <c r="E40" s="279"/>
      <c r="F40" s="285"/>
      <c r="G40" s="5"/>
    </row>
    <row r="41" spans="1:17" ht="15.9" customHeight="1" x14ac:dyDescent="0.25">
      <c r="A41" s="279"/>
      <c r="B41" s="285"/>
      <c r="C41" s="9"/>
      <c r="D41" s="5"/>
      <c r="E41" s="279"/>
      <c r="F41" s="285" t="s">
        <v>11</v>
      </c>
      <c r="G41" s="9">
        <f>SUM(G33:G39)</f>
        <v>7304384.6215534806</v>
      </c>
      <c r="H41" s="3">
        <f>IF(G41&lt;0,-G41,G41)</f>
        <v>7304384.6215534806</v>
      </c>
    </row>
    <row r="42" spans="1:17" ht="15.9" customHeight="1" x14ac:dyDescent="0.25">
      <c r="A42" s="278" t="s">
        <v>12</v>
      </c>
      <c r="B42" s="172" t="s">
        <v>740</v>
      </c>
      <c r="C42" s="4">
        <f>SUM(1,(0.2*J8),(0.8*J4),J6)</f>
        <v>1.0270749307291152</v>
      </c>
      <c r="D42" s="5"/>
      <c r="E42" s="279"/>
      <c r="F42" s="172"/>
      <c r="G42" s="172"/>
    </row>
    <row r="43" spans="1:17" ht="15.9" customHeight="1" x14ac:dyDescent="0.4">
      <c r="A43" s="281">
        <v>25</v>
      </c>
      <c r="B43" s="287" t="s">
        <v>75</v>
      </c>
      <c r="C43" s="83">
        <f>VLOOKUP(Macrogegevens!$C$2,' Data belastingen 2019'!$B$2:$O$357,11,0)*1000</f>
        <v>1917000</v>
      </c>
      <c r="D43" s="5"/>
      <c r="E43" s="278"/>
      <c r="F43" s="172"/>
      <c r="G43" s="172"/>
    </row>
    <row r="44" spans="1:17" ht="15.9" customHeight="1" x14ac:dyDescent="0.4">
      <c r="A44" s="279">
        <v>26</v>
      </c>
      <c r="B44" s="285" t="s">
        <v>76</v>
      </c>
      <c r="C44" s="83">
        <f>VLOOKUP(Macrogegevens!$C$2,' Data belastingen 2019'!$B$2:$O$357,13,0)*1000</f>
        <v>1752000</v>
      </c>
      <c r="D44" s="5"/>
      <c r="E44" s="283"/>
      <c r="F44" s="172"/>
      <c r="G44" s="172"/>
    </row>
    <row r="45" spans="1:17" ht="15.9" customHeight="1" x14ac:dyDescent="0.4">
      <c r="A45" s="279">
        <v>27</v>
      </c>
      <c r="B45" s="285" t="s">
        <v>732</v>
      </c>
      <c r="C45" s="83">
        <f>VLOOKUP(Macrogegevens!$C$2,' Data belastingen 2019'!$B$2:$O$357,14,0)*1000</f>
        <v>293000</v>
      </c>
      <c r="D45" s="5"/>
      <c r="E45" s="279"/>
      <c r="F45" s="172"/>
      <c r="G45" s="172"/>
    </row>
    <row r="46" spans="1:17" ht="15.9" customHeight="1" x14ac:dyDescent="0.4">
      <c r="A46" s="279">
        <v>28</v>
      </c>
      <c r="B46" s="285" t="s">
        <v>82</v>
      </c>
      <c r="C46" s="83">
        <f>VLOOKUP(Macrogegevens!$C$2,Inkomsten!$A$2:$O$357,10,0)</f>
        <v>202231</v>
      </c>
      <c r="D46" s="5"/>
      <c r="E46" s="279"/>
      <c r="F46" s="172"/>
      <c r="G46" s="172"/>
    </row>
    <row r="47" spans="1:17" ht="15.9" customHeight="1" x14ac:dyDescent="0.4">
      <c r="A47" s="279">
        <v>29</v>
      </c>
      <c r="B47" s="285" t="s">
        <v>656</v>
      </c>
      <c r="C47" s="83">
        <f>VLOOKUP(Macrogegevens!$C$2,Inkomsten!$A$2:$O$357,5,0)</f>
        <v>0</v>
      </c>
      <c r="D47" s="5"/>
      <c r="E47" s="279"/>
      <c r="F47" s="172"/>
      <c r="G47" s="172"/>
    </row>
    <row r="48" spans="1:17" ht="15.9" customHeight="1" x14ac:dyDescent="0.4">
      <c r="A48" s="279">
        <v>30</v>
      </c>
      <c r="B48" s="285" t="s">
        <v>657</v>
      </c>
      <c r="C48" s="83">
        <f>VLOOKUP(Macrogegevens!$C$2,Inkomsten!$A$2:$O$357,4,0)</f>
        <v>1299360</v>
      </c>
      <c r="D48" s="5"/>
      <c r="E48" s="279"/>
      <c r="F48" s="172"/>
      <c r="G48" s="172"/>
    </row>
    <row r="49" spans="1:8" ht="15.9" customHeight="1" x14ac:dyDescent="0.25">
      <c r="A49" s="279">
        <v>31</v>
      </c>
      <c r="B49" s="286"/>
      <c r="C49" s="11">
        <v>0</v>
      </c>
      <c r="D49" s="5"/>
      <c r="E49" s="279"/>
      <c r="F49" s="172"/>
      <c r="G49" s="172"/>
    </row>
    <row r="50" spans="1:8" ht="15.9" customHeight="1" x14ac:dyDescent="0.25">
      <c r="A50" s="279"/>
      <c r="D50" s="5"/>
      <c r="E50" s="279"/>
      <c r="F50" s="172"/>
      <c r="G50" s="172"/>
    </row>
    <row r="51" spans="1:8" ht="15.9" customHeight="1" x14ac:dyDescent="0.25">
      <c r="A51" s="279"/>
      <c r="B51" s="285" t="s">
        <v>13</v>
      </c>
      <c r="C51" s="9">
        <f>SUM($C$43:$C$49)</f>
        <v>5463591</v>
      </c>
      <c r="D51" s="5"/>
      <c r="E51" s="279"/>
      <c r="F51" s="172"/>
      <c r="G51" s="172"/>
    </row>
    <row r="52" spans="1:8" ht="15.9" customHeight="1" x14ac:dyDescent="0.25">
      <c r="D52" s="5"/>
      <c r="E52" s="279"/>
      <c r="F52" s="172"/>
      <c r="G52" s="172"/>
    </row>
    <row r="53" spans="1:8" ht="15.9" customHeight="1" x14ac:dyDescent="0.25">
      <c r="A53" s="278" t="s">
        <v>14</v>
      </c>
      <c r="B53" s="172" t="s">
        <v>94</v>
      </c>
      <c r="C53" s="4">
        <f>SUM(1,(0.8*J2),(0.2*J4),J6)</f>
        <v>1.0238749307291153</v>
      </c>
      <c r="D53" s="5"/>
      <c r="E53" s="279"/>
      <c r="F53" s="285"/>
      <c r="G53" s="9"/>
    </row>
    <row r="54" spans="1:8" ht="15.9" customHeight="1" x14ac:dyDescent="0.25">
      <c r="A54" s="279">
        <v>32</v>
      </c>
      <c r="B54" s="286"/>
      <c r="C54" s="11">
        <v>0</v>
      </c>
      <c r="D54" s="5"/>
      <c r="E54" s="279"/>
      <c r="F54" s="285"/>
      <c r="G54" s="5"/>
    </row>
    <row r="55" spans="1:8" ht="15.9" customHeight="1" x14ac:dyDescent="0.25">
      <c r="A55" s="279">
        <v>33</v>
      </c>
      <c r="B55" s="285" t="s">
        <v>527</v>
      </c>
      <c r="C55" s="9">
        <f>SUM(C67,-C7,-C22,-C32,-C40,-C51,-C49,-C54,-C64,-C80)</f>
        <v>37397279.841365501</v>
      </c>
      <c r="D55" s="5"/>
      <c r="E55" s="278"/>
      <c r="F55" s="172"/>
      <c r="G55" s="172"/>
    </row>
    <row r="56" spans="1:8" ht="15.9" customHeight="1" x14ac:dyDescent="0.25">
      <c r="A56" s="279"/>
      <c r="D56" s="5"/>
      <c r="E56" s="279"/>
      <c r="F56" s="285"/>
      <c r="G56" s="172"/>
    </row>
    <row r="57" spans="1:8" ht="15.9" customHeight="1" x14ac:dyDescent="0.25">
      <c r="A57" s="279"/>
      <c r="B57" s="285" t="s">
        <v>16</v>
      </c>
      <c r="C57" s="9">
        <f>SUM(C54:C56)</f>
        <v>37397279.841365501</v>
      </c>
      <c r="D57" s="5"/>
      <c r="E57" s="279"/>
      <c r="F57" s="172"/>
      <c r="G57" s="172"/>
    </row>
    <row r="58" spans="1:8" ht="15.9" customHeight="1" x14ac:dyDescent="0.25">
      <c r="A58" s="279"/>
      <c r="D58" s="5"/>
      <c r="E58" s="279"/>
      <c r="F58" s="172"/>
      <c r="G58" s="172"/>
    </row>
    <row r="59" spans="1:8" ht="15.9" customHeight="1" x14ac:dyDescent="0.25">
      <c r="A59" s="278" t="s">
        <v>15</v>
      </c>
      <c r="B59" s="172" t="s">
        <v>80</v>
      </c>
      <c r="C59" s="10">
        <f>SUM(1,J2,J3,J9)</f>
        <v>1.0749055983205038</v>
      </c>
      <c r="D59" s="5"/>
      <c r="E59" s="279"/>
      <c r="F59" s="172"/>
      <c r="G59" s="172"/>
    </row>
    <row r="60" spans="1:8" ht="15.9" customHeight="1" x14ac:dyDescent="0.25">
      <c r="A60" s="279">
        <v>34</v>
      </c>
      <c r="B60" s="285" t="s">
        <v>613</v>
      </c>
      <c r="C60" s="20">
        <f>VLOOKUP(Macrogegevens!$C$2,' Data belastingen 2019'!$B$2:$O$357,4,0)*1000</f>
        <v>9878000</v>
      </c>
      <c r="D60" s="5"/>
      <c r="E60" s="279"/>
      <c r="F60" s="172"/>
      <c r="G60" s="172"/>
      <c r="H60" s="3">
        <f>IF(C57&lt;0,-C57,C57)</f>
        <v>37397279.841365501</v>
      </c>
    </row>
    <row r="61" spans="1:8" ht="15.9" customHeight="1" x14ac:dyDescent="0.25">
      <c r="A61" s="279">
        <v>35</v>
      </c>
      <c r="B61" s="287" t="s">
        <v>97</v>
      </c>
      <c r="C61" s="20">
        <f>VLOOKUP(Macrogegevens!$C$2,' Data belastingen 2019'!$B$2:$O$357,5,0)*1000</f>
        <v>2657000</v>
      </c>
      <c r="D61" s="5"/>
      <c r="E61" s="279"/>
      <c r="F61" s="172"/>
      <c r="G61" s="172"/>
    </row>
    <row r="62" spans="1:8" ht="15.9" customHeight="1" x14ac:dyDescent="0.25">
      <c r="A62" s="13">
        <v>36</v>
      </c>
      <c r="B62" s="286"/>
      <c r="C62" s="11">
        <v>0</v>
      </c>
      <c r="E62" s="279"/>
      <c r="F62" s="172"/>
      <c r="G62" s="172"/>
    </row>
    <row r="63" spans="1:8" ht="15.9" customHeight="1" x14ac:dyDescent="0.4">
      <c r="A63" s="283"/>
      <c r="E63" s="278"/>
      <c r="F63" s="285"/>
      <c r="G63" s="25"/>
    </row>
    <row r="64" spans="1:8" ht="15.9" customHeight="1" x14ac:dyDescent="0.25">
      <c r="A64" s="283"/>
      <c r="B64" s="285" t="s">
        <v>17</v>
      </c>
      <c r="C64" s="9">
        <f>SUM(C60:C62)</f>
        <v>12535000</v>
      </c>
      <c r="E64" s="279"/>
      <c r="F64" s="285"/>
      <c r="G64" s="9"/>
    </row>
    <row r="65" spans="1:8" ht="15.9" customHeight="1" x14ac:dyDescent="0.25">
      <c r="A65" s="283"/>
      <c r="B65" s="285"/>
      <c r="C65" s="9"/>
      <c r="E65" s="279"/>
      <c r="F65" s="285"/>
      <c r="G65" s="5"/>
    </row>
    <row r="66" spans="1:8" ht="15.9" customHeight="1" x14ac:dyDescent="0.25">
      <c r="A66" s="172" t="s">
        <v>19</v>
      </c>
      <c r="C66" s="39">
        <f>SUM((C2*C7),(C9*C22),(C24*C32),(C34*C40),(C42*C51),(C53*H60),(C59*C64))/SUM(C7,C22,C32,C40,C51,H60,C64)</f>
        <v>1.0321771517925418</v>
      </c>
      <c r="D66" s="296"/>
      <c r="E66" s="172" t="s">
        <v>584</v>
      </c>
      <c r="F66" s="285"/>
      <c r="G66" s="39">
        <f>SUM(($G$2*$G$8),($G$10*$G$15),($G$17*$G$24),($G$32*$H$41),($G$26*$G$30))/SUM($G$8,$G$15,$G$24,$H$41,$G$30)</f>
        <v>1.0285854328479369</v>
      </c>
    </row>
    <row r="67" spans="1:8" ht="15.9" customHeight="1" x14ac:dyDescent="0.25">
      <c r="A67" s="172" t="s">
        <v>585</v>
      </c>
      <c r="C67" s="9">
        <f>SUM(C74,-C70,-C71,-C72,-C73)</f>
        <v>214459218.264</v>
      </c>
      <c r="D67" s="296"/>
      <c r="E67" s="172" t="s">
        <v>589</v>
      </c>
      <c r="F67" s="285"/>
      <c r="G67" s="305">
        <f>SUM(G74,-G70,-G71,-G72,-G73)</f>
        <v>206889384.62155348</v>
      </c>
    </row>
    <row r="68" spans="1:8" ht="15.9" customHeight="1" x14ac:dyDescent="0.25">
      <c r="A68" s="278"/>
      <c r="B68" s="172"/>
      <c r="C68" s="4"/>
      <c r="E68" s="279"/>
      <c r="F68" s="285"/>
      <c r="G68" s="5"/>
    </row>
    <row r="69" spans="1:8" ht="15.9" customHeight="1" x14ac:dyDescent="0.25">
      <c r="A69" s="279"/>
      <c r="E69" s="279"/>
      <c r="F69" s="285"/>
      <c r="G69" s="5"/>
    </row>
    <row r="70" spans="1:8" ht="15.9" customHeight="1" x14ac:dyDescent="0.25">
      <c r="A70" s="297" t="s">
        <v>586</v>
      </c>
      <c r="B70" s="295"/>
      <c r="C70" s="179">
        <f>'Investeringen &amp; financiering'!$T$79</f>
        <v>1477781.736</v>
      </c>
      <c r="E70" s="297" t="s">
        <v>590</v>
      </c>
      <c r="F70" s="304"/>
      <c r="G70" s="181">
        <f>SUM(-'Investeringen &amp; financiering'!$S$6,-'Investeringen &amp; financiering'!$S$79,-$H$70,$H$73)</f>
        <v>2172615.3784465068</v>
      </c>
      <c r="H70" s="28">
        <f>$J$7*0.5*SUM(Balansprognose!$G$35,-Balansprognose!$G$36,-$C$70,-$C$71,-$C$72,$G$71,$G$72,-'Investeringen &amp; financiering'!$S$6,-'Investeringen &amp; financiering'!$S$79)</f>
        <v>22777.628815125565</v>
      </c>
    </row>
    <row r="71" spans="1:8" ht="15.9" customHeight="1" x14ac:dyDescent="0.25">
      <c r="A71" s="298" t="s">
        <v>588</v>
      </c>
      <c r="C71" s="180">
        <f>'Investeringen &amp; financiering'!$E$7</f>
        <v>10305000</v>
      </c>
      <c r="E71" s="298" t="s">
        <v>591</v>
      </c>
      <c r="F71" s="285"/>
      <c r="G71" s="182">
        <f>Balansprognose!$C$45</f>
        <v>6680000</v>
      </c>
      <c r="H71" s="28">
        <f>J7*0.5*SUM($C$67,-$G$67)</f>
        <v>22709.500927339555</v>
      </c>
    </row>
    <row r="72" spans="1:8" ht="15.9" customHeight="1" x14ac:dyDescent="0.25">
      <c r="A72" s="298" t="s">
        <v>587</v>
      </c>
      <c r="B72" s="285"/>
      <c r="C72" s="180">
        <f>SUM(Balansprognose!$C$39,Balansprognose!$C$40)</f>
        <v>0</v>
      </c>
      <c r="E72" s="298" t="s">
        <v>592</v>
      </c>
      <c r="F72" s="285"/>
      <c r="G72" s="182">
        <f>SUM(Balansprognose!$C$35,Balansprognose!$C$36)</f>
        <v>10048000</v>
      </c>
      <c r="H72" s="28">
        <f>SUM(H70,-H71)</f>
        <v>68.127887786009524</v>
      </c>
    </row>
    <row r="73" spans="1:8" ht="15.9" customHeight="1" x14ac:dyDescent="0.25">
      <c r="A73" s="299" t="s">
        <v>595</v>
      </c>
      <c r="B73" s="303"/>
      <c r="C73" s="183">
        <f>Balansprognose!$C$44</f>
        <v>0</v>
      </c>
      <c r="E73" s="299" t="s">
        <v>593</v>
      </c>
      <c r="F73" s="303"/>
      <c r="G73" s="183">
        <f>Balansprognose!$G$37</f>
        <v>0</v>
      </c>
      <c r="H73" s="170">
        <f>SUM($J$7*0.5*$H$70,-0.5*$J$7*$G$73)</f>
        <v>68.332886445376701</v>
      </c>
    </row>
    <row r="74" spans="1:8" ht="15.9" customHeight="1" x14ac:dyDescent="0.25">
      <c r="A74" s="300" t="s">
        <v>594</v>
      </c>
      <c r="B74" s="285"/>
      <c r="C74" s="12">
        <f>Balansprognose!$G$35</f>
        <v>226242000</v>
      </c>
      <c r="E74" s="300" t="s">
        <v>890</v>
      </c>
      <c r="F74" s="285"/>
      <c r="G74" s="12">
        <f>Balansprognose!$G$36</f>
        <v>225790000</v>
      </c>
      <c r="H74" s="184">
        <f>SUM($H$72,-$H$73)/$C$74</f>
        <v>-9.0610346163478725E-10</v>
      </c>
    </row>
    <row r="75" spans="1:8" ht="15.9" customHeight="1" x14ac:dyDescent="0.25">
      <c r="A75" s="278"/>
      <c r="E75" s="279"/>
      <c r="F75" s="285"/>
      <c r="G75" s="5"/>
    </row>
    <row r="76" spans="1:8" x14ac:dyDescent="0.25">
      <c r="A76" s="279"/>
    </row>
    <row r="77" spans="1:8" x14ac:dyDescent="0.25">
      <c r="A77" s="279"/>
    </row>
    <row r="78" spans="1:8" x14ac:dyDescent="0.25">
      <c r="A78" s="279"/>
    </row>
    <row r="79" spans="1:8" x14ac:dyDescent="0.25">
      <c r="A79" s="279"/>
      <c r="B79" s="285"/>
      <c r="C79" s="9"/>
    </row>
    <row r="80" spans="1:8" x14ac:dyDescent="0.25">
      <c r="A80" s="279"/>
      <c r="B80" s="285"/>
      <c r="C80" s="9"/>
    </row>
    <row r="81" spans="1:9" x14ac:dyDescent="0.25">
      <c r="A81" s="279"/>
      <c r="B81" s="291"/>
      <c r="C81" s="9"/>
    </row>
    <row r="82" spans="1:9" x14ac:dyDescent="0.25">
      <c r="B82" s="285"/>
    </row>
    <row r="83" spans="1:9" x14ac:dyDescent="0.25">
      <c r="B83" s="285"/>
    </row>
    <row r="84" spans="1:9" x14ac:dyDescent="0.25">
      <c r="A84" s="278"/>
      <c r="B84" s="285"/>
      <c r="C84" s="9"/>
    </row>
    <row r="85" spans="1:9" x14ac:dyDescent="0.25">
      <c r="A85" s="306"/>
      <c r="B85" s="306"/>
      <c r="C85" s="308"/>
      <c r="E85" s="306"/>
      <c r="F85" s="292"/>
      <c r="G85" s="307"/>
      <c r="I85" s="21"/>
    </row>
    <row r="86" spans="1:9" x14ac:dyDescent="0.25">
      <c r="A86" s="306"/>
      <c r="B86" s="292"/>
      <c r="C86" s="308"/>
      <c r="E86" s="306"/>
      <c r="F86" s="292"/>
      <c r="G86" s="307"/>
    </row>
    <row r="87" spans="1:9" x14ac:dyDescent="0.25">
      <c r="A87" s="306"/>
      <c r="B87" s="292"/>
      <c r="C87" s="308"/>
      <c r="E87" s="306"/>
      <c r="F87" s="292"/>
      <c r="G87" s="307"/>
      <c r="I87" s="176"/>
    </row>
    <row r="88" spans="1:9" x14ac:dyDescent="0.25">
      <c r="A88" s="306"/>
      <c r="B88" s="292"/>
      <c r="C88" s="308"/>
      <c r="E88" s="306"/>
      <c r="F88" s="292"/>
      <c r="G88" s="308"/>
    </row>
    <row r="89" spans="1:9" x14ac:dyDescent="0.25">
      <c r="A89" s="300"/>
      <c r="C89" s="12"/>
      <c r="E89" s="300"/>
      <c r="G89" s="12"/>
      <c r="H89" s="184"/>
    </row>
    <row r="90" spans="1:9" x14ac:dyDescent="0.25">
      <c r="A90" s="278"/>
      <c r="C90" s="103"/>
    </row>
    <row r="91" spans="1:9" x14ac:dyDescent="0.25">
      <c r="C91" s="8"/>
    </row>
    <row r="92" spans="1:9" x14ac:dyDescent="0.25">
      <c r="A92" s="278"/>
      <c r="C92" s="12"/>
    </row>
    <row r="93" spans="1:9" x14ac:dyDescent="0.25">
      <c r="A93" s="284"/>
      <c r="C93" s="12"/>
    </row>
  </sheetData>
  <sheetProtection algorithmName="SHA-512" hashValue="OcudCBiwegDYJK5Xc3t1umgjz3SEUXKcoG52EcJrlji7qeTQDGQXaq7e8IwX6IwmByYARBDbu/2fGWCZPMdUvQ==" saltValue="T/j36lcWrvO0SUQnlsX+Ig==" spinCount="100000" sheet="1" scenarios="1" selectLockedCells="1"/>
  <customSheetViews>
    <customSheetView guid="{B41B624D-DA5C-4FA3-85F1-D5B8087B6A65}" topLeftCell="C1">
      <selection activeCell="J15" sqref="J15"/>
      <pageMargins left="0.7" right="0.7" top="0.75" bottom="0.75" header="0.3" footer="0.3"/>
      <pageSetup paperSize="9" orientation="portrait" r:id="rId1"/>
    </customSheetView>
  </customSheetViews>
  <mergeCells count="1">
    <mergeCell ref="A1:B1"/>
  </mergeCells>
  <dataValidations count="1">
    <dataValidation allowBlank="1" showErrorMessage="1" sqref="J12 M13 Q31" xr:uid="{00000000-0002-0000-0300-000000000000}"/>
  </dataValidation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418"/>
  <sheetViews>
    <sheetView workbookViewId="0">
      <pane xSplit="1" ySplit="1" topLeftCell="B263" activePane="bottomRight" state="frozen"/>
      <selection pane="topRight" activeCell="B1" sqref="B1"/>
      <selection pane="bottomLeft" activeCell="A2" sqref="A2"/>
      <selection pane="bottomRight" activeCell="AD263" sqref="AD263"/>
    </sheetView>
  </sheetViews>
  <sheetFormatPr defaultRowHeight="13.2" x14ac:dyDescent="0.25"/>
  <cols>
    <col min="1" max="1" width="29.88671875" bestFit="1" customWidth="1"/>
    <col min="2" max="2" width="23.33203125" bestFit="1" customWidth="1"/>
    <col min="3" max="3" width="21.109375" bestFit="1" customWidth="1"/>
    <col min="4" max="4" width="22.109375" bestFit="1" customWidth="1"/>
    <col min="5" max="5" width="26.5546875" bestFit="1" customWidth="1"/>
    <col min="6" max="6" width="16.88671875" bestFit="1" customWidth="1"/>
    <col min="7" max="7" width="24.109375" bestFit="1" customWidth="1"/>
    <col min="8" max="8" width="18.88671875" bestFit="1" customWidth="1"/>
    <col min="9" max="9" width="18" bestFit="1" customWidth="1"/>
    <col min="10" max="10" width="21.88671875" bestFit="1" customWidth="1"/>
    <col min="11" max="11" width="24.5546875" bestFit="1" customWidth="1"/>
    <col min="12" max="12" width="18.33203125" bestFit="1" customWidth="1"/>
    <col min="13" max="13" width="25.109375" bestFit="1" customWidth="1"/>
    <col min="14" max="14" width="19.88671875" bestFit="1" customWidth="1"/>
    <col min="15" max="15" width="17.5546875" bestFit="1" customWidth="1"/>
    <col min="16" max="16" width="16" bestFit="1" customWidth="1"/>
    <col min="17" max="17" width="22.44140625" bestFit="1" customWidth="1"/>
    <col min="18" max="18" width="28.6640625" bestFit="1" customWidth="1"/>
    <col min="19" max="19" width="40.109375" bestFit="1" customWidth="1"/>
    <col min="20" max="20" width="13.6640625" bestFit="1" customWidth="1"/>
    <col min="21" max="21" width="21.44140625" bestFit="1" customWidth="1"/>
    <col min="22" max="22" width="13.6640625" bestFit="1" customWidth="1"/>
    <col min="23" max="23" width="30.88671875" bestFit="1" customWidth="1"/>
    <col min="24" max="24" width="17" bestFit="1" customWidth="1"/>
    <col min="25" max="25" width="18.6640625" bestFit="1" customWidth="1"/>
    <col min="26" max="27" width="21.88671875" bestFit="1" customWidth="1"/>
    <col min="28" max="28" width="30.33203125" bestFit="1" customWidth="1"/>
    <col min="29" max="29" width="26.44140625" bestFit="1" customWidth="1"/>
    <col min="30" max="30" width="29.88671875" bestFit="1" customWidth="1"/>
    <col min="31" max="31" width="13.6640625" bestFit="1" customWidth="1"/>
    <col min="32" max="32" width="19" bestFit="1" customWidth="1"/>
    <col min="33" max="33" width="14.109375" bestFit="1" customWidth="1"/>
    <col min="34" max="34" width="15.33203125" bestFit="1" customWidth="1"/>
    <col min="35" max="35" width="26.88671875" bestFit="1" customWidth="1"/>
    <col min="36" max="36" width="11" bestFit="1" customWidth="1"/>
    <col min="37" max="37" width="28.33203125" bestFit="1" customWidth="1"/>
    <col min="38" max="38" width="22.88671875" bestFit="1" customWidth="1"/>
    <col min="39" max="39" width="18.33203125" bestFit="1" customWidth="1"/>
    <col min="40" max="40" width="26.33203125" style="232" bestFit="1" customWidth="1"/>
    <col min="41" max="41" width="26.109375" style="232" bestFit="1" customWidth="1"/>
    <col min="43" max="43" width="28.6640625" bestFit="1" customWidth="1"/>
    <col min="46" max="46" width="29.88671875" bestFit="1" customWidth="1"/>
    <col min="47" max="47" width="24.6640625" bestFit="1" customWidth="1"/>
    <col min="48" max="48" width="28.44140625" bestFit="1" customWidth="1"/>
    <col min="49" max="49" width="45.44140625" bestFit="1" customWidth="1"/>
    <col min="50" max="50" width="29.33203125" bestFit="1" customWidth="1"/>
    <col min="51" max="51" width="33.88671875" bestFit="1" customWidth="1"/>
    <col min="52" max="52" width="23.6640625" bestFit="1" customWidth="1"/>
    <col min="53" max="53" width="30.5546875" bestFit="1" customWidth="1"/>
  </cols>
  <sheetData>
    <row r="1" spans="1:53" x14ac:dyDescent="0.25">
      <c r="A1" t="s">
        <v>703</v>
      </c>
      <c r="B1" t="s">
        <v>704</v>
      </c>
      <c r="C1" t="s">
        <v>705</v>
      </c>
      <c r="D1" t="s">
        <v>706</v>
      </c>
      <c r="E1" t="s">
        <v>805</v>
      </c>
      <c r="F1" t="s">
        <v>806</v>
      </c>
      <c r="G1" t="s">
        <v>707</v>
      </c>
      <c r="H1" t="s">
        <v>807</v>
      </c>
      <c r="I1" t="s">
        <v>808</v>
      </c>
      <c r="J1" t="s">
        <v>809</v>
      </c>
      <c r="K1" t="s">
        <v>810</v>
      </c>
      <c r="L1" t="s">
        <v>811</v>
      </c>
      <c r="M1" t="s">
        <v>812</v>
      </c>
      <c r="N1" t="s">
        <v>813</v>
      </c>
      <c r="O1" t="s">
        <v>814</v>
      </c>
      <c r="P1" t="s">
        <v>815</v>
      </c>
      <c r="Q1" t="s">
        <v>816</v>
      </c>
      <c r="R1" t="s">
        <v>817</v>
      </c>
      <c r="S1" t="s">
        <v>818</v>
      </c>
      <c r="T1" t="s">
        <v>819</v>
      </c>
      <c r="U1" t="s">
        <v>820</v>
      </c>
      <c r="V1" t="s">
        <v>821</v>
      </c>
      <c r="W1" t="s">
        <v>822</v>
      </c>
      <c r="X1" t="s">
        <v>678</v>
      </c>
      <c r="Y1" t="s">
        <v>823</v>
      </c>
      <c r="Z1" t="s">
        <v>824</v>
      </c>
      <c r="AA1" t="s">
        <v>825</v>
      </c>
      <c r="AB1" t="s">
        <v>826</v>
      </c>
      <c r="AC1" t="s">
        <v>827</v>
      </c>
      <c r="AD1" t="s">
        <v>703</v>
      </c>
      <c r="AE1" t="s">
        <v>828</v>
      </c>
      <c r="AF1" t="s">
        <v>829</v>
      </c>
      <c r="AG1" t="s">
        <v>830</v>
      </c>
      <c r="AH1" t="s">
        <v>831</v>
      </c>
      <c r="AI1" t="s">
        <v>832</v>
      </c>
      <c r="AJ1" t="s">
        <v>833</v>
      </c>
      <c r="AK1" t="s">
        <v>834</v>
      </c>
      <c r="AL1" t="s">
        <v>835</v>
      </c>
      <c r="AM1" t="s">
        <v>836</v>
      </c>
      <c r="AN1" s="232" t="s">
        <v>837</v>
      </c>
      <c r="AO1" s="232" t="s">
        <v>838</v>
      </c>
      <c r="AT1" t="s">
        <v>612</v>
      </c>
      <c r="AU1" t="s">
        <v>663</v>
      </c>
      <c r="AV1" t="s">
        <v>664</v>
      </c>
      <c r="AW1" t="s">
        <v>699</v>
      </c>
      <c r="AX1" t="s">
        <v>665</v>
      </c>
      <c r="AY1" t="s">
        <v>666</v>
      </c>
      <c r="AZ1" t="s">
        <v>742</v>
      </c>
      <c r="BA1" t="s">
        <v>743</v>
      </c>
    </row>
    <row r="2" spans="1:53" x14ac:dyDescent="0.25">
      <c r="A2" t="s">
        <v>129</v>
      </c>
      <c r="B2">
        <v>11</v>
      </c>
      <c r="C2">
        <v>34092</v>
      </c>
      <c r="D2">
        <v>137</v>
      </c>
      <c r="E2">
        <v>505</v>
      </c>
      <c r="F2">
        <v>2103</v>
      </c>
      <c r="G2">
        <v>0</v>
      </c>
      <c r="H2">
        <v>10359</v>
      </c>
      <c r="I2">
        <v>0</v>
      </c>
      <c r="J2">
        <v>0</v>
      </c>
      <c r="K2">
        <v>568</v>
      </c>
      <c r="L2">
        <v>325</v>
      </c>
      <c r="M2">
        <v>702</v>
      </c>
      <c r="N2">
        <v>4899</v>
      </c>
      <c r="O2">
        <v>35846</v>
      </c>
      <c r="P2">
        <v>5653</v>
      </c>
      <c r="Q2">
        <v>4655</v>
      </c>
      <c r="R2">
        <v>0</v>
      </c>
      <c r="S2">
        <v>1862</v>
      </c>
      <c r="T2">
        <v>3122</v>
      </c>
      <c r="U2">
        <v>2563</v>
      </c>
      <c r="V2">
        <v>-1</v>
      </c>
      <c r="W2">
        <v>53442</v>
      </c>
      <c r="X2">
        <v>22</v>
      </c>
      <c r="Y2">
        <v>25390</v>
      </c>
      <c r="Z2">
        <v>2960193.9311854495</v>
      </c>
      <c r="AA2">
        <v>2537309.0838732426</v>
      </c>
      <c r="AB2">
        <v>38854</v>
      </c>
      <c r="AC2">
        <v>-4751</v>
      </c>
      <c r="AD2" t="s">
        <v>129</v>
      </c>
      <c r="AE2" s="232">
        <f>S2/SUM(O2:U2)</f>
        <v>3.4673469767788311E-2</v>
      </c>
      <c r="AF2" s="232">
        <f>SUM(Q2,R2,S2,T2,U2,-E2,-F2,-G2,-J2,-K2,-L2,-M2,-N2)/W2</f>
        <v>5.8006811122338235E-2</v>
      </c>
      <c r="AG2" s="232">
        <f>SUM(E2,F2)/W2</f>
        <v>4.8800568840986491E-2</v>
      </c>
      <c r="AH2" s="232">
        <f>SUM(H2,I2)/W2</f>
        <v>0.19383630852138767</v>
      </c>
      <c r="AI2" s="232">
        <f>SUM(AF2,0.12*AG2,-0.7*AH2)</f>
        <v>-7.1822536581714738E-2</v>
      </c>
      <c r="AJ2" s="232">
        <f>X2/W2</f>
        <v>4.1166124022304552E-4</v>
      </c>
      <c r="AK2" s="232">
        <f>AA2/(1000*W2)</f>
        <v>4.7477809286202662E-2</v>
      </c>
      <c r="AL2" s="232">
        <f>(AC2/4)/W2</f>
        <v>-2.2225029003405561E-2</v>
      </c>
      <c r="AM2" s="232">
        <f>SUM(O2,P2)/SUM(O2,P2,Q2,R2,S2,T2,U2)</f>
        <v>0.77277890542075567</v>
      </c>
      <c r="AN2" s="232">
        <v>4.1300000000000003E-2</v>
      </c>
      <c r="AO2" s="232">
        <f>5*AN2</f>
        <v>0.20650000000000002</v>
      </c>
      <c r="AT2" t="s">
        <v>129</v>
      </c>
      <c r="AU2">
        <v>2986000</v>
      </c>
      <c r="AV2">
        <v>1292999.9999999995</v>
      </c>
      <c r="AW2">
        <v>7239193.9311854485</v>
      </c>
      <c r="AX2">
        <v>2960193.931185449</v>
      </c>
      <c r="AY2">
        <v>2960193.931185449</v>
      </c>
      <c r="AZ2">
        <v>53442000</v>
      </c>
      <c r="BA2">
        <v>5.5390777500569761E-2</v>
      </c>
    </row>
    <row r="3" spans="1:53" x14ac:dyDescent="0.25">
      <c r="A3" t="s">
        <v>287</v>
      </c>
      <c r="B3">
        <v>727</v>
      </c>
      <c r="C3">
        <v>56841</v>
      </c>
      <c r="D3">
        <v>1475</v>
      </c>
      <c r="E3">
        <v>0</v>
      </c>
      <c r="F3">
        <v>3038</v>
      </c>
      <c r="G3">
        <v>0</v>
      </c>
      <c r="H3">
        <v>25252</v>
      </c>
      <c r="I3">
        <v>28</v>
      </c>
      <c r="J3">
        <v>0</v>
      </c>
      <c r="K3">
        <v>2722</v>
      </c>
      <c r="L3">
        <v>573</v>
      </c>
      <c r="M3">
        <v>8520</v>
      </c>
      <c r="N3">
        <v>8013</v>
      </c>
      <c r="O3">
        <v>51195</v>
      </c>
      <c r="P3">
        <v>19796</v>
      </c>
      <c r="Q3">
        <v>25000</v>
      </c>
      <c r="R3">
        <v>38</v>
      </c>
      <c r="S3">
        <v>0</v>
      </c>
      <c r="T3">
        <v>2435</v>
      </c>
      <c r="U3">
        <v>8725</v>
      </c>
      <c r="V3">
        <v>1</v>
      </c>
      <c r="W3">
        <v>77252</v>
      </c>
      <c r="X3">
        <v>4826</v>
      </c>
      <c r="Y3">
        <v>31499</v>
      </c>
      <c r="Z3">
        <v>4122395.6331075057</v>
      </c>
      <c r="AA3">
        <v>3533481.9712350047</v>
      </c>
      <c r="AB3">
        <v>45991</v>
      </c>
      <c r="AC3">
        <v>11577</v>
      </c>
      <c r="AD3" t="s">
        <v>287</v>
      </c>
      <c r="AE3" s="232">
        <f t="shared" ref="AE3:AE66" si="0">S3/SUM(O3:U3)</f>
        <v>0</v>
      </c>
      <c r="AF3" s="232">
        <f t="shared" ref="AF3:AF66" si="1">SUM(Q3,R3,S3,T3,U3,-E3,-F3,-G3,-J3,-K3,-L3,-M3,-N3)/W3</f>
        <v>0.17257805623155387</v>
      </c>
      <c r="AG3" s="232">
        <f t="shared" ref="AG3:AG66" si="2">SUM(E3,F3)/W3</f>
        <v>3.9325842696629212E-2</v>
      </c>
      <c r="AH3" s="232">
        <f t="shared" ref="AH3:AH66" si="3">SUM(H3,I3)/W3</f>
        <v>0.32724071868689486</v>
      </c>
      <c r="AI3" s="232">
        <f t="shared" ref="AI3:AI66" si="4">SUM(AF3,0.12*AG3,-0.7*AH3)</f>
        <v>-5.1771345725677015E-2</v>
      </c>
      <c r="AJ3" s="232">
        <f t="shared" ref="AJ3:AJ66" si="5">X3/W3</f>
        <v>6.2470874540464974E-2</v>
      </c>
      <c r="AK3" s="232">
        <f t="shared" ref="AK3:AK66" si="6">AA3/(1000*W3)</f>
        <v>4.5739682742647503E-2</v>
      </c>
      <c r="AL3" s="232">
        <f t="shared" ref="AL3:AL66" si="7">(AC3/4)/W3</f>
        <v>3.7465049448557969E-2</v>
      </c>
      <c r="AM3" s="232">
        <f t="shared" ref="AM3:AM66" si="8">SUM(O3,P3)/SUM(O3,P3,Q3,R3,S3,T3,U3)</f>
        <v>0.66229743723702994</v>
      </c>
      <c r="AN3" s="232">
        <v>2.6100000000000002E-2</v>
      </c>
      <c r="AO3" s="232">
        <f t="shared" ref="AO3:AO65" si="9">5*AN3</f>
        <v>0.1305</v>
      </c>
      <c r="AT3" t="s">
        <v>402</v>
      </c>
      <c r="AU3">
        <v>1458000</v>
      </c>
      <c r="AV3">
        <v>757999.99999999977</v>
      </c>
      <c r="AW3">
        <v>3729296.036935417</v>
      </c>
      <c r="AX3">
        <v>1513296.0369354172</v>
      </c>
      <c r="AY3">
        <v>1513296.0369354172</v>
      </c>
      <c r="AZ3">
        <v>26528000</v>
      </c>
      <c r="BA3">
        <v>5.7045236615478633E-2</v>
      </c>
    </row>
    <row r="4" spans="1:53" x14ac:dyDescent="0.25">
      <c r="A4" t="s">
        <v>209</v>
      </c>
      <c r="B4">
        <v>206</v>
      </c>
      <c r="C4">
        <v>37413</v>
      </c>
      <c r="D4">
        <v>1454</v>
      </c>
      <c r="E4">
        <v>0</v>
      </c>
      <c r="F4">
        <v>13842</v>
      </c>
      <c r="G4">
        <v>0</v>
      </c>
      <c r="H4">
        <v>2538</v>
      </c>
      <c r="I4">
        <v>245</v>
      </c>
      <c r="J4">
        <v>0</v>
      </c>
      <c r="K4">
        <v>0</v>
      </c>
      <c r="L4">
        <v>49</v>
      </c>
      <c r="M4">
        <v>1496</v>
      </c>
      <c r="N4">
        <v>5203</v>
      </c>
      <c r="O4">
        <v>22668</v>
      </c>
      <c r="P4">
        <v>9907</v>
      </c>
      <c r="Q4">
        <v>22937</v>
      </c>
      <c r="R4">
        <v>2</v>
      </c>
      <c r="S4">
        <v>-1027</v>
      </c>
      <c r="T4">
        <v>3121</v>
      </c>
      <c r="U4">
        <v>4838</v>
      </c>
      <c r="V4">
        <v>1</v>
      </c>
      <c r="W4">
        <v>60240</v>
      </c>
      <c r="X4">
        <v>-2631</v>
      </c>
      <c r="Y4">
        <v>26962</v>
      </c>
      <c r="Z4">
        <v>2694210.6476009777</v>
      </c>
      <c r="AA4">
        <v>2309323.4122294094</v>
      </c>
      <c r="AB4">
        <v>42668</v>
      </c>
      <c r="AC4">
        <v>-5049</v>
      </c>
      <c r="AD4" t="s">
        <v>209</v>
      </c>
      <c r="AE4" s="232">
        <f t="shared" si="0"/>
        <v>-1.6446209525029627E-2</v>
      </c>
      <c r="AF4" s="232">
        <f t="shared" si="1"/>
        <v>0.15406706507304116</v>
      </c>
      <c r="AG4" s="232">
        <f t="shared" si="2"/>
        <v>0.2297808764940239</v>
      </c>
      <c r="AH4" s="232">
        <f t="shared" si="3"/>
        <v>4.6198539176626828E-2</v>
      </c>
      <c r="AI4" s="232">
        <f t="shared" si="4"/>
        <v>0.14930179282868525</v>
      </c>
      <c r="AJ4" s="232">
        <f t="shared" si="5"/>
        <v>-4.3675298804780875E-2</v>
      </c>
      <c r="AK4" s="232">
        <f t="shared" si="6"/>
        <v>3.8335382009120345E-2</v>
      </c>
      <c r="AL4" s="232">
        <f t="shared" si="7"/>
        <v>-2.0953685258964145E-2</v>
      </c>
      <c r="AM4" s="232">
        <f t="shared" si="8"/>
        <v>0.52165070621016563</v>
      </c>
      <c r="AN4" s="232">
        <v>5.79E-2</v>
      </c>
      <c r="AO4" s="232">
        <f t="shared" si="9"/>
        <v>0.28949999999999998</v>
      </c>
      <c r="AT4" t="s">
        <v>287</v>
      </c>
      <c r="AU4">
        <v>3675000</v>
      </c>
      <c r="AV4">
        <v>3800000.0000000005</v>
      </c>
      <c r="AW4">
        <v>11597395.633107506</v>
      </c>
      <c r="AX4">
        <v>4122395.6331075053</v>
      </c>
      <c r="AY4">
        <v>4122395.6331075053</v>
      </c>
      <c r="AZ4">
        <v>77252000</v>
      </c>
      <c r="BA4">
        <v>5.3362963199755413E-2</v>
      </c>
    </row>
    <row r="5" spans="1:53" x14ac:dyDescent="0.25">
      <c r="A5" t="s">
        <v>165</v>
      </c>
      <c r="B5">
        <v>3718</v>
      </c>
      <c r="C5">
        <v>62416</v>
      </c>
      <c r="D5">
        <v>336</v>
      </c>
      <c r="E5">
        <v>5250</v>
      </c>
      <c r="F5">
        <v>1484</v>
      </c>
      <c r="G5">
        <v>0</v>
      </c>
      <c r="H5">
        <v>2215</v>
      </c>
      <c r="I5">
        <v>0</v>
      </c>
      <c r="J5">
        <v>0</v>
      </c>
      <c r="K5">
        <v>74</v>
      </c>
      <c r="L5">
        <v>237</v>
      </c>
      <c r="M5">
        <v>11503</v>
      </c>
      <c r="N5">
        <v>365</v>
      </c>
      <c r="O5">
        <v>20986</v>
      </c>
      <c r="P5">
        <v>9745</v>
      </c>
      <c r="Q5">
        <v>39825</v>
      </c>
      <c r="R5">
        <v>1</v>
      </c>
      <c r="S5">
        <v>2066</v>
      </c>
      <c r="T5">
        <v>5770</v>
      </c>
      <c r="U5">
        <v>9205</v>
      </c>
      <c r="V5">
        <v>1</v>
      </c>
      <c r="W5">
        <v>80565</v>
      </c>
      <c r="X5">
        <v>1485</v>
      </c>
      <c r="Y5">
        <v>27935</v>
      </c>
      <c r="Z5">
        <v>515144.9248208655</v>
      </c>
      <c r="AA5">
        <v>441552.79270359903</v>
      </c>
      <c r="AB5">
        <v>65409</v>
      </c>
      <c r="AC5">
        <v>725</v>
      </c>
      <c r="AD5" t="s">
        <v>165</v>
      </c>
      <c r="AE5" s="232">
        <f t="shared" si="0"/>
        <v>2.3585013356469325E-2</v>
      </c>
      <c r="AF5" s="232">
        <f t="shared" si="1"/>
        <v>0.47109787128405634</v>
      </c>
      <c r="AG5" s="232">
        <f t="shared" si="2"/>
        <v>8.358468317507603E-2</v>
      </c>
      <c r="AH5" s="232">
        <f t="shared" si="3"/>
        <v>2.7493328368398188E-2</v>
      </c>
      <c r="AI5" s="232">
        <f t="shared" si="4"/>
        <v>0.46188270340718673</v>
      </c>
      <c r="AJ5" s="232">
        <f t="shared" si="5"/>
        <v>1.8432321727797431E-2</v>
      </c>
      <c r="AK5" s="232">
        <f t="shared" si="6"/>
        <v>5.4807024477576995E-3</v>
      </c>
      <c r="AL5" s="232">
        <f t="shared" si="7"/>
        <v>2.2497362378203936E-3</v>
      </c>
      <c r="AM5" s="232">
        <f t="shared" si="8"/>
        <v>0.35081851183816981</v>
      </c>
      <c r="AN5" s="232">
        <v>4.5600000000000002E-2</v>
      </c>
      <c r="AO5" s="232">
        <f t="shared" si="9"/>
        <v>0.22800000000000001</v>
      </c>
      <c r="AT5" t="s">
        <v>209</v>
      </c>
      <c r="AU5">
        <v>2938000</v>
      </c>
      <c r="AV5">
        <v>1529000</v>
      </c>
      <c r="AW5">
        <v>7161210.6476009786</v>
      </c>
      <c r="AX5">
        <v>2694210.6476009786</v>
      </c>
      <c r="AY5">
        <v>2694210.6476009786</v>
      </c>
      <c r="AZ5">
        <v>60240000</v>
      </c>
      <c r="BA5">
        <v>4.4724612343973749E-2</v>
      </c>
    </row>
    <row r="6" spans="1:53" x14ac:dyDescent="0.25">
      <c r="A6" t="s">
        <v>332</v>
      </c>
      <c r="B6">
        <v>834</v>
      </c>
      <c r="C6">
        <v>49053</v>
      </c>
      <c r="D6">
        <v>604</v>
      </c>
      <c r="E6">
        <v>1304</v>
      </c>
      <c r="F6">
        <v>97</v>
      </c>
      <c r="G6">
        <v>0</v>
      </c>
      <c r="H6">
        <v>6332</v>
      </c>
      <c r="I6">
        <v>0</v>
      </c>
      <c r="J6">
        <v>0</v>
      </c>
      <c r="K6">
        <v>0</v>
      </c>
      <c r="L6">
        <v>-3220</v>
      </c>
      <c r="M6">
        <v>3655</v>
      </c>
      <c r="N6">
        <v>2751</v>
      </c>
      <c r="O6">
        <v>17852</v>
      </c>
      <c r="P6">
        <v>721</v>
      </c>
      <c r="Q6">
        <v>37753</v>
      </c>
      <c r="R6">
        <v>18</v>
      </c>
      <c r="S6">
        <v>0</v>
      </c>
      <c r="T6">
        <v>1804</v>
      </c>
      <c r="U6">
        <v>3262</v>
      </c>
      <c r="V6">
        <v>0</v>
      </c>
      <c r="W6">
        <v>48098</v>
      </c>
      <c r="X6">
        <v>2084</v>
      </c>
      <c r="Y6">
        <v>20014</v>
      </c>
      <c r="Z6">
        <v>1158001.0678599589</v>
      </c>
      <c r="AA6">
        <v>992572.34387996478</v>
      </c>
      <c r="AB6">
        <v>37499</v>
      </c>
      <c r="AC6">
        <v>12388</v>
      </c>
      <c r="AD6" t="s">
        <v>332</v>
      </c>
      <c r="AE6" s="232">
        <f t="shared" si="0"/>
        <v>0</v>
      </c>
      <c r="AF6" s="232">
        <f t="shared" si="1"/>
        <v>0.79525136180298561</v>
      </c>
      <c r="AG6" s="232">
        <f t="shared" si="2"/>
        <v>2.9128030271528962E-2</v>
      </c>
      <c r="AH6" s="232">
        <f t="shared" si="3"/>
        <v>0.13164788556696744</v>
      </c>
      <c r="AI6" s="232">
        <f t="shared" si="4"/>
        <v>0.70659320553869187</v>
      </c>
      <c r="AJ6" s="232">
        <f t="shared" si="5"/>
        <v>4.3328204914965279E-2</v>
      </c>
      <c r="AK6" s="232">
        <f t="shared" si="6"/>
        <v>2.0636457729634596E-2</v>
      </c>
      <c r="AL6" s="232">
        <f t="shared" si="7"/>
        <v>6.4389371699446959E-2</v>
      </c>
      <c r="AM6" s="232">
        <f t="shared" si="8"/>
        <v>0.30244259892525649</v>
      </c>
      <c r="AN6" s="232">
        <v>2.6499999999999999E-2</v>
      </c>
      <c r="AO6" s="232">
        <f t="shared" si="9"/>
        <v>0.13250000000000001</v>
      </c>
      <c r="AT6" t="s">
        <v>165</v>
      </c>
      <c r="AU6">
        <v>3438000</v>
      </c>
      <c r="AV6">
        <v>2094000</v>
      </c>
      <c r="AW6">
        <v>6047144.9248208646</v>
      </c>
      <c r="AX6">
        <v>515144.92482086457</v>
      </c>
      <c r="AY6">
        <v>515144.92482086457</v>
      </c>
      <c r="AZ6">
        <v>80565000</v>
      </c>
      <c r="BA6">
        <v>6.3941528557173036E-3</v>
      </c>
    </row>
    <row r="7" spans="1:53" x14ac:dyDescent="0.25">
      <c r="A7" t="s">
        <v>333</v>
      </c>
      <c r="B7">
        <v>187</v>
      </c>
      <c r="C7">
        <v>52029</v>
      </c>
      <c r="D7">
        <v>1761</v>
      </c>
      <c r="E7">
        <v>0</v>
      </c>
      <c r="F7">
        <v>1809</v>
      </c>
      <c r="G7">
        <v>0</v>
      </c>
      <c r="H7">
        <v>15274</v>
      </c>
      <c r="I7">
        <v>0</v>
      </c>
      <c r="J7">
        <v>0</v>
      </c>
      <c r="K7">
        <v>2291</v>
      </c>
      <c r="L7">
        <v>407</v>
      </c>
      <c r="M7">
        <v>1721</v>
      </c>
      <c r="N7">
        <v>4794</v>
      </c>
      <c r="O7">
        <v>18433</v>
      </c>
      <c r="P7">
        <v>9694</v>
      </c>
      <c r="Q7">
        <v>38345</v>
      </c>
      <c r="R7">
        <v>10</v>
      </c>
      <c r="S7">
        <v>6000</v>
      </c>
      <c r="T7">
        <v>7655</v>
      </c>
      <c r="U7">
        <v>136</v>
      </c>
      <c r="V7">
        <v>-3</v>
      </c>
      <c r="W7">
        <v>50780</v>
      </c>
      <c r="X7">
        <v>-754</v>
      </c>
      <c r="Y7">
        <v>25218</v>
      </c>
      <c r="Z7">
        <v>1217002.1346662743</v>
      </c>
      <c r="AA7">
        <v>1043144.6868568065</v>
      </c>
      <c r="AB7">
        <v>62036</v>
      </c>
      <c r="AC7">
        <v>-9820</v>
      </c>
      <c r="AD7" t="s">
        <v>333</v>
      </c>
      <c r="AE7" s="232">
        <f t="shared" si="0"/>
        <v>7.4744932916422702E-2</v>
      </c>
      <c r="AF7" s="232">
        <f t="shared" si="1"/>
        <v>0.8098463962189838</v>
      </c>
      <c r="AG7" s="232">
        <f t="shared" si="2"/>
        <v>3.5624261520283577E-2</v>
      </c>
      <c r="AH7" s="232">
        <f t="shared" si="3"/>
        <v>0.30078771169751872</v>
      </c>
      <c r="AI7" s="232">
        <f t="shared" si="4"/>
        <v>0.6035699094131548</v>
      </c>
      <c r="AJ7" s="232">
        <f t="shared" si="5"/>
        <v>-1.4848365498227649E-2</v>
      </c>
      <c r="AK7" s="232">
        <f t="shared" si="6"/>
        <v>2.0542431801039908E-2</v>
      </c>
      <c r="AL7" s="232">
        <f t="shared" si="7"/>
        <v>-4.8345805435210713E-2</v>
      </c>
      <c r="AM7" s="232">
        <f t="shared" si="8"/>
        <v>0.35039178802337023</v>
      </c>
      <c r="AN7" s="232">
        <v>3.0099999999999998E-2</v>
      </c>
      <c r="AO7" s="232">
        <f t="shared" si="9"/>
        <v>0.15049999999999999</v>
      </c>
      <c r="AT7" t="s">
        <v>332</v>
      </c>
      <c r="AU7">
        <v>2103999.9999999995</v>
      </c>
      <c r="AV7">
        <v>2536000</v>
      </c>
      <c r="AW7">
        <v>5798001.0678599579</v>
      </c>
      <c r="AX7">
        <v>1158001.0678599584</v>
      </c>
      <c r="AY7">
        <v>1158001.0678599584</v>
      </c>
      <c r="AZ7">
        <v>48098000</v>
      </c>
      <c r="BA7">
        <v>2.407586735124035E-2</v>
      </c>
    </row>
    <row r="8" spans="1:53" x14ac:dyDescent="0.25">
      <c r="A8" t="s">
        <v>288</v>
      </c>
      <c r="B8">
        <v>270</v>
      </c>
      <c r="C8">
        <v>478760</v>
      </c>
      <c r="D8">
        <v>1050</v>
      </c>
      <c r="E8">
        <v>291</v>
      </c>
      <c r="F8">
        <v>12809</v>
      </c>
      <c r="G8">
        <v>0</v>
      </c>
      <c r="H8">
        <v>31741</v>
      </c>
      <c r="I8">
        <v>18</v>
      </c>
      <c r="J8">
        <v>614</v>
      </c>
      <c r="K8">
        <v>16769</v>
      </c>
      <c r="L8">
        <v>2104</v>
      </c>
      <c r="M8">
        <v>44205</v>
      </c>
      <c r="N8">
        <v>6703</v>
      </c>
      <c r="O8">
        <v>132679</v>
      </c>
      <c r="P8">
        <v>28158</v>
      </c>
      <c r="Q8">
        <v>375226</v>
      </c>
      <c r="R8">
        <v>425</v>
      </c>
      <c r="S8">
        <v>10000</v>
      </c>
      <c r="T8">
        <v>14981</v>
      </c>
      <c r="U8">
        <v>33865</v>
      </c>
      <c r="V8">
        <v>2</v>
      </c>
      <c r="W8">
        <v>348525</v>
      </c>
      <c r="X8">
        <v>-3251</v>
      </c>
      <c r="Y8">
        <v>108470</v>
      </c>
      <c r="Z8">
        <v>12141378.863512039</v>
      </c>
      <c r="AA8">
        <v>10406896.168724606</v>
      </c>
      <c r="AB8">
        <v>420626</v>
      </c>
      <c r="AC8">
        <v>58404</v>
      </c>
      <c r="AD8" t="s">
        <v>288</v>
      </c>
      <c r="AE8" s="232">
        <f t="shared" si="0"/>
        <v>1.6797293620051938E-2</v>
      </c>
      <c r="AF8" s="232">
        <f t="shared" si="1"/>
        <v>1.0071070941826268</v>
      </c>
      <c r="AG8" s="232">
        <f t="shared" si="2"/>
        <v>3.7586973674772255E-2</v>
      </c>
      <c r="AH8" s="232">
        <f t="shared" si="3"/>
        <v>9.1124022666953589E-2</v>
      </c>
      <c r="AI8" s="232">
        <f t="shared" si="4"/>
        <v>0.94783071515673201</v>
      </c>
      <c r="AJ8" s="232">
        <f t="shared" si="5"/>
        <v>-9.3278817875331755E-3</v>
      </c>
      <c r="AK8" s="232">
        <f t="shared" si="6"/>
        <v>2.9859826895415265E-2</v>
      </c>
      <c r="AL8" s="232">
        <f t="shared" si="7"/>
        <v>4.1893694856896924E-2</v>
      </c>
      <c r="AM8" s="232">
        <f t="shared" si="8"/>
        <v>0.27016263139682933</v>
      </c>
      <c r="AN8" s="232">
        <v>2.5700000000000001E-2</v>
      </c>
      <c r="AO8" s="232">
        <f t="shared" si="9"/>
        <v>0.1285</v>
      </c>
      <c r="AT8" t="s">
        <v>333</v>
      </c>
      <c r="AU8">
        <v>3656000</v>
      </c>
      <c r="AV8">
        <v>2944000</v>
      </c>
      <c r="AW8">
        <v>7817002.1346662752</v>
      </c>
      <c r="AX8">
        <v>1217002.1346662752</v>
      </c>
      <c r="AY8">
        <v>1217002.1346662752</v>
      </c>
      <c r="AZ8">
        <v>50780000</v>
      </c>
      <c r="BA8">
        <v>2.3966170434546578E-2</v>
      </c>
    </row>
    <row r="9" spans="1:53" x14ac:dyDescent="0.25">
      <c r="A9" t="s">
        <v>185</v>
      </c>
      <c r="B9">
        <v>4876</v>
      </c>
      <c r="C9">
        <v>183093</v>
      </c>
      <c r="D9">
        <v>691</v>
      </c>
      <c r="E9">
        <v>8676</v>
      </c>
      <c r="F9">
        <v>24959</v>
      </c>
      <c r="G9">
        <v>0</v>
      </c>
      <c r="H9">
        <v>52415</v>
      </c>
      <c r="I9">
        <v>0</v>
      </c>
      <c r="J9">
        <v>0</v>
      </c>
      <c r="K9">
        <v>0</v>
      </c>
      <c r="L9">
        <v>17963</v>
      </c>
      <c r="M9">
        <v>20621</v>
      </c>
      <c r="N9">
        <v>16639</v>
      </c>
      <c r="O9">
        <v>9604</v>
      </c>
      <c r="P9">
        <v>15467</v>
      </c>
      <c r="Q9">
        <v>272658</v>
      </c>
      <c r="R9">
        <v>490</v>
      </c>
      <c r="S9">
        <v>0</v>
      </c>
      <c r="T9">
        <v>5088</v>
      </c>
      <c r="U9">
        <v>26626</v>
      </c>
      <c r="V9">
        <v>0</v>
      </c>
      <c r="W9">
        <v>298311</v>
      </c>
      <c r="X9">
        <v>18216</v>
      </c>
      <c r="Y9">
        <v>72629</v>
      </c>
      <c r="Z9">
        <v>-1639295.8013124354</v>
      </c>
      <c r="AA9">
        <v>-1405110.6868392304</v>
      </c>
      <c r="AB9">
        <v>311047</v>
      </c>
      <c r="AC9">
        <v>-123078</v>
      </c>
      <c r="AD9" t="s">
        <v>185</v>
      </c>
      <c r="AE9" s="232">
        <f t="shared" si="0"/>
        <v>0</v>
      </c>
      <c r="AF9" s="232">
        <f t="shared" si="1"/>
        <v>0.72408995980704705</v>
      </c>
      <c r="AG9" s="232">
        <f t="shared" si="2"/>
        <v>0.11275145737166917</v>
      </c>
      <c r="AH9" s="232">
        <f t="shared" si="3"/>
        <v>0.17570589083205113</v>
      </c>
      <c r="AI9" s="232">
        <f t="shared" si="4"/>
        <v>0.61462601110921156</v>
      </c>
      <c r="AJ9" s="232">
        <f t="shared" si="5"/>
        <v>6.1063789132817764E-2</v>
      </c>
      <c r="AK9" s="232">
        <f t="shared" si="6"/>
        <v>-4.7102208327524974E-3</v>
      </c>
      <c r="AL9" s="232">
        <f t="shared" si="7"/>
        <v>-0.10314571034926637</v>
      </c>
      <c r="AM9" s="232">
        <f t="shared" si="8"/>
        <v>7.5988155170898339E-2</v>
      </c>
      <c r="AN9" s="232">
        <v>1.2699999999999999E-2</v>
      </c>
      <c r="AO9" s="232">
        <f t="shared" si="9"/>
        <v>6.3500000000000001E-2</v>
      </c>
      <c r="AT9" t="s">
        <v>288</v>
      </c>
      <c r="AU9">
        <v>9210000</v>
      </c>
      <c r="AV9">
        <v>13460000.000000002</v>
      </c>
      <c r="AW9">
        <v>34811378.863512039</v>
      </c>
      <c r="AX9">
        <v>12141378.863512037</v>
      </c>
      <c r="AY9">
        <v>12141378.863512037</v>
      </c>
      <c r="AZ9">
        <v>348525000</v>
      </c>
      <c r="BA9">
        <v>3.4836464711317801E-2</v>
      </c>
    </row>
    <row r="10" spans="1:53" x14ac:dyDescent="0.25">
      <c r="A10" t="s">
        <v>494</v>
      </c>
      <c r="B10">
        <v>6300</v>
      </c>
      <c r="C10">
        <v>764043</v>
      </c>
      <c r="D10">
        <v>16271</v>
      </c>
      <c r="E10">
        <v>8833</v>
      </c>
      <c r="F10">
        <v>22224</v>
      </c>
      <c r="G10">
        <v>0</v>
      </c>
      <c r="H10">
        <v>369435</v>
      </c>
      <c r="I10">
        <v>18</v>
      </c>
      <c r="J10">
        <v>1700</v>
      </c>
      <c r="K10">
        <v>333</v>
      </c>
      <c r="L10">
        <v>15</v>
      </c>
      <c r="M10">
        <v>135249</v>
      </c>
      <c r="N10">
        <v>7996</v>
      </c>
      <c r="O10">
        <v>339382</v>
      </c>
      <c r="P10">
        <v>293955</v>
      </c>
      <c r="Q10">
        <v>480047</v>
      </c>
      <c r="R10">
        <v>7260</v>
      </c>
      <c r="S10">
        <v>66500</v>
      </c>
      <c r="T10">
        <v>88393</v>
      </c>
      <c r="U10">
        <v>56880</v>
      </c>
      <c r="V10">
        <v>-1</v>
      </c>
      <c r="W10">
        <v>784110</v>
      </c>
      <c r="X10">
        <v>56692</v>
      </c>
      <c r="Y10">
        <v>203990</v>
      </c>
      <c r="Z10">
        <v>7761125.1517835334</v>
      </c>
      <c r="AA10">
        <v>6652392.9872430293</v>
      </c>
      <c r="AB10">
        <v>498665</v>
      </c>
      <c r="AC10">
        <v>271678</v>
      </c>
      <c r="AD10" t="s">
        <v>494</v>
      </c>
      <c r="AE10" s="232">
        <f t="shared" si="0"/>
        <v>4.9909300166539453E-2</v>
      </c>
      <c r="AF10" s="232">
        <f t="shared" si="1"/>
        <v>0.66665391335399371</v>
      </c>
      <c r="AG10" s="232">
        <f t="shared" si="2"/>
        <v>3.9607963168433E-2</v>
      </c>
      <c r="AH10" s="232">
        <f t="shared" si="3"/>
        <v>0.47117496269656045</v>
      </c>
      <c r="AI10" s="232">
        <f t="shared" si="4"/>
        <v>0.34158439504661336</v>
      </c>
      <c r="AJ10" s="232">
        <f t="shared" si="5"/>
        <v>7.2301080205583401E-2</v>
      </c>
      <c r="AK10" s="232">
        <f t="shared" si="6"/>
        <v>8.4840047789762011E-3</v>
      </c>
      <c r="AL10" s="232">
        <f t="shared" si="7"/>
        <v>8.6619862009156876E-2</v>
      </c>
      <c r="AM10" s="232">
        <f t="shared" si="8"/>
        <v>0.47532942014399399</v>
      </c>
      <c r="AN10" s="232">
        <v>3.0499999999999999E-2</v>
      </c>
      <c r="AO10" s="232">
        <f t="shared" si="9"/>
        <v>0.1525</v>
      </c>
      <c r="AT10" t="s">
        <v>185</v>
      </c>
      <c r="AU10">
        <v>8838999.9999999981</v>
      </c>
      <c r="AV10">
        <v>11823000</v>
      </c>
      <c r="AW10">
        <v>19022704.198687568</v>
      </c>
      <c r="AX10">
        <v>-1639295.8013124298</v>
      </c>
      <c r="AY10">
        <v>0</v>
      </c>
      <c r="AZ10">
        <v>298311000</v>
      </c>
      <c r="BA10">
        <v>-5.4952576382112286E-3</v>
      </c>
    </row>
    <row r="11" spans="1:53" x14ac:dyDescent="0.25">
      <c r="A11" t="s">
        <v>334</v>
      </c>
      <c r="B11">
        <v>10299</v>
      </c>
      <c r="C11">
        <v>274672</v>
      </c>
      <c r="D11">
        <v>7513</v>
      </c>
      <c r="E11">
        <v>36</v>
      </c>
      <c r="F11">
        <v>26101</v>
      </c>
      <c r="G11">
        <v>0</v>
      </c>
      <c r="H11">
        <v>185118</v>
      </c>
      <c r="I11">
        <v>8323</v>
      </c>
      <c r="J11">
        <v>0</v>
      </c>
      <c r="K11">
        <v>10000</v>
      </c>
      <c r="L11">
        <v>608</v>
      </c>
      <c r="M11">
        <v>39926</v>
      </c>
      <c r="N11">
        <v>10781</v>
      </c>
      <c r="O11">
        <v>209024</v>
      </c>
      <c r="P11">
        <v>180664</v>
      </c>
      <c r="Q11">
        <v>143295</v>
      </c>
      <c r="R11">
        <v>5</v>
      </c>
      <c r="S11">
        <v>6714</v>
      </c>
      <c r="T11">
        <v>13778</v>
      </c>
      <c r="U11">
        <v>19897</v>
      </c>
      <c r="V11">
        <v>1</v>
      </c>
      <c r="W11">
        <v>302273</v>
      </c>
      <c r="X11">
        <v>16091</v>
      </c>
      <c r="Y11">
        <v>109682</v>
      </c>
      <c r="Z11">
        <v>12951399.029533885</v>
      </c>
      <c r="AA11">
        <v>11101199.168171901</v>
      </c>
      <c r="AB11">
        <v>303103</v>
      </c>
      <c r="AC11">
        <v>-18132</v>
      </c>
      <c r="AD11" t="s">
        <v>334</v>
      </c>
      <c r="AE11" s="232">
        <f t="shared" si="0"/>
        <v>1.1709573282499995E-2</v>
      </c>
      <c r="AF11" s="232">
        <f t="shared" si="1"/>
        <v>0.31837775785465455</v>
      </c>
      <c r="AG11" s="232">
        <f t="shared" si="2"/>
        <v>8.6468192660277304E-2</v>
      </c>
      <c r="AH11" s="232">
        <f t="shared" si="3"/>
        <v>0.63995461056726866</v>
      </c>
      <c r="AI11" s="232">
        <f t="shared" si="4"/>
        <v>-0.1192142864232002</v>
      </c>
      <c r="AJ11" s="232">
        <f t="shared" si="5"/>
        <v>5.3233335428569541E-2</v>
      </c>
      <c r="AK11" s="232">
        <f t="shared" si="6"/>
        <v>3.6725738548173015E-2</v>
      </c>
      <c r="AL11" s="232">
        <f t="shared" si="7"/>
        <v>-1.4996377446877492E-2</v>
      </c>
      <c r="AM11" s="232">
        <f t="shared" si="8"/>
        <v>0.67963660907221601</v>
      </c>
      <c r="AN11" s="232">
        <v>8.3000000000000001E-3</v>
      </c>
      <c r="AO11" s="232">
        <f t="shared" si="9"/>
        <v>4.1500000000000002E-2</v>
      </c>
      <c r="AT11" t="s">
        <v>494</v>
      </c>
      <c r="AU11">
        <v>23273999.999999996</v>
      </c>
      <c r="AV11">
        <v>19642000</v>
      </c>
      <c r="AW11">
        <v>50677125.151783541</v>
      </c>
      <c r="AX11">
        <v>7761125.1517835446</v>
      </c>
      <c r="AY11">
        <v>7761125.1517835446</v>
      </c>
      <c r="AZ11">
        <v>784110000</v>
      </c>
      <c r="BA11">
        <v>9.8980055754722476E-3</v>
      </c>
    </row>
    <row r="12" spans="1:53" x14ac:dyDescent="0.25">
      <c r="A12" t="s">
        <v>403</v>
      </c>
      <c r="B12">
        <v>600</v>
      </c>
      <c r="C12">
        <v>18252</v>
      </c>
      <c r="D12">
        <v>79</v>
      </c>
      <c r="E12">
        <v>1179</v>
      </c>
      <c r="F12">
        <v>199</v>
      </c>
      <c r="G12">
        <v>0</v>
      </c>
      <c r="H12">
        <v>2049</v>
      </c>
      <c r="I12">
        <v>0</v>
      </c>
      <c r="J12">
        <v>0</v>
      </c>
      <c r="K12">
        <v>1190</v>
      </c>
      <c r="L12">
        <v>64</v>
      </c>
      <c r="M12">
        <v>3198</v>
      </c>
      <c r="N12">
        <v>1089</v>
      </c>
      <c r="O12">
        <v>8097</v>
      </c>
      <c r="P12">
        <v>1491</v>
      </c>
      <c r="Q12">
        <v>12659</v>
      </c>
      <c r="R12">
        <v>42</v>
      </c>
      <c r="S12">
        <v>1252</v>
      </c>
      <c r="T12">
        <v>1118</v>
      </c>
      <c r="U12">
        <v>3240</v>
      </c>
      <c r="V12">
        <v>-1</v>
      </c>
      <c r="W12">
        <v>23776</v>
      </c>
      <c r="X12">
        <v>-453</v>
      </c>
      <c r="Y12">
        <v>10083</v>
      </c>
      <c r="Z12">
        <v>1887446.2970078983</v>
      </c>
      <c r="AA12">
        <v>1617811.1117210556</v>
      </c>
      <c r="AB12">
        <v>18554</v>
      </c>
      <c r="AC12">
        <v>298</v>
      </c>
      <c r="AD12" t="s">
        <v>403</v>
      </c>
      <c r="AE12" s="232">
        <f t="shared" si="0"/>
        <v>4.4876160435857917E-2</v>
      </c>
      <c r="AF12" s="232">
        <f t="shared" si="1"/>
        <v>0.47913862718707939</v>
      </c>
      <c r="AG12" s="232">
        <f t="shared" si="2"/>
        <v>5.7957604306864065E-2</v>
      </c>
      <c r="AH12" s="232">
        <f t="shared" si="3"/>
        <v>8.6179340511440106E-2</v>
      </c>
      <c r="AI12" s="232">
        <f t="shared" si="4"/>
        <v>0.42576800134589499</v>
      </c>
      <c r="AJ12" s="232">
        <f t="shared" si="5"/>
        <v>-1.9052826379542396E-2</v>
      </c>
      <c r="AK12" s="232">
        <f t="shared" si="6"/>
        <v>6.8043872464714647E-2</v>
      </c>
      <c r="AL12" s="232">
        <f t="shared" si="7"/>
        <v>3.1334118438761777E-3</v>
      </c>
      <c r="AM12" s="232">
        <f t="shared" si="8"/>
        <v>0.34366823183626655</v>
      </c>
      <c r="AN12" s="232">
        <v>4.87E-2</v>
      </c>
      <c r="AO12" s="232">
        <f t="shared" si="9"/>
        <v>0.24349999999999999</v>
      </c>
      <c r="AT12" t="s">
        <v>334</v>
      </c>
      <c r="AU12">
        <v>12433000.000000002</v>
      </c>
      <c r="AV12">
        <v>8128000.0000000019</v>
      </c>
      <c r="AW12">
        <v>33512399.029533885</v>
      </c>
      <c r="AX12">
        <v>12951399.029533884</v>
      </c>
      <c r="AY12">
        <v>12951399.029533884</v>
      </c>
      <c r="AZ12">
        <v>302273000</v>
      </c>
      <c r="BA12">
        <v>4.2846694972868513E-2</v>
      </c>
    </row>
    <row r="13" spans="1:53" x14ac:dyDescent="0.25">
      <c r="A13" t="s">
        <v>745</v>
      </c>
      <c r="B13">
        <v>1125</v>
      </c>
      <c r="C13">
        <v>127139</v>
      </c>
      <c r="D13">
        <v>2844</v>
      </c>
      <c r="E13">
        <v>17233</v>
      </c>
      <c r="F13">
        <v>2008</v>
      </c>
      <c r="G13">
        <v>0</v>
      </c>
      <c r="H13">
        <v>28483</v>
      </c>
      <c r="I13">
        <v>4900</v>
      </c>
      <c r="J13">
        <v>0</v>
      </c>
      <c r="K13">
        <v>697</v>
      </c>
      <c r="L13">
        <v>-3044</v>
      </c>
      <c r="M13">
        <v>9779</v>
      </c>
      <c r="N13">
        <v>10174</v>
      </c>
      <c r="O13">
        <v>57117</v>
      </c>
      <c r="P13">
        <v>36192</v>
      </c>
      <c r="Q13">
        <v>89433</v>
      </c>
      <c r="R13">
        <v>61</v>
      </c>
      <c r="S13">
        <v>48</v>
      </c>
      <c r="T13">
        <v>10496</v>
      </c>
      <c r="U13">
        <v>7991</v>
      </c>
      <c r="V13">
        <v>-29</v>
      </c>
      <c r="W13">
        <v>120882</v>
      </c>
      <c r="X13">
        <v>-577</v>
      </c>
      <c r="Y13">
        <v>54766</v>
      </c>
      <c r="Z13">
        <v>6835428.38753221</v>
      </c>
      <c r="AA13">
        <v>5858938.6178847514</v>
      </c>
      <c r="AB13">
        <v>100873</v>
      </c>
      <c r="AC13">
        <v>27391</v>
      </c>
      <c r="AD13" t="s">
        <v>745</v>
      </c>
      <c r="AE13" s="232">
        <f t="shared" si="0"/>
        <v>2.3840507008115707E-4</v>
      </c>
      <c r="AF13" s="232">
        <f t="shared" si="1"/>
        <v>0.58885524726592875</v>
      </c>
      <c r="AG13" s="232">
        <f t="shared" si="2"/>
        <v>0.15917175427276187</v>
      </c>
      <c r="AH13" s="232">
        <f t="shared" si="3"/>
        <v>0.27616187687165994</v>
      </c>
      <c r="AI13" s="232">
        <f t="shared" si="4"/>
        <v>0.4146425439684982</v>
      </c>
      <c r="AJ13" s="232">
        <f t="shared" si="5"/>
        <v>-4.7732499462285532E-3</v>
      </c>
      <c r="AK13" s="232">
        <f t="shared" si="6"/>
        <v>4.8468246867893909E-2</v>
      </c>
      <c r="AL13" s="232">
        <f t="shared" si="7"/>
        <v>5.6648218924240171E-2</v>
      </c>
      <c r="AM13" s="232">
        <f t="shared" si="8"/>
        <v>0.46344455592088923</v>
      </c>
      <c r="AN13" s="232">
        <v>0.04</v>
      </c>
      <c r="AO13" s="232">
        <f t="shared" si="9"/>
        <v>0.2</v>
      </c>
      <c r="AT13" t="s">
        <v>403</v>
      </c>
      <c r="AU13">
        <v>1271999.9999999998</v>
      </c>
      <c r="AV13">
        <v>839000</v>
      </c>
      <c r="AW13">
        <v>3998446.2970078993</v>
      </c>
      <c r="AX13">
        <v>1887446.2970078997</v>
      </c>
      <c r="AY13">
        <v>1887446.2970078997</v>
      </c>
      <c r="AZ13">
        <v>23776000</v>
      </c>
      <c r="BA13">
        <v>7.9384517875500493E-2</v>
      </c>
    </row>
    <row r="14" spans="1:53" x14ac:dyDescent="0.25">
      <c r="A14" t="s">
        <v>166</v>
      </c>
      <c r="B14">
        <v>1930</v>
      </c>
      <c r="C14">
        <v>27049</v>
      </c>
      <c r="D14">
        <v>379</v>
      </c>
      <c r="E14">
        <v>0</v>
      </c>
      <c r="F14">
        <v>1146</v>
      </c>
      <c r="G14">
        <v>0</v>
      </c>
      <c r="H14">
        <v>747</v>
      </c>
      <c r="I14">
        <v>22</v>
      </c>
      <c r="J14">
        <v>0</v>
      </c>
      <c r="K14">
        <v>0</v>
      </c>
      <c r="L14">
        <v>1049</v>
      </c>
      <c r="M14">
        <v>2051</v>
      </c>
      <c r="N14">
        <v>990</v>
      </c>
      <c r="O14">
        <v>11958</v>
      </c>
      <c r="P14">
        <v>830</v>
      </c>
      <c r="Q14">
        <v>17736</v>
      </c>
      <c r="R14">
        <v>0</v>
      </c>
      <c r="S14">
        <v>2000</v>
      </c>
      <c r="T14">
        <v>1499</v>
      </c>
      <c r="U14">
        <v>1340</v>
      </c>
      <c r="V14">
        <v>1</v>
      </c>
      <c r="W14">
        <v>20597</v>
      </c>
      <c r="X14">
        <v>140</v>
      </c>
      <c r="Y14">
        <v>3654</v>
      </c>
      <c r="Z14">
        <v>1307108.6077400413</v>
      </c>
      <c r="AA14">
        <v>1120378.8066343211</v>
      </c>
      <c r="AB14">
        <v>28562</v>
      </c>
      <c r="AC14">
        <v>417</v>
      </c>
      <c r="AD14" t="s">
        <v>166</v>
      </c>
      <c r="AE14" s="232">
        <f t="shared" si="0"/>
        <v>5.6556287645278966E-2</v>
      </c>
      <c r="AF14" s="232">
        <f t="shared" si="1"/>
        <v>0.84182162450842357</v>
      </c>
      <c r="AG14" s="232">
        <f t="shared" si="2"/>
        <v>5.5639170753022285E-2</v>
      </c>
      <c r="AH14" s="232">
        <f t="shared" si="3"/>
        <v>3.7335534301111813E-2</v>
      </c>
      <c r="AI14" s="232">
        <f t="shared" si="4"/>
        <v>0.82236345098800789</v>
      </c>
      <c r="AJ14" s="232">
        <f t="shared" si="5"/>
        <v>6.7971063747147642E-3</v>
      </c>
      <c r="AK14" s="232">
        <f t="shared" si="6"/>
        <v>5.4395242347639032E-2</v>
      </c>
      <c r="AL14" s="232">
        <f t="shared" si="7"/>
        <v>5.0614167111715297E-3</v>
      </c>
      <c r="AM14" s="232">
        <f t="shared" si="8"/>
        <v>0.36162090320391371</v>
      </c>
      <c r="AN14" s="232">
        <v>4.0000000000000002E-4</v>
      </c>
      <c r="AO14" s="232">
        <f t="shared" si="9"/>
        <v>2E-3</v>
      </c>
      <c r="AT14" t="s">
        <v>166</v>
      </c>
      <c r="AU14">
        <v>808999.99999999988</v>
      </c>
      <c r="AV14">
        <v>533000</v>
      </c>
      <c r="AW14">
        <v>2649108.6077400413</v>
      </c>
      <c r="AX14">
        <v>1307108.6077400413</v>
      </c>
      <c r="AY14">
        <v>1307108.6077400413</v>
      </c>
      <c r="AZ14">
        <v>20597000</v>
      </c>
      <c r="BA14">
        <v>6.3461116072245541E-2</v>
      </c>
    </row>
    <row r="15" spans="1:53" x14ac:dyDescent="0.25">
      <c r="A15" t="s">
        <v>262</v>
      </c>
      <c r="B15">
        <v>8195</v>
      </c>
      <c r="C15">
        <v>495744</v>
      </c>
      <c r="D15">
        <v>6168</v>
      </c>
      <c r="E15">
        <v>5269</v>
      </c>
      <c r="F15">
        <v>98075</v>
      </c>
      <c r="G15">
        <v>0</v>
      </c>
      <c r="H15">
        <v>0</v>
      </c>
      <c r="I15">
        <v>13356</v>
      </c>
      <c r="J15">
        <v>0</v>
      </c>
      <c r="K15">
        <v>0</v>
      </c>
      <c r="L15">
        <v>148</v>
      </c>
      <c r="M15">
        <v>20700</v>
      </c>
      <c r="N15">
        <v>61981</v>
      </c>
      <c r="O15">
        <v>188106</v>
      </c>
      <c r="P15">
        <v>44512</v>
      </c>
      <c r="Q15">
        <v>330487</v>
      </c>
      <c r="R15">
        <v>664</v>
      </c>
      <c r="S15">
        <v>53198</v>
      </c>
      <c r="T15">
        <v>18993</v>
      </c>
      <c r="U15">
        <v>73676</v>
      </c>
      <c r="V15">
        <v>1</v>
      </c>
      <c r="W15">
        <v>482712</v>
      </c>
      <c r="X15">
        <v>18760</v>
      </c>
      <c r="Y15">
        <v>155226</v>
      </c>
      <c r="Z15">
        <v>9502642.4734451249</v>
      </c>
      <c r="AA15">
        <v>8145122.120095822</v>
      </c>
      <c r="AB15">
        <v>353057</v>
      </c>
      <c r="AC15">
        <v>150882</v>
      </c>
      <c r="AD15" t="s">
        <v>262</v>
      </c>
      <c r="AE15" s="232">
        <f t="shared" si="0"/>
        <v>7.4965193423107063E-2</v>
      </c>
      <c r="AF15" s="232">
        <f t="shared" si="1"/>
        <v>0.60252282934751988</v>
      </c>
      <c r="AG15" s="232">
        <f t="shared" si="2"/>
        <v>0.21409038930045243</v>
      </c>
      <c r="AH15" s="232">
        <f t="shared" si="3"/>
        <v>2.7668672003182022E-2</v>
      </c>
      <c r="AI15" s="232">
        <f t="shared" si="4"/>
        <v>0.60884560566134671</v>
      </c>
      <c r="AJ15" s="232">
        <f t="shared" si="5"/>
        <v>3.8863753128159234E-2</v>
      </c>
      <c r="AK15" s="232">
        <f t="shared" si="6"/>
        <v>1.6873668191583847E-2</v>
      </c>
      <c r="AL15" s="232">
        <f t="shared" si="7"/>
        <v>7.8142867796947249E-2</v>
      </c>
      <c r="AM15" s="232">
        <f t="shared" si="8"/>
        <v>0.32779904063491705</v>
      </c>
      <c r="AN15" s="232">
        <v>9.5999999999999992E-3</v>
      </c>
      <c r="AO15" s="232">
        <f t="shared" si="9"/>
        <v>4.7999999999999994E-2</v>
      </c>
      <c r="AT15" t="s">
        <v>262</v>
      </c>
      <c r="AU15">
        <v>21294999.999999996</v>
      </c>
      <c r="AV15">
        <v>19165000</v>
      </c>
      <c r="AW15">
        <v>49962642.473445125</v>
      </c>
      <c r="AX15">
        <v>9502642.4734451286</v>
      </c>
      <c r="AY15">
        <v>9502642.4734451286</v>
      </c>
      <c r="AZ15">
        <v>482712000</v>
      </c>
      <c r="BA15">
        <v>1.9685946223514494E-2</v>
      </c>
    </row>
    <row r="16" spans="1:53" x14ac:dyDescent="0.25">
      <c r="A16" t="s">
        <v>289</v>
      </c>
      <c r="B16">
        <v>973</v>
      </c>
      <c r="C16">
        <v>199206</v>
      </c>
      <c r="D16">
        <v>0</v>
      </c>
      <c r="E16">
        <v>7693</v>
      </c>
      <c r="F16">
        <v>14388</v>
      </c>
      <c r="G16">
        <v>0</v>
      </c>
      <c r="H16">
        <v>-154</v>
      </c>
      <c r="I16">
        <v>360</v>
      </c>
      <c r="J16">
        <v>0</v>
      </c>
      <c r="K16">
        <v>82027</v>
      </c>
      <c r="L16">
        <v>1151</v>
      </c>
      <c r="M16">
        <v>10490</v>
      </c>
      <c r="N16">
        <v>14169</v>
      </c>
      <c r="O16">
        <v>199563</v>
      </c>
      <c r="P16">
        <v>23908</v>
      </c>
      <c r="Q16">
        <v>77875</v>
      </c>
      <c r="R16">
        <v>110</v>
      </c>
      <c r="S16">
        <v>0</v>
      </c>
      <c r="T16">
        <v>5694</v>
      </c>
      <c r="U16">
        <v>23153</v>
      </c>
      <c r="V16">
        <v>1</v>
      </c>
      <c r="W16">
        <v>216902</v>
      </c>
      <c r="X16">
        <v>5410</v>
      </c>
      <c r="Y16">
        <v>89870</v>
      </c>
      <c r="Z16">
        <v>14982226.852886207</v>
      </c>
      <c r="AA16">
        <v>12841908.731045321</v>
      </c>
      <c r="AB16">
        <v>195395</v>
      </c>
      <c r="AC16">
        <v>4784</v>
      </c>
      <c r="AD16" t="s">
        <v>289</v>
      </c>
      <c r="AE16" s="232">
        <f t="shared" si="0"/>
        <v>0</v>
      </c>
      <c r="AF16" s="232">
        <f t="shared" si="1"/>
        <v>-0.10643516426773382</v>
      </c>
      <c r="AG16" s="232">
        <f t="shared" si="2"/>
        <v>0.10180173534591659</v>
      </c>
      <c r="AH16" s="232">
        <f t="shared" si="3"/>
        <v>9.497376695466155E-4</v>
      </c>
      <c r="AI16" s="232">
        <f t="shared" si="4"/>
        <v>-9.488377239490646E-2</v>
      </c>
      <c r="AJ16" s="232">
        <f t="shared" si="5"/>
        <v>2.4942139768190243E-2</v>
      </c>
      <c r="AK16" s="232">
        <f t="shared" si="6"/>
        <v>5.9206041120161736E-2</v>
      </c>
      <c r="AL16" s="232">
        <f t="shared" si="7"/>
        <v>5.5140109358143312E-3</v>
      </c>
      <c r="AM16" s="232">
        <f t="shared" si="8"/>
        <v>0.6765636400517101</v>
      </c>
      <c r="AN16" s="232">
        <v>3.0800000000000001E-2</v>
      </c>
      <c r="AO16" s="232">
        <f t="shared" si="9"/>
        <v>0.154</v>
      </c>
      <c r="AT16" t="s">
        <v>289</v>
      </c>
      <c r="AU16">
        <v>9150000.0000000019</v>
      </c>
      <c r="AV16">
        <v>9702999.9999999981</v>
      </c>
      <c r="AW16">
        <v>33835226.852886207</v>
      </c>
      <c r="AX16">
        <v>14982226.852886209</v>
      </c>
      <c r="AY16">
        <v>14982226.852886209</v>
      </c>
      <c r="AZ16">
        <v>216902000</v>
      </c>
      <c r="BA16">
        <v>6.9073714640188702E-2</v>
      </c>
    </row>
    <row r="17" spans="1:53" x14ac:dyDescent="0.25">
      <c r="A17" t="s">
        <v>290</v>
      </c>
      <c r="B17">
        <v>64417</v>
      </c>
      <c r="C17">
        <v>12023003</v>
      </c>
      <c r="D17">
        <v>735376</v>
      </c>
      <c r="E17">
        <v>156956</v>
      </c>
      <c r="F17">
        <v>87974</v>
      </c>
      <c r="G17">
        <v>1162</v>
      </c>
      <c r="H17">
        <v>-508986</v>
      </c>
      <c r="I17">
        <v>7483</v>
      </c>
      <c r="J17">
        <v>0</v>
      </c>
      <c r="K17">
        <v>0</v>
      </c>
      <c r="L17">
        <v>11502</v>
      </c>
      <c r="M17">
        <v>525850</v>
      </c>
      <c r="N17">
        <v>580145</v>
      </c>
      <c r="O17">
        <v>8173842</v>
      </c>
      <c r="P17">
        <v>432697</v>
      </c>
      <c r="Q17">
        <v>3610488</v>
      </c>
      <c r="R17">
        <v>17316</v>
      </c>
      <c r="S17">
        <v>571600</v>
      </c>
      <c r="T17">
        <v>336375</v>
      </c>
      <c r="U17">
        <v>542564</v>
      </c>
      <c r="V17">
        <v>-1</v>
      </c>
      <c r="W17">
        <v>5278992</v>
      </c>
      <c r="X17">
        <v>120057</v>
      </c>
      <c r="Y17">
        <v>854047</v>
      </c>
      <c r="Z17">
        <v>267550995.96633315</v>
      </c>
      <c r="AA17">
        <v>229329425.11399984</v>
      </c>
      <c r="AB17">
        <v>10326544</v>
      </c>
      <c r="AC17">
        <v>1760876</v>
      </c>
      <c r="AD17" t="s">
        <v>290</v>
      </c>
      <c r="AE17" s="232">
        <f t="shared" si="0"/>
        <v>4.1768719671824717E-2</v>
      </c>
      <c r="AF17" s="232">
        <f t="shared" si="1"/>
        <v>0.70368623403861952</v>
      </c>
      <c r="AG17" s="232">
        <f t="shared" si="2"/>
        <v>4.6397115206842518E-2</v>
      </c>
      <c r="AH17" s="232">
        <f t="shared" si="3"/>
        <v>-9.499976510667188E-2</v>
      </c>
      <c r="AI17" s="232">
        <f t="shared" si="4"/>
        <v>0.77575372343811089</v>
      </c>
      <c r="AJ17" s="232">
        <f t="shared" si="5"/>
        <v>2.2742409914620065E-2</v>
      </c>
      <c r="AK17" s="232">
        <f t="shared" si="6"/>
        <v>4.3441896694293124E-2</v>
      </c>
      <c r="AL17" s="232">
        <f t="shared" si="7"/>
        <v>8.339073065464013E-2</v>
      </c>
      <c r="AM17" s="232">
        <f t="shared" si="8"/>
        <v>0.6289085284038255</v>
      </c>
      <c r="AN17" s="232">
        <v>2.12E-2</v>
      </c>
      <c r="AO17" s="232">
        <f t="shared" si="9"/>
        <v>0.106</v>
      </c>
      <c r="AT17" t="s">
        <v>290</v>
      </c>
      <c r="AU17">
        <v>60116000</v>
      </c>
      <c r="AV17">
        <v>116053000</v>
      </c>
      <c r="AW17">
        <v>443719995.96633321</v>
      </c>
      <c r="AX17">
        <v>267550995.96633321</v>
      </c>
      <c r="AY17">
        <v>267550995.96633321</v>
      </c>
      <c r="AZ17">
        <v>5278992000</v>
      </c>
      <c r="BA17">
        <v>5.0682212810008655E-2</v>
      </c>
    </row>
    <row r="18" spans="1:53" x14ac:dyDescent="0.25">
      <c r="A18" t="s">
        <v>210</v>
      </c>
      <c r="B18">
        <v>2902</v>
      </c>
      <c r="C18">
        <v>542036</v>
      </c>
      <c r="D18">
        <v>1659</v>
      </c>
      <c r="E18">
        <v>16900</v>
      </c>
      <c r="F18">
        <v>34614</v>
      </c>
      <c r="G18">
        <v>0</v>
      </c>
      <c r="H18">
        <v>63657</v>
      </c>
      <c r="I18">
        <v>6104</v>
      </c>
      <c r="J18">
        <v>0</v>
      </c>
      <c r="K18">
        <v>0</v>
      </c>
      <c r="L18">
        <v>1598</v>
      </c>
      <c r="M18">
        <v>37742</v>
      </c>
      <c r="N18">
        <v>36299</v>
      </c>
      <c r="O18">
        <v>84657</v>
      </c>
      <c r="P18">
        <v>49998</v>
      </c>
      <c r="Q18">
        <v>503431</v>
      </c>
      <c r="R18">
        <v>56</v>
      </c>
      <c r="S18">
        <v>50000</v>
      </c>
      <c r="T18">
        <v>8657</v>
      </c>
      <c r="U18">
        <v>46712</v>
      </c>
      <c r="V18">
        <v>0</v>
      </c>
      <c r="W18">
        <v>595024</v>
      </c>
      <c r="X18">
        <v>28019</v>
      </c>
      <c r="Y18">
        <v>161156</v>
      </c>
      <c r="Z18">
        <v>230795.18546071649</v>
      </c>
      <c r="AA18">
        <v>197824.44468061413</v>
      </c>
      <c r="AB18">
        <v>552569</v>
      </c>
      <c r="AC18">
        <v>-7631</v>
      </c>
      <c r="AD18" t="s">
        <v>210</v>
      </c>
      <c r="AE18" s="232">
        <f t="shared" si="0"/>
        <v>6.7248500694677013E-2</v>
      </c>
      <c r="AF18" s="232">
        <f t="shared" si="1"/>
        <v>0.80955221974239699</v>
      </c>
      <c r="AG18" s="232">
        <f t="shared" si="2"/>
        <v>8.6574659173411492E-2</v>
      </c>
      <c r="AH18" s="232">
        <f t="shared" si="3"/>
        <v>0.11724064911667428</v>
      </c>
      <c r="AI18" s="232">
        <f t="shared" si="4"/>
        <v>0.7378727244615344</v>
      </c>
      <c r="AJ18" s="232">
        <f t="shared" si="5"/>
        <v>4.7088856920057008E-2</v>
      </c>
      <c r="AK18" s="232">
        <f t="shared" si="6"/>
        <v>3.3246464794800567E-4</v>
      </c>
      <c r="AL18" s="232">
        <f t="shared" si="7"/>
        <v>-3.206173196375272E-3</v>
      </c>
      <c r="AM18" s="232">
        <f t="shared" si="8"/>
        <v>0.18110693722083465</v>
      </c>
      <c r="AN18" s="232">
        <v>1.9599999999999999E-2</v>
      </c>
      <c r="AO18" s="232">
        <f t="shared" si="9"/>
        <v>9.8000000000000004E-2</v>
      </c>
      <c r="AT18" t="s">
        <v>210</v>
      </c>
      <c r="AU18">
        <v>21699000</v>
      </c>
      <c r="AV18">
        <v>28413000</v>
      </c>
      <c r="AW18">
        <v>50342795.185460731</v>
      </c>
      <c r="AX18">
        <v>230795.18546073139</v>
      </c>
      <c r="AY18">
        <v>230795.18546073139</v>
      </c>
      <c r="AZ18">
        <v>595024000</v>
      </c>
      <c r="BA18">
        <v>3.8787542260603169E-4</v>
      </c>
    </row>
    <row r="19" spans="1:53" x14ac:dyDescent="0.25">
      <c r="A19" t="s">
        <v>142</v>
      </c>
      <c r="B19">
        <v>18</v>
      </c>
      <c r="C19">
        <v>21274</v>
      </c>
      <c r="D19">
        <v>661</v>
      </c>
      <c r="E19">
        <v>431</v>
      </c>
      <c r="F19">
        <v>19</v>
      </c>
      <c r="G19">
        <v>0</v>
      </c>
      <c r="H19">
        <v>3166</v>
      </c>
      <c r="I19">
        <v>0</v>
      </c>
      <c r="J19">
        <v>0</v>
      </c>
      <c r="K19">
        <v>450</v>
      </c>
      <c r="L19">
        <v>5</v>
      </c>
      <c r="M19">
        <v>1774</v>
      </c>
      <c r="N19">
        <v>4308</v>
      </c>
      <c r="O19">
        <v>17471</v>
      </c>
      <c r="P19">
        <v>1235</v>
      </c>
      <c r="Q19">
        <v>8280</v>
      </c>
      <c r="R19">
        <v>7</v>
      </c>
      <c r="S19">
        <v>-1</v>
      </c>
      <c r="T19">
        <v>1641</v>
      </c>
      <c r="U19">
        <v>3473</v>
      </c>
      <c r="V19">
        <v>-7</v>
      </c>
      <c r="W19">
        <v>45219</v>
      </c>
      <c r="X19">
        <v>665</v>
      </c>
      <c r="Y19">
        <v>11801</v>
      </c>
      <c r="Z19">
        <v>-767393.0268784822</v>
      </c>
      <c r="AA19">
        <v>-657765.45161012758</v>
      </c>
      <c r="AB19">
        <v>19890</v>
      </c>
      <c r="AC19">
        <v>1402</v>
      </c>
      <c r="AD19" t="s">
        <v>142</v>
      </c>
      <c r="AE19" s="232">
        <f t="shared" si="0"/>
        <v>-3.1146826138416496E-5</v>
      </c>
      <c r="AF19" s="232">
        <f t="shared" si="1"/>
        <v>0.14182091598664279</v>
      </c>
      <c r="AG19" s="232">
        <f t="shared" si="2"/>
        <v>9.9515690307171757E-3</v>
      </c>
      <c r="AH19" s="232">
        <f t="shared" si="3"/>
        <v>7.0014816780556849E-2</v>
      </c>
      <c r="AI19" s="232">
        <f t="shared" si="4"/>
        <v>9.4004732523939052E-2</v>
      </c>
      <c r="AJ19" s="232">
        <f t="shared" si="5"/>
        <v>1.4706207567615382E-2</v>
      </c>
      <c r="AK19" s="232">
        <f t="shared" si="6"/>
        <v>-1.4546218439375652E-2</v>
      </c>
      <c r="AL19" s="232">
        <f t="shared" si="7"/>
        <v>7.7511665450363783E-3</v>
      </c>
      <c r="AM19" s="232">
        <f t="shared" si="8"/>
        <v>0.58263252974521895</v>
      </c>
      <c r="AN19" s="232">
        <v>3.8899999999999997E-2</v>
      </c>
      <c r="AO19" s="232">
        <f t="shared" si="9"/>
        <v>0.19449999999999998</v>
      </c>
      <c r="AT19" t="s">
        <v>142</v>
      </c>
      <c r="AU19">
        <v>1994000</v>
      </c>
      <c r="AV19">
        <v>1337999.9999999998</v>
      </c>
      <c r="AW19">
        <v>2564606.9731215183</v>
      </c>
      <c r="AX19">
        <v>-767393.0268784815</v>
      </c>
      <c r="AY19">
        <v>0</v>
      </c>
      <c r="AZ19">
        <v>45219000</v>
      </c>
      <c r="BA19">
        <v>-1.6970588179271578E-2</v>
      </c>
    </row>
    <row r="20" spans="1:53" x14ac:dyDescent="0.25">
      <c r="A20" t="s">
        <v>211</v>
      </c>
      <c r="B20">
        <v>25917</v>
      </c>
      <c r="C20">
        <v>668041</v>
      </c>
      <c r="D20">
        <v>4741</v>
      </c>
      <c r="E20">
        <v>12</v>
      </c>
      <c r="F20">
        <v>68064</v>
      </c>
      <c r="G20">
        <v>0</v>
      </c>
      <c r="H20">
        <v>52037</v>
      </c>
      <c r="I20">
        <v>326</v>
      </c>
      <c r="J20">
        <v>0</v>
      </c>
      <c r="K20">
        <v>11025</v>
      </c>
      <c r="L20">
        <v>758</v>
      </c>
      <c r="M20">
        <v>117812</v>
      </c>
      <c r="N20">
        <v>1465</v>
      </c>
      <c r="O20">
        <v>151178</v>
      </c>
      <c r="P20">
        <v>11757</v>
      </c>
      <c r="Q20">
        <v>663411</v>
      </c>
      <c r="R20">
        <v>209</v>
      </c>
      <c r="S20">
        <v>55000</v>
      </c>
      <c r="T20">
        <v>12769</v>
      </c>
      <c r="U20">
        <v>55874</v>
      </c>
      <c r="V20">
        <v>0</v>
      </c>
      <c r="W20">
        <v>778723</v>
      </c>
      <c r="X20">
        <v>14982</v>
      </c>
      <c r="Y20">
        <v>157223</v>
      </c>
      <c r="Z20">
        <v>-8607991.8270878047</v>
      </c>
      <c r="AA20">
        <v>-7378278.7089324044</v>
      </c>
      <c r="AB20">
        <v>672397</v>
      </c>
      <c r="AC20">
        <v>21561</v>
      </c>
      <c r="AD20" t="s">
        <v>211</v>
      </c>
      <c r="AE20" s="232">
        <f t="shared" si="0"/>
        <v>5.7882672874495632E-2</v>
      </c>
      <c r="AF20" s="232">
        <f t="shared" si="1"/>
        <v>0.75524544671211713</v>
      </c>
      <c r="AG20" s="232">
        <f t="shared" si="2"/>
        <v>8.7420045381990774E-2</v>
      </c>
      <c r="AH20" s="232">
        <f t="shared" si="3"/>
        <v>6.7242138732257817E-2</v>
      </c>
      <c r="AI20" s="232">
        <f t="shared" si="4"/>
        <v>0.71866635504537557</v>
      </c>
      <c r="AJ20" s="232">
        <f t="shared" si="5"/>
        <v>1.9239190315426667E-2</v>
      </c>
      <c r="AK20" s="232">
        <f t="shared" si="6"/>
        <v>-9.4748436978648442E-3</v>
      </c>
      <c r="AL20" s="232">
        <f t="shared" si="7"/>
        <v>6.9219093310458274E-3</v>
      </c>
      <c r="AM20" s="232">
        <f t="shared" si="8"/>
        <v>0.1714747873601081</v>
      </c>
      <c r="AN20" s="232">
        <v>2.9399999999999999E-2</v>
      </c>
      <c r="AO20" s="232">
        <f t="shared" si="9"/>
        <v>0.14699999999999999</v>
      </c>
      <c r="AT20" t="s">
        <v>211</v>
      </c>
      <c r="AU20">
        <v>25082000</v>
      </c>
      <c r="AV20">
        <v>28928000</v>
      </c>
      <c r="AW20">
        <v>45402008.172912195</v>
      </c>
      <c r="AX20">
        <v>-8607991.8270878047</v>
      </c>
      <c r="AY20">
        <v>0</v>
      </c>
      <c r="AZ20">
        <v>778723000</v>
      </c>
      <c r="BA20">
        <v>-1.105398431417565E-2</v>
      </c>
    </row>
    <row r="21" spans="1:53" x14ac:dyDescent="0.25">
      <c r="A21" t="s">
        <v>130</v>
      </c>
      <c r="B21">
        <v>452</v>
      </c>
      <c r="C21">
        <v>397087</v>
      </c>
      <c r="D21">
        <v>330</v>
      </c>
      <c r="E21">
        <v>1329</v>
      </c>
      <c r="F21">
        <v>3666</v>
      </c>
      <c r="G21">
        <v>0</v>
      </c>
      <c r="H21">
        <v>21874</v>
      </c>
      <c r="I21">
        <v>0</v>
      </c>
      <c r="J21">
        <v>0</v>
      </c>
      <c r="K21">
        <v>0</v>
      </c>
      <c r="L21">
        <v>-4242</v>
      </c>
      <c r="M21">
        <v>22249</v>
      </c>
      <c r="N21">
        <v>5616</v>
      </c>
      <c r="O21">
        <v>182153</v>
      </c>
      <c r="P21">
        <v>30520</v>
      </c>
      <c r="Q21">
        <v>182771</v>
      </c>
      <c r="R21">
        <v>92</v>
      </c>
      <c r="S21">
        <v>0</v>
      </c>
      <c r="T21">
        <v>19840</v>
      </c>
      <c r="U21">
        <v>32985</v>
      </c>
      <c r="V21">
        <v>0</v>
      </c>
      <c r="W21">
        <v>293416</v>
      </c>
      <c r="X21">
        <v>-6574</v>
      </c>
      <c r="Y21">
        <v>67708</v>
      </c>
      <c r="Z21">
        <v>-405518.73991679773</v>
      </c>
      <c r="AA21">
        <v>-347587.4913572552</v>
      </c>
      <c r="AB21">
        <v>334157</v>
      </c>
      <c r="AC21">
        <v>63382</v>
      </c>
      <c r="AD21" t="s">
        <v>130</v>
      </c>
      <c r="AE21" s="232">
        <f t="shared" si="0"/>
        <v>0</v>
      </c>
      <c r="AF21" s="232">
        <f t="shared" si="1"/>
        <v>0.70572156937590313</v>
      </c>
      <c r="AG21" s="232">
        <f t="shared" si="2"/>
        <v>1.7023611527660385E-2</v>
      </c>
      <c r="AH21" s="232">
        <f t="shared" si="3"/>
        <v>7.4549445156365024E-2</v>
      </c>
      <c r="AI21" s="232">
        <f t="shared" si="4"/>
        <v>0.65557979114976683</v>
      </c>
      <c r="AJ21" s="232">
        <f t="shared" si="5"/>
        <v>-2.240504948605393E-2</v>
      </c>
      <c r="AK21" s="232">
        <f t="shared" si="6"/>
        <v>-1.1846235084564413E-3</v>
      </c>
      <c r="AL21" s="232">
        <f t="shared" si="7"/>
        <v>5.4003530823131661E-2</v>
      </c>
      <c r="AM21" s="232">
        <f t="shared" si="8"/>
        <v>0.47433429758609691</v>
      </c>
      <c r="AN21" s="232">
        <v>3.5499999999999997E-2</v>
      </c>
      <c r="AO21" s="232">
        <f t="shared" si="9"/>
        <v>0.17749999999999999</v>
      </c>
      <c r="AT21" t="s">
        <v>130</v>
      </c>
      <c r="AU21">
        <v>8923000.0000000019</v>
      </c>
      <c r="AV21">
        <v>8167000.0000000009</v>
      </c>
      <c r="AW21">
        <v>16684481.260083202</v>
      </c>
      <c r="AX21">
        <v>-405518.73991680052</v>
      </c>
      <c r="AY21">
        <v>0</v>
      </c>
      <c r="AZ21">
        <v>293416000</v>
      </c>
      <c r="BA21">
        <v>-1.3820607598658578E-3</v>
      </c>
    </row>
    <row r="22" spans="1:53" x14ac:dyDescent="0.25">
      <c r="A22" t="s">
        <v>404</v>
      </c>
      <c r="B22">
        <v>971</v>
      </c>
      <c r="C22">
        <v>26513</v>
      </c>
      <c r="D22">
        <v>34</v>
      </c>
      <c r="E22">
        <v>2700</v>
      </c>
      <c r="F22">
        <v>-333</v>
      </c>
      <c r="G22">
        <v>0</v>
      </c>
      <c r="H22">
        <v>10096</v>
      </c>
      <c r="I22">
        <v>5</v>
      </c>
      <c r="J22">
        <v>0</v>
      </c>
      <c r="K22">
        <v>5234</v>
      </c>
      <c r="L22">
        <v>26</v>
      </c>
      <c r="M22">
        <v>2484</v>
      </c>
      <c r="N22">
        <v>2844</v>
      </c>
      <c r="O22">
        <v>32193</v>
      </c>
      <c r="P22">
        <v>10150</v>
      </c>
      <c r="Q22">
        <v>0</v>
      </c>
      <c r="R22">
        <v>0</v>
      </c>
      <c r="S22">
        <v>-250</v>
      </c>
      <c r="T22">
        <v>3197</v>
      </c>
      <c r="U22">
        <v>5284</v>
      </c>
      <c r="V22">
        <v>0</v>
      </c>
      <c r="W22">
        <v>39651</v>
      </c>
      <c r="X22">
        <v>-2556</v>
      </c>
      <c r="Y22">
        <v>16719</v>
      </c>
      <c r="Z22">
        <v>2367411.0411552815</v>
      </c>
      <c r="AA22">
        <v>2029209.4638473843</v>
      </c>
      <c r="AB22">
        <v>23484</v>
      </c>
      <c r="AC22">
        <v>4000</v>
      </c>
      <c r="AD22" t="s">
        <v>404</v>
      </c>
      <c r="AE22" s="232">
        <f t="shared" si="0"/>
        <v>-4.9432514730889388E-3</v>
      </c>
      <c r="AF22" s="232">
        <f t="shared" si="1"/>
        <v>-0.11913949206829588</v>
      </c>
      <c r="AG22" s="232">
        <f t="shared" si="2"/>
        <v>5.9695846258606342E-2</v>
      </c>
      <c r="AH22" s="232">
        <f t="shared" si="3"/>
        <v>0.25474767345085875</v>
      </c>
      <c r="AI22" s="232">
        <f t="shared" si="4"/>
        <v>-0.29029936193286421</v>
      </c>
      <c r="AJ22" s="232">
        <f t="shared" si="5"/>
        <v>-6.4462434743133845E-2</v>
      </c>
      <c r="AK22" s="232">
        <f t="shared" si="6"/>
        <v>5.1176753772852746E-2</v>
      </c>
      <c r="AL22" s="232">
        <f t="shared" si="7"/>
        <v>2.5220044891679907E-2</v>
      </c>
      <c r="AM22" s="232">
        <f t="shared" si="8"/>
        <v>0.83724838850001981</v>
      </c>
      <c r="AN22" s="232">
        <v>5.8000000000000003E-2</v>
      </c>
      <c r="AO22" s="232">
        <f t="shared" si="9"/>
        <v>0.29000000000000004</v>
      </c>
      <c r="AT22" t="s">
        <v>404</v>
      </c>
      <c r="AU22">
        <v>2059000</v>
      </c>
      <c r="AV22">
        <v>1792000</v>
      </c>
      <c r="AW22">
        <v>6218411.0411552824</v>
      </c>
      <c r="AX22">
        <v>2367411.0411552824</v>
      </c>
      <c r="AY22">
        <v>2367411.0411552824</v>
      </c>
      <c r="AZ22">
        <v>39651000</v>
      </c>
      <c r="BA22">
        <v>5.9706212734994893E-2</v>
      </c>
    </row>
    <row r="23" spans="1:53" x14ac:dyDescent="0.25">
      <c r="A23" t="s">
        <v>405</v>
      </c>
      <c r="B23">
        <v>707</v>
      </c>
      <c r="C23">
        <v>14951</v>
      </c>
      <c r="D23">
        <v>61</v>
      </c>
      <c r="E23">
        <v>0</v>
      </c>
      <c r="F23">
        <v>214</v>
      </c>
      <c r="G23">
        <v>0</v>
      </c>
      <c r="H23">
        <v>927</v>
      </c>
      <c r="I23">
        <v>4</v>
      </c>
      <c r="J23">
        <v>0</v>
      </c>
      <c r="K23">
        <v>37</v>
      </c>
      <c r="L23">
        <v>-191</v>
      </c>
      <c r="M23">
        <v>2603</v>
      </c>
      <c r="N23">
        <v>984</v>
      </c>
      <c r="O23">
        <v>15310</v>
      </c>
      <c r="P23">
        <v>2942</v>
      </c>
      <c r="Q23">
        <v>91</v>
      </c>
      <c r="R23">
        <v>0</v>
      </c>
      <c r="S23">
        <v>0</v>
      </c>
      <c r="T23">
        <v>1074</v>
      </c>
      <c r="U23">
        <v>880</v>
      </c>
      <c r="V23">
        <v>0</v>
      </c>
      <c r="W23">
        <v>15641</v>
      </c>
      <c r="X23">
        <v>-1227</v>
      </c>
      <c r="Y23">
        <v>6799</v>
      </c>
      <c r="Z23">
        <v>1424022.5535168196</v>
      </c>
      <c r="AA23">
        <v>1220590.7601572738</v>
      </c>
      <c r="AB23">
        <v>17254</v>
      </c>
      <c r="AC23">
        <v>-1596</v>
      </c>
      <c r="AD23" t="s">
        <v>405</v>
      </c>
      <c r="AE23" s="232">
        <f t="shared" si="0"/>
        <v>0</v>
      </c>
      <c r="AF23" s="232">
        <f t="shared" si="1"/>
        <v>-0.10242311872642414</v>
      </c>
      <c r="AG23" s="232">
        <f t="shared" si="2"/>
        <v>1.3681989642605972E-2</v>
      </c>
      <c r="AH23" s="232">
        <f t="shared" si="3"/>
        <v>5.9523048398439998E-2</v>
      </c>
      <c r="AI23" s="232">
        <f t="shared" si="4"/>
        <v>-0.14244741384821941</v>
      </c>
      <c r="AJ23" s="232">
        <f t="shared" si="5"/>
        <v>-7.8447669586343582E-2</v>
      </c>
      <c r="AK23" s="232">
        <f t="shared" si="6"/>
        <v>7.8037897842674633E-2</v>
      </c>
      <c r="AL23" s="232">
        <f t="shared" si="7"/>
        <v>-2.5509877885045714E-2</v>
      </c>
      <c r="AM23" s="232">
        <f t="shared" si="8"/>
        <v>0.89924619401882055</v>
      </c>
      <c r="AN23" s="232">
        <v>4.6800000000000001E-2</v>
      </c>
      <c r="AO23" s="232">
        <f t="shared" si="9"/>
        <v>0.23400000000000001</v>
      </c>
      <c r="AT23" t="s">
        <v>405</v>
      </c>
      <c r="AU23">
        <v>807999.99999999988</v>
      </c>
      <c r="AV23">
        <v>671000</v>
      </c>
      <c r="AW23">
        <v>2903022.5535168201</v>
      </c>
      <c r="AX23">
        <v>1424022.5535168201</v>
      </c>
      <c r="AY23">
        <v>1424022.5535168201</v>
      </c>
      <c r="AZ23">
        <v>15641000</v>
      </c>
      <c r="BA23">
        <v>9.1044214149787098E-2</v>
      </c>
    </row>
    <row r="24" spans="1:53" x14ac:dyDescent="0.25">
      <c r="A24" t="s">
        <v>263</v>
      </c>
      <c r="B24">
        <v>239</v>
      </c>
      <c r="C24">
        <v>51788</v>
      </c>
      <c r="D24">
        <v>484</v>
      </c>
      <c r="E24">
        <v>0</v>
      </c>
      <c r="F24">
        <v>1372</v>
      </c>
      <c r="G24">
        <v>0</v>
      </c>
      <c r="H24">
        <v>0</v>
      </c>
      <c r="I24">
        <v>203</v>
      </c>
      <c r="J24">
        <v>0</v>
      </c>
      <c r="K24">
        <v>0</v>
      </c>
      <c r="L24">
        <v>2300</v>
      </c>
      <c r="M24">
        <v>-215</v>
      </c>
      <c r="N24">
        <v>5186</v>
      </c>
      <c r="O24">
        <v>27629</v>
      </c>
      <c r="P24">
        <v>5734</v>
      </c>
      <c r="Q24">
        <v>21312</v>
      </c>
      <c r="R24">
        <v>5</v>
      </c>
      <c r="S24">
        <v>0</v>
      </c>
      <c r="T24">
        <v>2447</v>
      </c>
      <c r="U24">
        <v>4230</v>
      </c>
      <c r="V24">
        <v>0</v>
      </c>
      <c r="W24">
        <v>55748</v>
      </c>
      <c r="X24">
        <v>60</v>
      </c>
      <c r="Y24">
        <v>24630</v>
      </c>
      <c r="Z24">
        <v>3420722.0659323614</v>
      </c>
      <c r="AA24">
        <v>2932047.4850848811</v>
      </c>
      <c r="AB24">
        <v>45946</v>
      </c>
      <c r="AC24">
        <v>6081</v>
      </c>
      <c r="AD24" t="s">
        <v>263</v>
      </c>
      <c r="AE24" s="232">
        <f t="shared" si="0"/>
        <v>0</v>
      </c>
      <c r="AF24" s="232">
        <f t="shared" si="1"/>
        <v>0.34711559159072969</v>
      </c>
      <c r="AG24" s="232">
        <f t="shared" si="2"/>
        <v>2.4610748367654443E-2</v>
      </c>
      <c r="AH24" s="232">
        <f t="shared" si="3"/>
        <v>3.6413862380713208E-3</v>
      </c>
      <c r="AI24" s="232">
        <f t="shared" si="4"/>
        <v>0.34751991102819829</v>
      </c>
      <c r="AJ24" s="232">
        <f t="shared" si="5"/>
        <v>1.0762717945038388E-3</v>
      </c>
      <c r="AK24" s="232">
        <f t="shared" si="6"/>
        <v>5.259466680571287E-2</v>
      </c>
      <c r="AL24" s="232">
        <f t="shared" si="7"/>
        <v>2.7270036593241013E-2</v>
      </c>
      <c r="AM24" s="232">
        <f t="shared" si="8"/>
        <v>0.54375213912023079</v>
      </c>
      <c r="AN24" s="232">
        <v>3.3399999999999999E-2</v>
      </c>
      <c r="AO24" s="232">
        <f t="shared" si="9"/>
        <v>0.16699999999999998</v>
      </c>
      <c r="AT24" t="s">
        <v>263</v>
      </c>
      <c r="AU24">
        <v>3992000</v>
      </c>
      <c r="AV24">
        <v>1959000</v>
      </c>
      <c r="AW24">
        <v>9371722.0659323614</v>
      </c>
      <c r="AX24">
        <v>3420722.0659323614</v>
      </c>
      <c r="AY24">
        <v>3420722.0659323614</v>
      </c>
      <c r="AZ24">
        <v>55748000</v>
      </c>
      <c r="BA24">
        <v>6.1360444606665017E-2</v>
      </c>
    </row>
    <row r="25" spans="1:53" x14ac:dyDescent="0.25">
      <c r="A25" t="s">
        <v>335</v>
      </c>
      <c r="B25">
        <v>25739</v>
      </c>
      <c r="C25">
        <v>135297</v>
      </c>
      <c r="D25">
        <v>1027</v>
      </c>
      <c r="E25">
        <v>6</v>
      </c>
      <c r="F25">
        <v>10503</v>
      </c>
      <c r="G25">
        <v>0</v>
      </c>
      <c r="H25">
        <v>25145</v>
      </c>
      <c r="I25">
        <v>0</v>
      </c>
      <c r="J25">
        <v>0</v>
      </c>
      <c r="K25">
        <v>26</v>
      </c>
      <c r="L25">
        <v>285</v>
      </c>
      <c r="M25">
        <v>3509</v>
      </c>
      <c r="N25">
        <v>14167</v>
      </c>
      <c r="O25">
        <v>53144</v>
      </c>
      <c r="P25">
        <v>34867</v>
      </c>
      <c r="Q25">
        <v>89857</v>
      </c>
      <c r="R25">
        <v>30</v>
      </c>
      <c r="S25">
        <v>24000</v>
      </c>
      <c r="T25">
        <v>13153</v>
      </c>
      <c r="U25">
        <v>653</v>
      </c>
      <c r="V25">
        <v>2</v>
      </c>
      <c r="W25">
        <v>105202</v>
      </c>
      <c r="X25">
        <v>-2810</v>
      </c>
      <c r="Y25">
        <v>48477</v>
      </c>
      <c r="Z25">
        <v>6519763.0105614103</v>
      </c>
      <c r="AA25">
        <v>5588368.2947669234</v>
      </c>
      <c r="AB25">
        <v>144153</v>
      </c>
      <c r="AC25">
        <v>16883</v>
      </c>
      <c r="AD25" t="s">
        <v>335</v>
      </c>
      <c r="AE25" s="232">
        <f t="shared" si="0"/>
        <v>0.11126358342914364</v>
      </c>
      <c r="AF25" s="232">
        <f t="shared" si="1"/>
        <v>0.94291933613429402</v>
      </c>
      <c r="AG25" s="232">
        <f t="shared" si="2"/>
        <v>9.9893538145662625E-2</v>
      </c>
      <c r="AH25" s="232">
        <f t="shared" si="3"/>
        <v>0.23901636851010438</v>
      </c>
      <c r="AI25" s="232">
        <f t="shared" si="4"/>
        <v>0.78759510275470046</v>
      </c>
      <c r="AJ25" s="232">
        <f t="shared" si="5"/>
        <v>-2.671051881142944E-2</v>
      </c>
      <c r="AK25" s="232">
        <f t="shared" si="6"/>
        <v>5.3120361730451163E-2</v>
      </c>
      <c r="AL25" s="232">
        <f t="shared" si="7"/>
        <v>4.0120434972719152E-2</v>
      </c>
      <c r="AM25" s="232">
        <f t="shared" si="8"/>
        <v>0.40801746838259839</v>
      </c>
      <c r="AN25" s="232">
        <v>3.8699999999999998E-2</v>
      </c>
      <c r="AO25" s="232">
        <f t="shared" si="9"/>
        <v>0.19350000000000001</v>
      </c>
      <c r="AT25" t="s">
        <v>335</v>
      </c>
      <c r="AU25">
        <v>5717000</v>
      </c>
      <c r="AV25">
        <v>3085000</v>
      </c>
      <c r="AW25">
        <v>15321763.01056141</v>
      </c>
      <c r="AX25">
        <v>6519763.0105614103</v>
      </c>
      <c r="AY25">
        <v>6519763.0105614103</v>
      </c>
      <c r="AZ25">
        <v>105202000</v>
      </c>
      <c r="BA25">
        <v>6.1973755352193023E-2</v>
      </c>
    </row>
    <row r="26" spans="1:53" x14ac:dyDescent="0.25">
      <c r="A26" t="s">
        <v>212</v>
      </c>
      <c r="B26">
        <v>451</v>
      </c>
      <c r="C26">
        <v>196174</v>
      </c>
      <c r="D26">
        <v>87</v>
      </c>
      <c r="E26">
        <v>1173</v>
      </c>
      <c r="F26">
        <v>15849</v>
      </c>
      <c r="G26">
        <v>-723</v>
      </c>
      <c r="H26">
        <v>90185</v>
      </c>
      <c r="I26">
        <v>0</v>
      </c>
      <c r="J26">
        <v>0</v>
      </c>
      <c r="K26">
        <v>0</v>
      </c>
      <c r="L26">
        <v>2474</v>
      </c>
      <c r="M26">
        <v>9979</v>
      </c>
      <c r="N26">
        <v>4505</v>
      </c>
      <c r="O26">
        <v>67901</v>
      </c>
      <c r="P26">
        <v>11925</v>
      </c>
      <c r="Q26">
        <v>212090</v>
      </c>
      <c r="R26">
        <v>0</v>
      </c>
      <c r="S26">
        <v>4000</v>
      </c>
      <c r="T26">
        <v>9817</v>
      </c>
      <c r="U26">
        <v>14421</v>
      </c>
      <c r="V26">
        <v>0</v>
      </c>
      <c r="W26">
        <v>156669</v>
      </c>
      <c r="X26">
        <v>-549</v>
      </c>
      <c r="Y26">
        <v>57339</v>
      </c>
      <c r="Z26">
        <v>9565623.3964521289</v>
      </c>
      <c r="AA26">
        <v>8199105.7683875393</v>
      </c>
      <c r="AB26">
        <v>220784</v>
      </c>
      <c r="AC26">
        <v>-24159</v>
      </c>
      <c r="AD26" t="s">
        <v>212</v>
      </c>
      <c r="AE26" s="232">
        <f t="shared" si="0"/>
        <v>1.2493987268626973E-2</v>
      </c>
      <c r="AF26" s="232">
        <f t="shared" si="1"/>
        <v>1.3217101021899673</v>
      </c>
      <c r="AG26" s="232">
        <f t="shared" si="2"/>
        <v>0.1086494456465542</v>
      </c>
      <c r="AH26" s="232">
        <f t="shared" si="3"/>
        <v>0.57564036280310715</v>
      </c>
      <c r="AI26" s="232">
        <f t="shared" si="4"/>
        <v>0.93179978170537892</v>
      </c>
      <c r="AJ26" s="232">
        <f t="shared" si="5"/>
        <v>-3.5042031288895696E-3</v>
      </c>
      <c r="AK26" s="232">
        <f t="shared" si="6"/>
        <v>5.2333938228925563E-2</v>
      </c>
      <c r="AL26" s="232">
        <f t="shared" si="7"/>
        <v>-3.855102158052965E-2</v>
      </c>
      <c r="AM26" s="232">
        <f t="shared" si="8"/>
        <v>0.24933625692635419</v>
      </c>
      <c r="AN26" s="232">
        <v>5.0000000000000001E-4</v>
      </c>
      <c r="AO26" s="232">
        <f t="shared" si="9"/>
        <v>2.5000000000000001E-3</v>
      </c>
      <c r="AT26" t="s">
        <v>212</v>
      </c>
      <c r="AU26">
        <v>6080000.0000000009</v>
      </c>
      <c r="AV26">
        <v>5088000.0000000009</v>
      </c>
      <c r="AW26">
        <v>20733623.396452133</v>
      </c>
      <c r="AX26">
        <v>9565623.3964521326</v>
      </c>
      <c r="AY26">
        <v>9565623.3964521326</v>
      </c>
      <c r="AZ26">
        <v>156669000</v>
      </c>
      <c r="BA26">
        <v>6.1056261267079845E-2</v>
      </c>
    </row>
    <row r="27" spans="1:53" x14ac:dyDescent="0.25">
      <c r="A27" t="s">
        <v>462</v>
      </c>
      <c r="B27">
        <v>11514</v>
      </c>
      <c r="C27">
        <v>25985</v>
      </c>
      <c r="D27">
        <v>129</v>
      </c>
      <c r="E27">
        <v>938</v>
      </c>
      <c r="F27">
        <v>1140</v>
      </c>
      <c r="G27">
        <v>0</v>
      </c>
      <c r="H27">
        <v>1046</v>
      </c>
      <c r="I27">
        <v>0</v>
      </c>
      <c r="J27">
        <v>0</v>
      </c>
      <c r="K27">
        <v>0</v>
      </c>
      <c r="L27">
        <v>11</v>
      </c>
      <c r="M27">
        <v>3633</v>
      </c>
      <c r="N27">
        <v>1681</v>
      </c>
      <c r="O27">
        <v>29036</v>
      </c>
      <c r="P27">
        <v>6749</v>
      </c>
      <c r="Q27">
        <v>0</v>
      </c>
      <c r="R27">
        <v>0</v>
      </c>
      <c r="S27">
        <v>3771</v>
      </c>
      <c r="T27">
        <v>3062</v>
      </c>
      <c r="U27">
        <v>3459</v>
      </c>
      <c r="V27">
        <v>-2</v>
      </c>
      <c r="W27">
        <v>38830</v>
      </c>
      <c r="X27">
        <v>-1592</v>
      </c>
      <c r="Y27">
        <v>15895</v>
      </c>
      <c r="Z27">
        <v>552715.30171492323</v>
      </c>
      <c r="AA27">
        <v>473755.97289850563</v>
      </c>
      <c r="AB27">
        <v>18664</v>
      </c>
      <c r="AC27">
        <v>18835</v>
      </c>
      <c r="AD27" t="s">
        <v>462</v>
      </c>
      <c r="AE27" s="232">
        <f t="shared" si="0"/>
        <v>8.1841265707402827E-2</v>
      </c>
      <c r="AF27" s="232">
        <f t="shared" si="1"/>
        <v>7.4401236157610101E-2</v>
      </c>
      <c r="AG27" s="232">
        <f t="shared" si="2"/>
        <v>5.351532320370847E-2</v>
      </c>
      <c r="AH27" s="232">
        <f t="shared" si="3"/>
        <v>2.6937934586659801E-2</v>
      </c>
      <c r="AI27" s="232">
        <f t="shared" si="4"/>
        <v>6.1966520731393263E-2</v>
      </c>
      <c r="AJ27" s="232">
        <f t="shared" si="5"/>
        <v>-4.0999227401493692E-2</v>
      </c>
      <c r="AK27" s="232">
        <f t="shared" si="6"/>
        <v>1.2200771900553841E-2</v>
      </c>
      <c r="AL27" s="232">
        <f t="shared" si="7"/>
        <v>0.12126577388617049</v>
      </c>
      <c r="AM27" s="232">
        <f t="shared" si="8"/>
        <v>0.77663476354797401</v>
      </c>
      <c r="AN27" s="232">
        <v>5.5899999999999998E-2</v>
      </c>
      <c r="AO27" s="232">
        <f t="shared" si="9"/>
        <v>0.27949999999999997</v>
      </c>
      <c r="AT27" t="s">
        <v>143</v>
      </c>
      <c r="AU27">
        <v>1269000</v>
      </c>
      <c r="AV27">
        <v>744999.99999999988</v>
      </c>
      <c r="AW27">
        <v>2438804.6119042765</v>
      </c>
      <c r="AX27">
        <v>424804.61190427665</v>
      </c>
      <c r="AY27">
        <v>424804.61190427665</v>
      </c>
      <c r="AZ27">
        <v>24490000</v>
      </c>
      <c r="BA27">
        <v>1.7346043769059887E-2</v>
      </c>
    </row>
    <row r="28" spans="1:53" x14ac:dyDescent="0.25">
      <c r="A28" t="s">
        <v>746</v>
      </c>
      <c r="B28">
        <v>25132</v>
      </c>
      <c r="C28">
        <v>81230</v>
      </c>
      <c r="D28">
        <v>687</v>
      </c>
      <c r="E28">
        <v>4543</v>
      </c>
      <c r="F28">
        <v>3907</v>
      </c>
      <c r="G28">
        <v>13663</v>
      </c>
      <c r="H28">
        <v>1371</v>
      </c>
      <c r="I28">
        <v>1327</v>
      </c>
      <c r="J28">
        <v>0</v>
      </c>
      <c r="K28">
        <v>11962</v>
      </c>
      <c r="L28">
        <v>-1677</v>
      </c>
      <c r="M28">
        <v>9533</v>
      </c>
      <c r="N28">
        <v>3839</v>
      </c>
      <c r="O28">
        <v>91625</v>
      </c>
      <c r="P28">
        <v>13862</v>
      </c>
      <c r="Q28">
        <v>39307</v>
      </c>
      <c r="R28">
        <v>4</v>
      </c>
      <c r="S28">
        <v>0</v>
      </c>
      <c r="T28">
        <v>7172</v>
      </c>
      <c r="U28">
        <v>3547</v>
      </c>
      <c r="V28">
        <v>42</v>
      </c>
      <c r="W28">
        <v>84761</v>
      </c>
      <c r="X28">
        <v>-1196</v>
      </c>
      <c r="Y28">
        <v>35969</v>
      </c>
      <c r="Z28">
        <v>1657432.8916187915</v>
      </c>
      <c r="AA28">
        <v>1420656.7642446784</v>
      </c>
      <c r="AB28">
        <v>68428</v>
      </c>
      <c r="AC28">
        <v>37934</v>
      </c>
      <c r="AD28" t="s">
        <v>746</v>
      </c>
      <c r="AE28" s="232">
        <f t="shared" si="0"/>
        <v>0</v>
      </c>
      <c r="AF28" s="232">
        <f t="shared" si="1"/>
        <v>5.0258963438373778E-2</v>
      </c>
      <c r="AG28" s="232">
        <f t="shared" si="2"/>
        <v>9.9692075364849406E-2</v>
      </c>
      <c r="AH28" s="232">
        <f t="shared" si="3"/>
        <v>3.1830676844303393E-2</v>
      </c>
      <c r="AI28" s="232">
        <f t="shared" si="4"/>
        <v>3.9940538691143335E-2</v>
      </c>
      <c r="AJ28" s="232">
        <f t="shared" si="5"/>
        <v>-1.4110262974717146E-2</v>
      </c>
      <c r="AK28" s="232">
        <f t="shared" si="6"/>
        <v>1.6760736237711665E-2</v>
      </c>
      <c r="AL28" s="232">
        <f t="shared" si="7"/>
        <v>0.11188518304408868</v>
      </c>
      <c r="AM28" s="232">
        <f t="shared" si="8"/>
        <v>0.67829883549708392</v>
      </c>
      <c r="AN28" s="232">
        <v>4.5999999999999999E-2</v>
      </c>
      <c r="AO28" s="232">
        <f t="shared" si="9"/>
        <v>0.22999999999999998</v>
      </c>
      <c r="AT28" t="s">
        <v>462</v>
      </c>
      <c r="AU28">
        <v>2075000</v>
      </c>
      <c r="AV28">
        <v>2147000</v>
      </c>
      <c r="AW28">
        <v>4774715.3017149232</v>
      </c>
      <c r="AX28">
        <v>552715.30171492323</v>
      </c>
      <c r="AY28">
        <v>552715.30171492323</v>
      </c>
      <c r="AZ28">
        <v>38830000</v>
      </c>
      <c r="BA28">
        <v>1.4234233883979481E-2</v>
      </c>
    </row>
    <row r="29" spans="1:53" x14ac:dyDescent="0.25">
      <c r="A29" t="s">
        <v>291</v>
      </c>
      <c r="B29">
        <v>104</v>
      </c>
      <c r="C29">
        <v>20507</v>
      </c>
      <c r="D29">
        <v>230</v>
      </c>
      <c r="E29">
        <v>0</v>
      </c>
      <c r="F29">
        <v>456</v>
      </c>
      <c r="G29">
        <v>0</v>
      </c>
      <c r="H29">
        <v>0</v>
      </c>
      <c r="I29">
        <v>0</v>
      </c>
      <c r="J29">
        <v>0</v>
      </c>
      <c r="K29">
        <v>0</v>
      </c>
      <c r="L29">
        <v>-217</v>
      </c>
      <c r="M29">
        <v>2315</v>
      </c>
      <c r="N29">
        <v>185</v>
      </c>
      <c r="O29">
        <v>9430</v>
      </c>
      <c r="P29">
        <v>1588</v>
      </c>
      <c r="Q29">
        <v>10557</v>
      </c>
      <c r="R29">
        <v>0</v>
      </c>
      <c r="S29">
        <v>0</v>
      </c>
      <c r="T29">
        <v>561</v>
      </c>
      <c r="U29">
        <v>1444</v>
      </c>
      <c r="V29">
        <v>0</v>
      </c>
      <c r="W29">
        <v>18673</v>
      </c>
      <c r="X29">
        <v>-1504</v>
      </c>
      <c r="Y29">
        <v>9550</v>
      </c>
      <c r="Z29">
        <v>1755683.5789925149</v>
      </c>
      <c r="AA29">
        <v>1504871.6391364413</v>
      </c>
      <c r="AB29">
        <v>26853</v>
      </c>
      <c r="AC29">
        <v>-6242</v>
      </c>
      <c r="AD29" t="s">
        <v>291</v>
      </c>
      <c r="AE29" s="232">
        <f t="shared" si="0"/>
        <v>0</v>
      </c>
      <c r="AF29" s="232">
        <f t="shared" si="1"/>
        <v>0.52605366036523327</v>
      </c>
      <c r="AG29" s="232">
        <f t="shared" si="2"/>
        <v>2.4420285974401542E-2</v>
      </c>
      <c r="AH29" s="232">
        <f t="shared" si="3"/>
        <v>0</v>
      </c>
      <c r="AI29" s="232">
        <f t="shared" si="4"/>
        <v>0.52898409468216145</v>
      </c>
      <c r="AJ29" s="232">
        <f t="shared" si="5"/>
        <v>-8.0544101108552452E-2</v>
      </c>
      <c r="AK29" s="232">
        <f t="shared" si="6"/>
        <v>8.0590780224733108E-2</v>
      </c>
      <c r="AL29" s="232">
        <f t="shared" si="7"/>
        <v>-8.3569860225994747E-2</v>
      </c>
      <c r="AM29" s="232">
        <f t="shared" si="8"/>
        <v>0.4672603901611535</v>
      </c>
      <c r="AN29" s="232">
        <v>3.2000000000000001E-2</v>
      </c>
      <c r="AO29" s="232">
        <f t="shared" si="9"/>
        <v>0.16</v>
      </c>
      <c r="AT29" t="s">
        <v>291</v>
      </c>
      <c r="AU29">
        <v>1285000.0000000002</v>
      </c>
      <c r="AV29">
        <v>486000</v>
      </c>
      <c r="AW29">
        <v>3526683.5789925144</v>
      </c>
      <c r="AX29">
        <v>1755683.5789925139</v>
      </c>
      <c r="AY29">
        <v>1755683.5789925139</v>
      </c>
      <c r="AZ29">
        <v>18673000</v>
      </c>
      <c r="BA29">
        <v>9.4022576928855239E-2</v>
      </c>
    </row>
    <row r="30" spans="1:53" x14ac:dyDescent="0.25">
      <c r="A30" t="s">
        <v>463</v>
      </c>
      <c r="B30">
        <v>5565</v>
      </c>
      <c r="C30">
        <v>16178</v>
      </c>
      <c r="D30">
        <v>302</v>
      </c>
      <c r="E30">
        <v>5011</v>
      </c>
      <c r="F30">
        <v>25</v>
      </c>
      <c r="G30">
        <v>0</v>
      </c>
      <c r="H30">
        <v>2879</v>
      </c>
      <c r="I30">
        <v>0</v>
      </c>
      <c r="J30">
        <v>0</v>
      </c>
      <c r="K30">
        <v>0</v>
      </c>
      <c r="L30">
        <v>8554</v>
      </c>
      <c r="M30">
        <v>3156</v>
      </c>
      <c r="N30">
        <v>608</v>
      </c>
      <c r="O30">
        <v>24674</v>
      </c>
      <c r="P30">
        <v>8191</v>
      </c>
      <c r="Q30">
        <v>5296</v>
      </c>
      <c r="R30">
        <v>0</v>
      </c>
      <c r="S30">
        <v>0</v>
      </c>
      <c r="T30">
        <v>2783</v>
      </c>
      <c r="U30">
        <v>1334</v>
      </c>
      <c r="V30">
        <v>0</v>
      </c>
      <c r="W30">
        <v>30600</v>
      </c>
      <c r="X30">
        <v>-626</v>
      </c>
      <c r="Y30">
        <v>13444</v>
      </c>
      <c r="Z30">
        <v>1063761.1050619087</v>
      </c>
      <c r="AA30">
        <v>911795.23291020747</v>
      </c>
      <c r="AB30">
        <v>19060</v>
      </c>
      <c r="AC30">
        <v>2683</v>
      </c>
      <c r="AD30" t="s">
        <v>463</v>
      </c>
      <c r="AE30" s="232">
        <f t="shared" si="0"/>
        <v>0</v>
      </c>
      <c r="AF30" s="232">
        <f t="shared" si="1"/>
        <v>-0.25950980392156864</v>
      </c>
      <c r="AG30" s="232">
        <f t="shared" si="2"/>
        <v>0.1645751633986928</v>
      </c>
      <c r="AH30" s="232">
        <f t="shared" si="3"/>
        <v>9.4084967320261434E-2</v>
      </c>
      <c r="AI30" s="232">
        <f t="shared" si="4"/>
        <v>-0.30562026143790849</v>
      </c>
      <c r="AJ30" s="232">
        <f t="shared" si="5"/>
        <v>-2.0457516339869281E-2</v>
      </c>
      <c r="AK30" s="232">
        <f t="shared" si="6"/>
        <v>2.9797229833666911E-2</v>
      </c>
      <c r="AL30" s="232">
        <f t="shared" si="7"/>
        <v>2.1919934640522876E-2</v>
      </c>
      <c r="AM30" s="232">
        <f t="shared" si="8"/>
        <v>0.77735465253796299</v>
      </c>
      <c r="AN30" s="232">
        <v>5.0099999999999999E-2</v>
      </c>
      <c r="AO30" s="232">
        <f t="shared" si="9"/>
        <v>0.2505</v>
      </c>
      <c r="AT30" t="s">
        <v>463</v>
      </c>
      <c r="AU30">
        <v>1511000</v>
      </c>
      <c r="AV30">
        <v>811000</v>
      </c>
      <c r="AW30">
        <v>3385761.1050619087</v>
      </c>
      <c r="AX30">
        <v>1063761.1050619087</v>
      </c>
      <c r="AY30">
        <v>1063761.1050619087</v>
      </c>
      <c r="AZ30">
        <v>30600000</v>
      </c>
      <c r="BA30">
        <v>3.476343480594473E-2</v>
      </c>
    </row>
    <row r="31" spans="1:53" x14ac:dyDescent="0.25">
      <c r="A31" t="s">
        <v>609</v>
      </c>
      <c r="B31">
        <v>2933</v>
      </c>
      <c r="C31">
        <v>71688</v>
      </c>
      <c r="D31">
        <v>758</v>
      </c>
      <c r="E31">
        <v>2745</v>
      </c>
      <c r="F31">
        <v>6835</v>
      </c>
      <c r="G31">
        <v>0</v>
      </c>
      <c r="H31">
        <v>2037</v>
      </c>
      <c r="I31">
        <v>3</v>
      </c>
      <c r="J31">
        <v>0</v>
      </c>
      <c r="K31">
        <v>1125</v>
      </c>
      <c r="L31">
        <v>28</v>
      </c>
      <c r="M31">
        <v>12694</v>
      </c>
      <c r="N31">
        <v>198</v>
      </c>
      <c r="O31">
        <v>54958</v>
      </c>
      <c r="P31">
        <v>7264</v>
      </c>
      <c r="Q31">
        <v>24015</v>
      </c>
      <c r="R31">
        <v>0</v>
      </c>
      <c r="S31">
        <v>6892</v>
      </c>
      <c r="T31">
        <v>5291</v>
      </c>
      <c r="U31">
        <v>2624</v>
      </c>
      <c r="V31">
        <v>3</v>
      </c>
      <c r="W31">
        <v>88969</v>
      </c>
      <c r="X31">
        <v>2126</v>
      </c>
      <c r="Y31">
        <v>34748</v>
      </c>
      <c r="Z31">
        <v>4809219.1375734098</v>
      </c>
      <c r="AA31">
        <v>4122187.8322057799</v>
      </c>
      <c r="AB31">
        <v>64934</v>
      </c>
      <c r="AC31">
        <v>9687</v>
      </c>
      <c r="AD31" t="s">
        <v>609</v>
      </c>
      <c r="AE31" s="232">
        <f t="shared" si="0"/>
        <v>6.8207909425596763E-2</v>
      </c>
      <c r="AF31" s="232">
        <f t="shared" si="1"/>
        <v>0.17081230540974945</v>
      </c>
      <c r="AG31" s="232">
        <f t="shared" si="2"/>
        <v>0.10767795524283739</v>
      </c>
      <c r="AH31" s="232">
        <f t="shared" si="3"/>
        <v>2.2929334936888129E-2</v>
      </c>
      <c r="AI31" s="232">
        <f t="shared" si="4"/>
        <v>0.16768312558306825</v>
      </c>
      <c r="AJ31" s="232">
        <f t="shared" si="5"/>
        <v>2.3895963762658904E-2</v>
      </c>
      <c r="AK31" s="232">
        <f t="shared" si="6"/>
        <v>4.6332855626181925E-2</v>
      </c>
      <c r="AL31" s="232">
        <f t="shared" si="7"/>
        <v>2.7220155335004326E-2</v>
      </c>
      <c r="AM31" s="232">
        <f t="shared" si="8"/>
        <v>0.61579114049325046</v>
      </c>
      <c r="AN31" s="232">
        <v>3.9300000000000002E-2</v>
      </c>
      <c r="AO31" s="232">
        <f t="shared" si="9"/>
        <v>0.19650000000000001</v>
      </c>
      <c r="AT31" t="s">
        <v>144</v>
      </c>
      <c r="AU31">
        <v>1205000</v>
      </c>
      <c r="AV31">
        <v>450999.99999999994</v>
      </c>
      <c r="AW31">
        <v>2010754.9951100333</v>
      </c>
      <c r="AX31">
        <v>354754.99511003337</v>
      </c>
      <c r="AY31">
        <v>354754.99511003337</v>
      </c>
      <c r="AZ31">
        <v>27628000</v>
      </c>
      <c r="BA31">
        <v>1.2840415343493318E-2</v>
      </c>
    </row>
    <row r="32" spans="1:53" x14ac:dyDescent="0.25">
      <c r="A32" t="s">
        <v>406</v>
      </c>
      <c r="B32">
        <v>146</v>
      </c>
      <c r="C32">
        <v>36211</v>
      </c>
      <c r="D32">
        <v>185</v>
      </c>
      <c r="E32">
        <v>0</v>
      </c>
      <c r="F32">
        <v>507</v>
      </c>
      <c r="G32">
        <v>0</v>
      </c>
      <c r="H32">
        <v>14526</v>
      </c>
      <c r="I32">
        <v>0</v>
      </c>
      <c r="J32">
        <v>0</v>
      </c>
      <c r="K32">
        <v>0</v>
      </c>
      <c r="L32">
        <v>241</v>
      </c>
      <c r="M32">
        <v>7335</v>
      </c>
      <c r="N32">
        <v>462</v>
      </c>
      <c r="O32">
        <v>18912</v>
      </c>
      <c r="P32">
        <v>6379</v>
      </c>
      <c r="Q32">
        <v>28057</v>
      </c>
      <c r="R32">
        <v>27</v>
      </c>
      <c r="S32">
        <v>0</v>
      </c>
      <c r="T32">
        <v>5949</v>
      </c>
      <c r="U32">
        <v>289</v>
      </c>
      <c r="V32">
        <v>0</v>
      </c>
      <c r="W32">
        <v>44395</v>
      </c>
      <c r="X32">
        <v>2316</v>
      </c>
      <c r="Y32">
        <v>18398</v>
      </c>
      <c r="Z32">
        <v>3221756.8007749002</v>
      </c>
      <c r="AA32">
        <v>2761505.8292356287</v>
      </c>
      <c r="AB32">
        <v>34773</v>
      </c>
      <c r="AC32">
        <v>1584</v>
      </c>
      <c r="AD32" t="s">
        <v>406</v>
      </c>
      <c r="AE32" s="232">
        <f t="shared" si="0"/>
        <v>0</v>
      </c>
      <c r="AF32" s="232">
        <f t="shared" si="1"/>
        <v>0.58062844914967904</v>
      </c>
      <c r="AG32" s="232">
        <f t="shared" si="2"/>
        <v>1.1420204978038067E-2</v>
      </c>
      <c r="AH32" s="232">
        <f t="shared" si="3"/>
        <v>0.32719900889739834</v>
      </c>
      <c r="AI32" s="232">
        <f t="shared" si="4"/>
        <v>0.35295956751886481</v>
      </c>
      <c r="AJ32" s="232">
        <f t="shared" si="5"/>
        <v>5.2168036941096972E-2</v>
      </c>
      <c r="AK32" s="232">
        <f t="shared" si="6"/>
        <v>6.2203082086623014E-2</v>
      </c>
      <c r="AL32" s="232">
        <f t="shared" si="7"/>
        <v>8.919923414798964E-3</v>
      </c>
      <c r="AM32" s="232">
        <f t="shared" si="8"/>
        <v>0.42425309915622433</v>
      </c>
      <c r="AN32" s="232">
        <v>2.47E-2</v>
      </c>
      <c r="AO32" s="232">
        <f t="shared" si="9"/>
        <v>0.1235</v>
      </c>
      <c r="AT32" t="s">
        <v>609</v>
      </c>
      <c r="AU32">
        <v>3405000</v>
      </c>
      <c r="AV32">
        <v>2141999.9999999995</v>
      </c>
      <c r="AW32">
        <v>10356219.137573408</v>
      </c>
      <c r="AX32">
        <v>4809219.137573408</v>
      </c>
      <c r="AY32">
        <v>4809219.137573408</v>
      </c>
      <c r="AZ32">
        <v>88969000</v>
      </c>
      <c r="BA32">
        <v>5.4054998230545562E-2</v>
      </c>
    </row>
    <row r="33" spans="1:53" x14ac:dyDescent="0.25">
      <c r="A33" t="s">
        <v>502</v>
      </c>
      <c r="B33">
        <v>0</v>
      </c>
      <c r="C33">
        <v>18093</v>
      </c>
      <c r="D33">
        <v>700</v>
      </c>
      <c r="E33">
        <v>442</v>
      </c>
      <c r="F33">
        <v>166</v>
      </c>
      <c r="G33">
        <v>0</v>
      </c>
      <c r="H33">
        <v>3569</v>
      </c>
      <c r="I33">
        <v>0</v>
      </c>
      <c r="J33">
        <v>0</v>
      </c>
      <c r="K33">
        <v>0</v>
      </c>
      <c r="L33">
        <v>275</v>
      </c>
      <c r="M33">
        <v>3915</v>
      </c>
      <c r="N33">
        <v>2001</v>
      </c>
      <c r="O33">
        <v>13107</v>
      </c>
      <c r="P33">
        <v>3989</v>
      </c>
      <c r="Q33">
        <v>2650</v>
      </c>
      <c r="R33">
        <v>0</v>
      </c>
      <c r="S33">
        <v>5000</v>
      </c>
      <c r="T33">
        <v>1526</v>
      </c>
      <c r="U33">
        <v>2889</v>
      </c>
      <c r="V33">
        <v>0</v>
      </c>
      <c r="W33">
        <v>30572</v>
      </c>
      <c r="X33">
        <v>541</v>
      </c>
      <c r="Y33">
        <v>13106</v>
      </c>
      <c r="Z33">
        <v>1218676.1185418763</v>
      </c>
      <c r="AA33">
        <v>1044579.5301787511</v>
      </c>
      <c r="AB33">
        <v>14429</v>
      </c>
      <c r="AC33">
        <v>3664</v>
      </c>
      <c r="AD33" t="s">
        <v>502</v>
      </c>
      <c r="AE33" s="232">
        <f t="shared" si="0"/>
        <v>0.17146188402318166</v>
      </c>
      <c r="AF33" s="232">
        <f t="shared" si="1"/>
        <v>0.17224911683893759</v>
      </c>
      <c r="AG33" s="232">
        <f t="shared" si="2"/>
        <v>1.9887478738715166E-2</v>
      </c>
      <c r="AH33" s="232">
        <f t="shared" si="3"/>
        <v>0.11674080858301714</v>
      </c>
      <c r="AI33" s="232">
        <f t="shared" si="4"/>
        <v>9.2917048279471434E-2</v>
      </c>
      <c r="AJ33" s="232">
        <f t="shared" si="5"/>
        <v>1.7695930917179119E-2</v>
      </c>
      <c r="AK33" s="232">
        <f t="shared" si="6"/>
        <v>3.4167850653498338E-2</v>
      </c>
      <c r="AL33" s="232">
        <f t="shared" si="7"/>
        <v>2.9962056783985346E-2</v>
      </c>
      <c r="AM33" s="232">
        <f t="shared" si="8"/>
        <v>0.58626247385206265</v>
      </c>
      <c r="AN33" s="232">
        <v>4.58E-2</v>
      </c>
      <c r="AO33" s="232">
        <f t="shared" si="9"/>
        <v>0.22900000000000001</v>
      </c>
      <c r="AT33" t="s">
        <v>406</v>
      </c>
      <c r="AU33">
        <v>2177000</v>
      </c>
      <c r="AV33">
        <v>1581999.9999999995</v>
      </c>
      <c r="AW33">
        <v>6980756.8007748993</v>
      </c>
      <c r="AX33">
        <v>3221756.8007748998</v>
      </c>
      <c r="AY33">
        <v>3221756.8007748998</v>
      </c>
      <c r="AZ33">
        <v>44395000</v>
      </c>
      <c r="BA33">
        <v>7.2570262434393504E-2</v>
      </c>
    </row>
    <row r="34" spans="1:53" x14ac:dyDescent="0.25">
      <c r="A34" t="s">
        <v>503</v>
      </c>
      <c r="B34">
        <v>1168</v>
      </c>
      <c r="C34">
        <v>97614</v>
      </c>
      <c r="D34">
        <v>504</v>
      </c>
      <c r="E34">
        <v>3462</v>
      </c>
      <c r="F34">
        <v>6584</v>
      </c>
      <c r="G34">
        <v>0</v>
      </c>
      <c r="H34">
        <v>524</v>
      </c>
      <c r="I34">
        <v>300</v>
      </c>
      <c r="J34">
        <v>0</v>
      </c>
      <c r="K34">
        <v>0</v>
      </c>
      <c r="L34">
        <v>7</v>
      </c>
      <c r="M34">
        <v>8196</v>
      </c>
      <c r="N34">
        <v>8213</v>
      </c>
      <c r="O34">
        <v>29300</v>
      </c>
      <c r="P34">
        <v>7260</v>
      </c>
      <c r="Q34">
        <v>73797</v>
      </c>
      <c r="R34">
        <v>35</v>
      </c>
      <c r="S34">
        <v>6973</v>
      </c>
      <c r="T34">
        <v>3605</v>
      </c>
      <c r="U34">
        <v>5602</v>
      </c>
      <c r="V34">
        <v>0</v>
      </c>
      <c r="W34">
        <v>73841</v>
      </c>
      <c r="X34">
        <v>2818</v>
      </c>
      <c r="Y34">
        <v>29941</v>
      </c>
      <c r="Z34">
        <v>7114893.8663434088</v>
      </c>
      <c r="AA34">
        <v>6098480.4568657791</v>
      </c>
      <c r="AB34">
        <v>83192</v>
      </c>
      <c r="AC34">
        <v>15590</v>
      </c>
      <c r="AD34" t="s">
        <v>503</v>
      </c>
      <c r="AE34" s="232">
        <f t="shared" si="0"/>
        <v>5.5091173403280347E-2</v>
      </c>
      <c r="AF34" s="232">
        <f t="shared" si="1"/>
        <v>0.86063298167684621</v>
      </c>
      <c r="AG34" s="232">
        <f t="shared" si="2"/>
        <v>0.13604907842526509</v>
      </c>
      <c r="AH34" s="232">
        <f t="shared" si="3"/>
        <v>1.1159112146368548E-2</v>
      </c>
      <c r="AI34" s="232">
        <f t="shared" si="4"/>
        <v>0.86914749258542012</v>
      </c>
      <c r="AJ34" s="232">
        <f t="shared" si="5"/>
        <v>3.8163080131634185E-2</v>
      </c>
      <c r="AK34" s="232">
        <f t="shared" si="6"/>
        <v>8.2589353568691903E-2</v>
      </c>
      <c r="AL34" s="232">
        <f t="shared" si="7"/>
        <v>5.2782329600086671E-2</v>
      </c>
      <c r="AM34" s="232">
        <f t="shared" si="8"/>
        <v>0.28884745441329834</v>
      </c>
      <c r="AN34" s="232">
        <v>4.1999999999999997E-3</v>
      </c>
      <c r="AO34" s="232">
        <f t="shared" si="9"/>
        <v>2.0999999999999998E-2</v>
      </c>
      <c r="AT34" t="s">
        <v>502</v>
      </c>
      <c r="AU34">
        <v>1435000</v>
      </c>
      <c r="AV34">
        <v>926000.00000000012</v>
      </c>
      <c r="AW34">
        <v>3579676.1185418763</v>
      </c>
      <c r="AX34">
        <v>1218676.1185418763</v>
      </c>
      <c r="AY34">
        <v>1218676.1185418763</v>
      </c>
      <c r="AZ34">
        <v>30572000</v>
      </c>
      <c r="BA34">
        <v>3.9862492429081395E-2</v>
      </c>
    </row>
    <row r="35" spans="1:53" x14ac:dyDescent="0.25">
      <c r="A35" t="s">
        <v>407</v>
      </c>
      <c r="B35">
        <v>529</v>
      </c>
      <c r="C35">
        <v>280543</v>
      </c>
      <c r="D35">
        <v>1967</v>
      </c>
      <c r="E35">
        <v>0</v>
      </c>
      <c r="F35">
        <v>3013</v>
      </c>
      <c r="G35">
        <v>989</v>
      </c>
      <c r="H35">
        <v>2210</v>
      </c>
      <c r="I35">
        <v>1717</v>
      </c>
      <c r="J35">
        <v>0</v>
      </c>
      <c r="K35">
        <v>0</v>
      </c>
      <c r="L35">
        <v>359</v>
      </c>
      <c r="M35">
        <v>21411</v>
      </c>
      <c r="N35">
        <v>16378</v>
      </c>
      <c r="O35">
        <v>47415</v>
      </c>
      <c r="P35">
        <v>14958</v>
      </c>
      <c r="Q35">
        <v>199530</v>
      </c>
      <c r="R35">
        <v>330</v>
      </c>
      <c r="S35">
        <v>25558</v>
      </c>
      <c r="T35">
        <v>27556</v>
      </c>
      <c r="U35">
        <v>13769</v>
      </c>
      <c r="V35">
        <v>0</v>
      </c>
      <c r="W35">
        <v>252032</v>
      </c>
      <c r="X35">
        <v>-484</v>
      </c>
      <c r="Y35">
        <v>66354</v>
      </c>
      <c r="Z35">
        <v>6437790.2072526589</v>
      </c>
      <c r="AA35">
        <v>5518105.8919308512</v>
      </c>
      <c r="AB35">
        <v>223518</v>
      </c>
      <c r="AC35">
        <v>57554</v>
      </c>
      <c r="AD35" t="s">
        <v>407</v>
      </c>
      <c r="AE35" s="232">
        <f t="shared" si="0"/>
        <v>7.7656510166628182E-2</v>
      </c>
      <c r="AF35" s="232">
        <f t="shared" si="1"/>
        <v>0.8911289042661249</v>
      </c>
      <c r="AG35" s="232">
        <f t="shared" si="2"/>
        <v>1.1954831132554597E-2</v>
      </c>
      <c r="AH35" s="232">
        <f t="shared" si="3"/>
        <v>1.5581354748603352E-2</v>
      </c>
      <c r="AI35" s="232">
        <f t="shared" si="4"/>
        <v>0.88165653567800906</v>
      </c>
      <c r="AJ35" s="232">
        <f t="shared" si="5"/>
        <v>-1.9203910614525139E-3</v>
      </c>
      <c r="AK35" s="232">
        <f t="shared" si="6"/>
        <v>2.1894465353331526E-2</v>
      </c>
      <c r="AL35" s="232">
        <f t="shared" si="7"/>
        <v>5.7089972701879127E-2</v>
      </c>
      <c r="AM35" s="232">
        <f t="shared" si="8"/>
        <v>0.18951676612501367</v>
      </c>
      <c r="AN35" s="232">
        <v>3.2000000000000001E-2</v>
      </c>
      <c r="AO35" s="232">
        <f t="shared" si="9"/>
        <v>0.16</v>
      </c>
      <c r="AT35" t="s">
        <v>503</v>
      </c>
      <c r="AU35">
        <v>5846000</v>
      </c>
      <c r="AV35">
        <v>2579000</v>
      </c>
      <c r="AW35">
        <v>15539893.866343411</v>
      </c>
      <c r="AX35">
        <v>7114893.8663434107</v>
      </c>
      <c r="AY35">
        <v>7114893.8663434107</v>
      </c>
      <c r="AZ35">
        <v>73841000</v>
      </c>
      <c r="BA35">
        <v>9.6354245830140586E-2</v>
      </c>
    </row>
    <row r="36" spans="1:53" x14ac:dyDescent="0.25">
      <c r="A36" t="s">
        <v>213</v>
      </c>
      <c r="B36">
        <v>2263</v>
      </c>
      <c r="C36">
        <v>91685</v>
      </c>
      <c r="D36">
        <v>5432</v>
      </c>
      <c r="E36">
        <v>23675</v>
      </c>
      <c r="F36">
        <v>17816</v>
      </c>
      <c r="G36">
        <v>0</v>
      </c>
      <c r="H36">
        <v>5723</v>
      </c>
      <c r="I36">
        <v>-1875</v>
      </c>
      <c r="J36">
        <v>0</v>
      </c>
      <c r="K36">
        <v>32802</v>
      </c>
      <c r="L36">
        <v>-248</v>
      </c>
      <c r="M36">
        <v>13281</v>
      </c>
      <c r="N36">
        <v>9496</v>
      </c>
      <c r="O36">
        <v>102090</v>
      </c>
      <c r="P36">
        <v>11622</v>
      </c>
      <c r="Q36">
        <v>67423</v>
      </c>
      <c r="R36">
        <v>0</v>
      </c>
      <c r="S36">
        <v>7100</v>
      </c>
      <c r="T36">
        <v>2634</v>
      </c>
      <c r="U36">
        <v>9181</v>
      </c>
      <c r="V36">
        <v>-4</v>
      </c>
      <c r="W36">
        <v>104804</v>
      </c>
      <c r="X36">
        <v>1676</v>
      </c>
      <c r="Y36">
        <v>44032</v>
      </c>
      <c r="Z36">
        <v>4811257.5751174949</v>
      </c>
      <c r="AA36">
        <v>4123935.0643864241</v>
      </c>
      <c r="AB36">
        <v>89603</v>
      </c>
      <c r="AC36">
        <v>4345</v>
      </c>
      <c r="AD36" t="s">
        <v>213</v>
      </c>
      <c r="AE36" s="232">
        <f t="shared" si="0"/>
        <v>3.5491127218195452E-2</v>
      </c>
      <c r="AF36" s="232">
        <f t="shared" si="1"/>
        <v>-0.1000343498339758</v>
      </c>
      <c r="AG36" s="232">
        <f t="shared" si="2"/>
        <v>0.39589137819167208</v>
      </c>
      <c r="AH36" s="232">
        <f t="shared" si="3"/>
        <v>3.6716155871913285E-2</v>
      </c>
      <c r="AI36" s="232">
        <f t="shared" si="4"/>
        <v>-7.8228693561314455E-2</v>
      </c>
      <c r="AJ36" s="232">
        <f t="shared" si="5"/>
        <v>1.5991756039845807E-2</v>
      </c>
      <c r="AK36" s="232">
        <f t="shared" si="6"/>
        <v>3.9349023552406624E-2</v>
      </c>
      <c r="AL36" s="232">
        <f t="shared" si="7"/>
        <v>1.0364585321170948E-2</v>
      </c>
      <c r="AM36" s="232">
        <f t="shared" si="8"/>
        <v>0.56841789552611843</v>
      </c>
      <c r="AN36" s="232">
        <v>3.7100000000000001E-2</v>
      </c>
      <c r="AO36" s="232">
        <f t="shared" si="9"/>
        <v>0.1855</v>
      </c>
      <c r="AT36" t="s">
        <v>407</v>
      </c>
      <c r="AU36">
        <v>6458000</v>
      </c>
      <c r="AV36">
        <v>7789000</v>
      </c>
      <c r="AW36">
        <v>20684790.207252659</v>
      </c>
      <c r="AX36">
        <v>6437790.2072526589</v>
      </c>
      <c r="AY36">
        <v>6437790.2072526589</v>
      </c>
      <c r="AZ36">
        <v>292387000</v>
      </c>
      <c r="BA36">
        <v>2.2018045286735247E-2</v>
      </c>
    </row>
    <row r="37" spans="1:53" x14ac:dyDescent="0.25">
      <c r="A37" t="s">
        <v>408</v>
      </c>
      <c r="B37">
        <v>361</v>
      </c>
      <c r="C37">
        <v>74345</v>
      </c>
      <c r="D37">
        <v>55</v>
      </c>
      <c r="E37">
        <v>3429</v>
      </c>
      <c r="F37">
        <v>1318</v>
      </c>
      <c r="G37">
        <v>0</v>
      </c>
      <c r="H37">
        <v>10151</v>
      </c>
      <c r="I37">
        <v>14</v>
      </c>
      <c r="J37">
        <v>0</v>
      </c>
      <c r="K37">
        <v>9934</v>
      </c>
      <c r="L37">
        <v>491</v>
      </c>
      <c r="M37">
        <v>9747</v>
      </c>
      <c r="N37">
        <v>3138</v>
      </c>
      <c r="O37">
        <v>42352</v>
      </c>
      <c r="P37">
        <v>14078</v>
      </c>
      <c r="Q37">
        <v>46392</v>
      </c>
      <c r="R37">
        <v>14</v>
      </c>
      <c r="S37">
        <v>0</v>
      </c>
      <c r="T37">
        <v>7079</v>
      </c>
      <c r="U37">
        <v>3068</v>
      </c>
      <c r="V37">
        <v>1</v>
      </c>
      <c r="W37">
        <v>70614</v>
      </c>
      <c r="X37">
        <v>5937</v>
      </c>
      <c r="Y37">
        <v>30550</v>
      </c>
      <c r="Z37">
        <v>2944324.5207575504</v>
      </c>
      <c r="AA37">
        <v>2523706.7320779003</v>
      </c>
      <c r="AB37">
        <v>54141</v>
      </c>
      <c r="AC37">
        <v>20565</v>
      </c>
      <c r="AD37" t="s">
        <v>408</v>
      </c>
      <c r="AE37" s="232">
        <f t="shared" si="0"/>
        <v>0</v>
      </c>
      <c r="AF37" s="232">
        <f t="shared" si="1"/>
        <v>0.4035460390290877</v>
      </c>
      <c r="AG37" s="232">
        <f t="shared" si="2"/>
        <v>6.7224629676834624E-2</v>
      </c>
      <c r="AH37" s="232">
        <f t="shared" si="3"/>
        <v>0.1439516243237885</v>
      </c>
      <c r="AI37" s="232">
        <f t="shared" si="4"/>
        <v>0.31084685756365593</v>
      </c>
      <c r="AJ37" s="232">
        <f t="shared" si="5"/>
        <v>8.4076811963633272E-2</v>
      </c>
      <c r="AK37" s="232">
        <f t="shared" si="6"/>
        <v>3.5739467132266979E-2</v>
      </c>
      <c r="AL37" s="232">
        <f t="shared" si="7"/>
        <v>7.2807800152944177E-2</v>
      </c>
      <c r="AM37" s="232">
        <f t="shared" si="8"/>
        <v>0.49945567032208388</v>
      </c>
      <c r="AN37" s="232">
        <v>2.7199999999999998E-2</v>
      </c>
      <c r="AO37" s="232">
        <f t="shared" si="9"/>
        <v>0.13599999999999998</v>
      </c>
      <c r="AT37" t="s">
        <v>213</v>
      </c>
      <c r="AU37">
        <v>5261000</v>
      </c>
      <c r="AV37">
        <v>3697999.9999999995</v>
      </c>
      <c r="AW37">
        <v>13770257.575117495</v>
      </c>
      <c r="AX37">
        <v>4811257.5751174949</v>
      </c>
      <c r="AY37">
        <v>4811257.5751174949</v>
      </c>
      <c r="AZ37">
        <v>104804000</v>
      </c>
      <c r="BA37">
        <v>4.5907194144474396E-2</v>
      </c>
    </row>
    <row r="38" spans="1:53" x14ac:dyDescent="0.25">
      <c r="A38" t="s">
        <v>409</v>
      </c>
      <c r="B38">
        <v>1672</v>
      </c>
      <c r="C38">
        <v>73830</v>
      </c>
      <c r="D38">
        <v>77</v>
      </c>
      <c r="E38">
        <v>6346</v>
      </c>
      <c r="F38">
        <v>2076</v>
      </c>
      <c r="G38">
        <v>0</v>
      </c>
      <c r="H38">
        <v>18217</v>
      </c>
      <c r="I38">
        <v>13</v>
      </c>
      <c r="J38">
        <v>0</v>
      </c>
      <c r="K38">
        <v>12414</v>
      </c>
      <c r="L38">
        <v>435</v>
      </c>
      <c r="M38">
        <v>9021</v>
      </c>
      <c r="N38">
        <v>447</v>
      </c>
      <c r="O38">
        <v>96254</v>
      </c>
      <c r="P38">
        <v>13487</v>
      </c>
      <c r="Q38">
        <v>1916</v>
      </c>
      <c r="R38">
        <v>150</v>
      </c>
      <c r="S38">
        <v>0</v>
      </c>
      <c r="T38">
        <v>8405</v>
      </c>
      <c r="U38">
        <v>4336</v>
      </c>
      <c r="V38">
        <v>0</v>
      </c>
      <c r="W38">
        <v>70973</v>
      </c>
      <c r="X38">
        <v>-3761</v>
      </c>
      <c r="Y38">
        <v>29497</v>
      </c>
      <c r="Z38">
        <v>5081182.7594392113</v>
      </c>
      <c r="AA38">
        <v>4355299.5080907522</v>
      </c>
      <c r="AB38">
        <v>70536</v>
      </c>
      <c r="AC38">
        <v>4966</v>
      </c>
      <c r="AD38" t="s">
        <v>409</v>
      </c>
      <c r="AE38" s="232">
        <f t="shared" si="0"/>
        <v>0</v>
      </c>
      <c r="AF38" s="232">
        <f t="shared" si="1"/>
        <v>-0.22447973172896735</v>
      </c>
      <c r="AG38" s="232">
        <f t="shared" si="2"/>
        <v>0.11866484437743931</v>
      </c>
      <c r="AH38" s="232">
        <f t="shared" si="3"/>
        <v>0.25685824186662531</v>
      </c>
      <c r="AI38" s="232">
        <f t="shared" si="4"/>
        <v>-0.39004071971031234</v>
      </c>
      <c r="AJ38" s="232">
        <f t="shared" si="5"/>
        <v>-5.2991982866723963E-2</v>
      </c>
      <c r="AK38" s="232">
        <f t="shared" si="6"/>
        <v>6.1365582800371299E-2</v>
      </c>
      <c r="AL38" s="232">
        <f t="shared" si="7"/>
        <v>1.7492567596128106E-2</v>
      </c>
      <c r="AM38" s="232">
        <f t="shared" si="8"/>
        <v>0.88111410861675821</v>
      </c>
      <c r="AN38" s="232">
        <v>4.99E-2</v>
      </c>
      <c r="AO38" s="232">
        <f t="shared" si="9"/>
        <v>0.2495</v>
      </c>
      <c r="AT38" t="s">
        <v>408</v>
      </c>
      <c r="AU38">
        <v>4157999.9999999995</v>
      </c>
      <c r="AV38">
        <v>2717000</v>
      </c>
      <c r="AW38">
        <v>9819324.5207575504</v>
      </c>
      <c r="AX38">
        <v>2944324.5207575504</v>
      </c>
      <c r="AY38">
        <v>2944324.5207575504</v>
      </c>
      <c r="AZ38">
        <v>70614000</v>
      </c>
      <c r="BA38">
        <v>4.1696044987644808E-2</v>
      </c>
    </row>
    <row r="39" spans="1:53" x14ac:dyDescent="0.25">
      <c r="A39" t="s">
        <v>214</v>
      </c>
      <c r="B39">
        <v>4051</v>
      </c>
      <c r="C39">
        <v>48896</v>
      </c>
      <c r="D39">
        <v>0</v>
      </c>
      <c r="E39">
        <v>0</v>
      </c>
      <c r="F39">
        <v>7708</v>
      </c>
      <c r="G39">
        <v>346</v>
      </c>
      <c r="H39">
        <v>18434</v>
      </c>
      <c r="I39">
        <v>0</v>
      </c>
      <c r="J39">
        <v>0</v>
      </c>
      <c r="K39">
        <v>0</v>
      </c>
      <c r="L39">
        <v>5965</v>
      </c>
      <c r="M39">
        <v>2842</v>
      </c>
      <c r="N39">
        <v>5005</v>
      </c>
      <c r="O39">
        <v>-1116</v>
      </c>
      <c r="P39">
        <v>8917</v>
      </c>
      <c r="Q39">
        <v>78539</v>
      </c>
      <c r="R39">
        <v>0</v>
      </c>
      <c r="S39">
        <v>0</v>
      </c>
      <c r="T39">
        <v>1849</v>
      </c>
      <c r="U39">
        <v>5058</v>
      </c>
      <c r="V39">
        <v>0</v>
      </c>
      <c r="W39">
        <v>69371</v>
      </c>
      <c r="X39">
        <v>4629</v>
      </c>
      <c r="Y39">
        <v>25798</v>
      </c>
      <c r="Z39">
        <v>-255808.47937517054</v>
      </c>
      <c r="AA39">
        <v>-219264.41089300331</v>
      </c>
      <c r="AB39">
        <v>54737</v>
      </c>
      <c r="AC39">
        <v>-1790</v>
      </c>
      <c r="AD39" t="s">
        <v>214</v>
      </c>
      <c r="AE39" s="232">
        <f t="shared" si="0"/>
        <v>0</v>
      </c>
      <c r="AF39" s="232">
        <f t="shared" si="1"/>
        <v>0.91652131294056594</v>
      </c>
      <c r="AG39" s="232">
        <f t="shared" si="2"/>
        <v>0.11111271280506263</v>
      </c>
      <c r="AH39" s="232">
        <f t="shared" si="3"/>
        <v>0.26573063672139657</v>
      </c>
      <c r="AI39" s="232">
        <f t="shared" si="4"/>
        <v>0.7438433927721958</v>
      </c>
      <c r="AJ39" s="232">
        <f t="shared" si="5"/>
        <v>6.6728171714405149E-2</v>
      </c>
      <c r="AK39" s="232">
        <f t="shared" si="6"/>
        <v>-3.1607503264044529E-3</v>
      </c>
      <c r="AL39" s="232">
        <f t="shared" si="7"/>
        <v>-6.4508223897594098E-3</v>
      </c>
      <c r="AM39" s="232">
        <f t="shared" si="8"/>
        <v>8.3659527920469295E-2</v>
      </c>
      <c r="AN39" s="232">
        <v>1.2200000000000001E-2</v>
      </c>
      <c r="AO39" s="232">
        <f t="shared" si="9"/>
        <v>6.1000000000000006E-2</v>
      </c>
      <c r="AT39" t="s">
        <v>409</v>
      </c>
      <c r="AU39">
        <v>3157000</v>
      </c>
      <c r="AV39">
        <v>2153000</v>
      </c>
      <c r="AW39">
        <v>10391182.759439211</v>
      </c>
      <c r="AX39">
        <v>5081182.7594392113</v>
      </c>
      <c r="AY39">
        <v>5081182.7594392113</v>
      </c>
      <c r="AZ39">
        <v>70973000</v>
      </c>
      <c r="BA39">
        <v>7.1593179933766515E-2</v>
      </c>
    </row>
    <row r="40" spans="1:53" x14ac:dyDescent="0.25">
      <c r="A40" t="s">
        <v>292</v>
      </c>
      <c r="B40">
        <v>2033</v>
      </c>
      <c r="C40">
        <v>91288</v>
      </c>
      <c r="D40">
        <v>423</v>
      </c>
      <c r="E40">
        <v>15044</v>
      </c>
      <c r="F40">
        <v>1235</v>
      </c>
      <c r="G40">
        <v>0</v>
      </c>
      <c r="H40">
        <v>2250</v>
      </c>
      <c r="I40">
        <v>0</v>
      </c>
      <c r="J40">
        <v>0</v>
      </c>
      <c r="K40">
        <v>20308</v>
      </c>
      <c r="L40">
        <v>480</v>
      </c>
      <c r="M40">
        <v>14908</v>
      </c>
      <c r="N40">
        <v>818</v>
      </c>
      <c r="O40">
        <v>34747</v>
      </c>
      <c r="P40">
        <v>8618</v>
      </c>
      <c r="Q40">
        <v>96292</v>
      </c>
      <c r="R40">
        <v>31</v>
      </c>
      <c r="S40">
        <v>0</v>
      </c>
      <c r="T40">
        <v>5115</v>
      </c>
      <c r="U40">
        <v>3984</v>
      </c>
      <c r="V40">
        <v>0</v>
      </c>
      <c r="W40">
        <v>115361</v>
      </c>
      <c r="X40">
        <v>-4968</v>
      </c>
      <c r="Y40">
        <v>41077</v>
      </c>
      <c r="Z40">
        <v>3449445.4892604593</v>
      </c>
      <c r="AA40">
        <v>2956667.562223251</v>
      </c>
      <c r="AB40">
        <v>101406</v>
      </c>
      <c r="AC40">
        <v>-8085</v>
      </c>
      <c r="AD40" t="s">
        <v>292</v>
      </c>
      <c r="AE40" s="232">
        <f t="shared" si="0"/>
        <v>0</v>
      </c>
      <c r="AF40" s="232">
        <f t="shared" si="1"/>
        <v>0.45621137126065137</v>
      </c>
      <c r="AG40" s="232">
        <f t="shared" si="2"/>
        <v>0.14111354790613811</v>
      </c>
      <c r="AH40" s="232">
        <f t="shared" si="3"/>
        <v>1.9503991816991879E-2</v>
      </c>
      <c r="AI40" s="232">
        <f t="shared" si="4"/>
        <v>0.45949220273749364</v>
      </c>
      <c r="AJ40" s="232">
        <f t="shared" si="5"/>
        <v>-4.3064813931918064E-2</v>
      </c>
      <c r="AK40" s="232">
        <f t="shared" si="6"/>
        <v>2.562969775074116E-2</v>
      </c>
      <c r="AL40" s="232">
        <f t="shared" si="7"/>
        <v>-1.7521085982264369E-2</v>
      </c>
      <c r="AM40" s="232">
        <f t="shared" si="8"/>
        <v>0.29145691491864206</v>
      </c>
      <c r="AN40" s="232">
        <v>3.6799999999999999E-2</v>
      </c>
      <c r="AO40" s="232">
        <f t="shared" si="9"/>
        <v>0.184</v>
      </c>
      <c r="AT40" t="s">
        <v>214</v>
      </c>
      <c r="AU40">
        <v>4307000.0000000009</v>
      </c>
      <c r="AV40">
        <v>3149000.0000000005</v>
      </c>
      <c r="AW40">
        <v>7200191.5206248304</v>
      </c>
      <c r="AX40">
        <v>-255808.47937517101</v>
      </c>
      <c r="AY40">
        <v>0</v>
      </c>
      <c r="AZ40">
        <v>69371000</v>
      </c>
      <c r="BA40">
        <v>-3.6875420474718687E-3</v>
      </c>
    </row>
    <row r="41" spans="1:53" x14ac:dyDescent="0.25">
      <c r="A41" t="s">
        <v>410</v>
      </c>
      <c r="B41">
        <v>6457</v>
      </c>
      <c r="C41">
        <v>47425</v>
      </c>
      <c r="D41">
        <v>159</v>
      </c>
      <c r="E41">
        <v>0</v>
      </c>
      <c r="F41">
        <v>1359</v>
      </c>
      <c r="G41">
        <v>0</v>
      </c>
      <c r="H41">
        <v>2117</v>
      </c>
      <c r="I41">
        <v>0</v>
      </c>
      <c r="J41">
        <v>0</v>
      </c>
      <c r="K41">
        <v>7989</v>
      </c>
      <c r="L41">
        <v>1191</v>
      </c>
      <c r="M41">
        <v>6736</v>
      </c>
      <c r="N41">
        <v>1076</v>
      </c>
      <c r="O41">
        <v>22218</v>
      </c>
      <c r="P41">
        <v>5921</v>
      </c>
      <c r="Q41">
        <v>41003</v>
      </c>
      <c r="R41">
        <v>2</v>
      </c>
      <c r="S41">
        <v>0</v>
      </c>
      <c r="T41">
        <v>3379</v>
      </c>
      <c r="U41">
        <v>1986</v>
      </c>
      <c r="V41">
        <v>2</v>
      </c>
      <c r="W41">
        <v>47780</v>
      </c>
      <c r="X41">
        <v>528</v>
      </c>
      <c r="Y41">
        <v>20144</v>
      </c>
      <c r="Z41">
        <v>3849996.1478133602</v>
      </c>
      <c r="AA41">
        <v>3299996.6981257373</v>
      </c>
      <c r="AB41">
        <v>40818</v>
      </c>
      <c r="AC41">
        <v>13064</v>
      </c>
      <c r="AD41" t="s">
        <v>410</v>
      </c>
      <c r="AE41" s="232">
        <f t="shared" si="0"/>
        <v>0</v>
      </c>
      <c r="AF41" s="232">
        <f t="shared" si="1"/>
        <v>0.58641691084135616</v>
      </c>
      <c r="AG41" s="232">
        <f t="shared" si="2"/>
        <v>2.8442863122645459E-2</v>
      </c>
      <c r="AH41" s="232">
        <f t="shared" si="3"/>
        <v>4.4307241523650065E-2</v>
      </c>
      <c r="AI41" s="232">
        <f t="shared" si="4"/>
        <v>0.55881498534951857</v>
      </c>
      <c r="AJ41" s="232">
        <f t="shared" si="5"/>
        <v>1.1050648807032231E-2</v>
      </c>
      <c r="AK41" s="232">
        <f t="shared" si="6"/>
        <v>6.906648593816947E-2</v>
      </c>
      <c r="AL41" s="232">
        <f t="shared" si="7"/>
        <v>6.8354960234407708E-2</v>
      </c>
      <c r="AM41" s="232">
        <f t="shared" si="8"/>
        <v>0.37765907474264854</v>
      </c>
      <c r="AN41" s="232">
        <v>3.8399999999999997E-2</v>
      </c>
      <c r="AO41" s="232">
        <f t="shared" si="9"/>
        <v>0.19199999999999998</v>
      </c>
      <c r="AT41" t="s">
        <v>292</v>
      </c>
      <c r="AU41">
        <v>4246000</v>
      </c>
      <c r="AV41">
        <v>4576000.0000000009</v>
      </c>
      <c r="AW41">
        <v>12271445.489260459</v>
      </c>
      <c r="AX41">
        <v>3449445.4892604584</v>
      </c>
      <c r="AY41">
        <v>3449445.4892604584</v>
      </c>
      <c r="AZ41">
        <v>115361000</v>
      </c>
      <c r="BA41">
        <v>2.9901314042531345E-2</v>
      </c>
    </row>
    <row r="42" spans="1:53" x14ac:dyDescent="0.25">
      <c r="A42" t="s">
        <v>293</v>
      </c>
      <c r="B42">
        <v>56</v>
      </c>
      <c r="C42">
        <v>21328</v>
      </c>
      <c r="D42">
        <v>0</v>
      </c>
      <c r="E42">
        <v>14</v>
      </c>
      <c r="F42">
        <v>2544</v>
      </c>
      <c r="G42">
        <v>0</v>
      </c>
      <c r="H42">
        <v>16666</v>
      </c>
      <c r="I42">
        <v>0</v>
      </c>
      <c r="J42">
        <v>0</v>
      </c>
      <c r="K42">
        <v>20801</v>
      </c>
      <c r="L42">
        <v>1017</v>
      </c>
      <c r="M42">
        <v>6622</v>
      </c>
      <c r="N42">
        <v>1800</v>
      </c>
      <c r="O42">
        <v>33991</v>
      </c>
      <c r="P42">
        <v>2874</v>
      </c>
      <c r="Q42">
        <v>29000</v>
      </c>
      <c r="R42">
        <v>3</v>
      </c>
      <c r="S42">
        <v>0</v>
      </c>
      <c r="T42">
        <v>2398</v>
      </c>
      <c r="U42">
        <v>2582</v>
      </c>
      <c r="V42">
        <v>1</v>
      </c>
      <c r="W42">
        <v>40577</v>
      </c>
      <c r="X42">
        <v>8789</v>
      </c>
      <c r="Y42">
        <v>10795</v>
      </c>
      <c r="Z42">
        <v>1898493.5286367582</v>
      </c>
      <c r="AA42">
        <v>1627280.1674029357</v>
      </c>
      <c r="AB42">
        <v>21495</v>
      </c>
      <c r="AC42">
        <v>-111</v>
      </c>
      <c r="AD42" t="s">
        <v>293</v>
      </c>
      <c r="AE42" s="232">
        <f t="shared" si="0"/>
        <v>0</v>
      </c>
      <c r="AF42" s="232">
        <f t="shared" si="1"/>
        <v>2.920373610666141E-2</v>
      </c>
      <c r="AG42" s="232">
        <f t="shared" si="2"/>
        <v>6.3040638785518896E-2</v>
      </c>
      <c r="AH42" s="232">
        <f t="shared" si="3"/>
        <v>0.41072528772457301</v>
      </c>
      <c r="AI42" s="232">
        <f t="shared" si="4"/>
        <v>-0.25073908864627742</v>
      </c>
      <c r="AJ42" s="232">
        <f t="shared" si="5"/>
        <v>0.21660053725016634</v>
      </c>
      <c r="AK42" s="232">
        <f t="shared" si="6"/>
        <v>4.0103511038345259E-2</v>
      </c>
      <c r="AL42" s="232">
        <f t="shared" si="7"/>
        <v>-6.8388495945979249E-4</v>
      </c>
      <c r="AM42" s="232">
        <f t="shared" si="8"/>
        <v>0.52033931797651312</v>
      </c>
      <c r="AN42" s="232">
        <v>6.6E-3</v>
      </c>
      <c r="AO42" s="232">
        <f t="shared" si="9"/>
        <v>3.3000000000000002E-2</v>
      </c>
      <c r="AT42" t="s">
        <v>336</v>
      </c>
      <c r="AU42">
        <v>2794000</v>
      </c>
      <c r="AV42">
        <v>2548000</v>
      </c>
      <c r="AW42">
        <v>9114147.2102353945</v>
      </c>
      <c r="AX42">
        <v>3772147.2102353945</v>
      </c>
      <c r="AY42">
        <v>3772147.2102353945</v>
      </c>
      <c r="AZ42">
        <v>52671000</v>
      </c>
      <c r="BA42">
        <v>7.1617155744819624E-2</v>
      </c>
    </row>
    <row r="43" spans="1:53" x14ac:dyDescent="0.25">
      <c r="A43" t="s">
        <v>294</v>
      </c>
      <c r="B43">
        <v>0</v>
      </c>
      <c r="C43">
        <v>60873</v>
      </c>
      <c r="D43">
        <v>379</v>
      </c>
      <c r="E43">
        <v>0</v>
      </c>
      <c r="F43">
        <v>224</v>
      </c>
      <c r="G43">
        <v>0</v>
      </c>
      <c r="H43">
        <v>0</v>
      </c>
      <c r="I43">
        <v>0</v>
      </c>
      <c r="J43">
        <v>0</v>
      </c>
      <c r="K43">
        <v>2114</v>
      </c>
      <c r="L43">
        <v>99</v>
      </c>
      <c r="M43">
        <v>6111</v>
      </c>
      <c r="N43">
        <v>2361</v>
      </c>
      <c r="O43">
        <v>30259</v>
      </c>
      <c r="P43">
        <v>3654</v>
      </c>
      <c r="Q43">
        <v>29950</v>
      </c>
      <c r="R43">
        <v>6</v>
      </c>
      <c r="S43">
        <v>0</v>
      </c>
      <c r="T43">
        <v>5379</v>
      </c>
      <c r="U43">
        <v>2913</v>
      </c>
      <c r="V43">
        <v>0</v>
      </c>
      <c r="W43">
        <v>50218</v>
      </c>
      <c r="X43">
        <v>2861</v>
      </c>
      <c r="Y43">
        <v>23208</v>
      </c>
      <c r="Z43">
        <v>6367089.7695866022</v>
      </c>
      <c r="AA43">
        <v>5457505.5167885162</v>
      </c>
      <c r="AB43">
        <v>54636</v>
      </c>
      <c r="AC43">
        <v>6237</v>
      </c>
      <c r="AD43" t="s">
        <v>294</v>
      </c>
      <c r="AE43" s="232">
        <f t="shared" si="0"/>
        <v>0</v>
      </c>
      <c r="AF43" s="232">
        <f t="shared" si="1"/>
        <v>0.54440638814767617</v>
      </c>
      <c r="AG43" s="232">
        <f t="shared" si="2"/>
        <v>4.460551993309172E-3</v>
      </c>
      <c r="AH43" s="232">
        <f t="shared" si="3"/>
        <v>0</v>
      </c>
      <c r="AI43" s="232">
        <f t="shared" si="4"/>
        <v>0.54494165438687325</v>
      </c>
      <c r="AJ43" s="232">
        <f t="shared" si="5"/>
        <v>5.697160380739974E-2</v>
      </c>
      <c r="AK43" s="232">
        <f t="shared" si="6"/>
        <v>0.10867628174735187</v>
      </c>
      <c r="AL43" s="232">
        <f t="shared" si="7"/>
        <v>3.1049623640925565E-2</v>
      </c>
      <c r="AM43" s="232">
        <f t="shared" si="8"/>
        <v>0.46996299940411024</v>
      </c>
      <c r="AN43" s="232">
        <v>1.2200000000000001E-2</v>
      </c>
      <c r="AO43" s="232">
        <f t="shared" si="9"/>
        <v>6.1000000000000006E-2</v>
      </c>
      <c r="AT43" t="s">
        <v>410</v>
      </c>
      <c r="AU43">
        <v>2200999.9999999995</v>
      </c>
      <c r="AV43">
        <v>1970999.9999999998</v>
      </c>
      <c r="AW43">
        <v>8021996.1478133602</v>
      </c>
      <c r="AX43">
        <v>3849996.1478133611</v>
      </c>
      <c r="AY43">
        <v>3849996.1478133611</v>
      </c>
      <c r="AZ43">
        <v>47780000</v>
      </c>
      <c r="BA43">
        <v>8.05775669278644E-2</v>
      </c>
    </row>
    <row r="44" spans="1:53" x14ac:dyDescent="0.25">
      <c r="A44" t="s">
        <v>337</v>
      </c>
      <c r="B44">
        <v>232</v>
      </c>
      <c r="C44">
        <v>128502</v>
      </c>
      <c r="D44">
        <v>546</v>
      </c>
      <c r="E44">
        <v>0</v>
      </c>
      <c r="F44">
        <v>1615</v>
      </c>
      <c r="G44">
        <v>0</v>
      </c>
      <c r="H44">
        <v>8929</v>
      </c>
      <c r="I44">
        <v>2426</v>
      </c>
      <c r="J44">
        <v>0</v>
      </c>
      <c r="K44">
        <v>14718</v>
      </c>
      <c r="L44">
        <v>7106</v>
      </c>
      <c r="M44">
        <v>16146</v>
      </c>
      <c r="N44">
        <v>4864</v>
      </c>
      <c r="O44">
        <v>15731</v>
      </c>
      <c r="P44">
        <v>7481</v>
      </c>
      <c r="Q44">
        <v>145514</v>
      </c>
      <c r="R44">
        <v>7</v>
      </c>
      <c r="S44">
        <v>0</v>
      </c>
      <c r="T44">
        <v>7392</v>
      </c>
      <c r="U44">
        <v>8959</v>
      </c>
      <c r="V44">
        <v>2</v>
      </c>
      <c r="W44">
        <v>97783</v>
      </c>
      <c r="X44">
        <v>7707</v>
      </c>
      <c r="Y44">
        <v>33948</v>
      </c>
      <c r="Z44">
        <v>2885264.8345318306</v>
      </c>
      <c r="AA44">
        <v>2473084.1438844264</v>
      </c>
      <c r="AB44">
        <v>115405</v>
      </c>
      <c r="AC44">
        <v>13329</v>
      </c>
      <c r="AD44" t="s">
        <v>337</v>
      </c>
      <c r="AE44" s="232">
        <f t="shared" si="0"/>
        <v>0</v>
      </c>
      <c r="AF44" s="232">
        <f t="shared" si="1"/>
        <v>1.2008529089923607</v>
      </c>
      <c r="AG44" s="232">
        <f t="shared" si="2"/>
        <v>1.6516163341276091E-2</v>
      </c>
      <c r="AH44" s="232">
        <f t="shared" si="3"/>
        <v>0.11612447971528793</v>
      </c>
      <c r="AI44" s="232">
        <f t="shared" si="4"/>
        <v>1.1215477127926123</v>
      </c>
      <c r="AJ44" s="232">
        <f t="shared" si="5"/>
        <v>7.8817381344405468E-2</v>
      </c>
      <c r="AK44" s="232">
        <f t="shared" si="6"/>
        <v>2.5291555218027943E-2</v>
      </c>
      <c r="AL44" s="232">
        <f t="shared" si="7"/>
        <v>3.4078009469948767E-2</v>
      </c>
      <c r="AM44" s="232">
        <f t="shared" si="8"/>
        <v>0.12541332584123965</v>
      </c>
      <c r="AN44" s="232">
        <v>2.0500000000000001E-2</v>
      </c>
      <c r="AO44" s="232">
        <f t="shared" si="9"/>
        <v>0.10250000000000001</v>
      </c>
      <c r="AT44" t="s">
        <v>293</v>
      </c>
      <c r="AU44">
        <v>3256000</v>
      </c>
      <c r="AV44">
        <v>1331000</v>
      </c>
      <c r="AW44">
        <v>6485493.5286367591</v>
      </c>
      <c r="AX44">
        <v>1898493.5286367591</v>
      </c>
      <c r="AY44">
        <v>1898493.5286367591</v>
      </c>
      <c r="AZ44">
        <v>40577000</v>
      </c>
      <c r="BA44">
        <v>4.6787429544736157E-2</v>
      </c>
    </row>
    <row r="45" spans="1:53" x14ac:dyDescent="0.25">
      <c r="A45" t="s">
        <v>411</v>
      </c>
      <c r="B45">
        <v>152</v>
      </c>
      <c r="C45">
        <v>18861</v>
      </c>
      <c r="D45">
        <v>1</v>
      </c>
      <c r="E45">
        <v>57</v>
      </c>
      <c r="F45">
        <v>154</v>
      </c>
      <c r="G45">
        <v>1290</v>
      </c>
      <c r="H45">
        <v>9567</v>
      </c>
      <c r="I45">
        <v>0</v>
      </c>
      <c r="J45">
        <v>0</v>
      </c>
      <c r="K45">
        <v>0</v>
      </c>
      <c r="L45">
        <v>2</v>
      </c>
      <c r="M45">
        <v>2515</v>
      </c>
      <c r="N45">
        <v>128</v>
      </c>
      <c r="O45">
        <v>12123</v>
      </c>
      <c r="P45">
        <v>1460</v>
      </c>
      <c r="Q45">
        <v>14230</v>
      </c>
      <c r="R45">
        <v>115</v>
      </c>
      <c r="S45">
        <v>1430</v>
      </c>
      <c r="T45">
        <v>1900</v>
      </c>
      <c r="U45">
        <v>1469</v>
      </c>
      <c r="V45">
        <v>0</v>
      </c>
      <c r="W45">
        <v>31934</v>
      </c>
      <c r="X45">
        <v>3204</v>
      </c>
      <c r="Y45">
        <v>10502</v>
      </c>
      <c r="Z45">
        <v>608135.89905066974</v>
      </c>
      <c r="AA45">
        <v>521259.34204343118</v>
      </c>
      <c r="AB45">
        <v>43512</v>
      </c>
      <c r="AC45">
        <v>-24499</v>
      </c>
      <c r="AD45" t="s">
        <v>411</v>
      </c>
      <c r="AE45" s="232">
        <f t="shared" si="0"/>
        <v>4.3694808567849179E-2</v>
      </c>
      <c r="AF45" s="232">
        <f t="shared" si="1"/>
        <v>0.46965616584204922</v>
      </c>
      <c r="AG45" s="232">
        <f t="shared" si="2"/>
        <v>6.6073777165403646E-3</v>
      </c>
      <c r="AH45" s="232">
        <f t="shared" si="3"/>
        <v>0.29958664746038705</v>
      </c>
      <c r="AI45" s="232">
        <f t="shared" si="4"/>
        <v>0.26073839794576315</v>
      </c>
      <c r="AJ45" s="232">
        <f t="shared" si="5"/>
        <v>0.10033193461514374</v>
      </c>
      <c r="AK45" s="232">
        <f t="shared" si="6"/>
        <v>1.6323020668987009E-2</v>
      </c>
      <c r="AL45" s="232">
        <f t="shared" si="7"/>
        <v>-0.19179401265109289</v>
      </c>
      <c r="AM45" s="232">
        <f t="shared" si="8"/>
        <v>0.41503956977419254</v>
      </c>
      <c r="AN45" s="232">
        <v>2.1499999999999998E-2</v>
      </c>
      <c r="AO45" s="232">
        <f t="shared" si="9"/>
        <v>0.10749999999999998</v>
      </c>
      <c r="AT45" t="s">
        <v>294</v>
      </c>
      <c r="AU45">
        <v>6267000</v>
      </c>
      <c r="AV45">
        <v>1521000</v>
      </c>
      <c r="AW45">
        <v>14155089.769586602</v>
      </c>
      <c r="AX45">
        <v>6367089.7695866022</v>
      </c>
      <c r="AY45">
        <v>6367089.7695866022</v>
      </c>
      <c r="AZ45">
        <v>50218000</v>
      </c>
      <c r="BA45">
        <v>0.12678899537191052</v>
      </c>
    </row>
    <row r="46" spans="1:53" x14ac:dyDescent="0.25">
      <c r="A46" t="s">
        <v>131</v>
      </c>
      <c r="B46">
        <v>14</v>
      </c>
      <c r="C46">
        <v>54507</v>
      </c>
      <c r="D46">
        <v>204</v>
      </c>
      <c r="E46">
        <v>2176</v>
      </c>
      <c r="F46">
        <v>511</v>
      </c>
      <c r="G46">
        <v>0</v>
      </c>
      <c r="H46">
        <v>4109</v>
      </c>
      <c r="I46">
        <v>0</v>
      </c>
      <c r="J46">
        <v>104</v>
      </c>
      <c r="K46">
        <v>128</v>
      </c>
      <c r="L46">
        <v>-1009</v>
      </c>
      <c r="M46">
        <v>7657</v>
      </c>
      <c r="N46">
        <v>1935</v>
      </c>
      <c r="O46">
        <v>24488</v>
      </c>
      <c r="P46">
        <v>2950</v>
      </c>
      <c r="Q46">
        <v>34520</v>
      </c>
      <c r="R46">
        <v>5</v>
      </c>
      <c r="S46">
        <v>0</v>
      </c>
      <c r="T46">
        <v>5121</v>
      </c>
      <c r="U46">
        <v>3252</v>
      </c>
      <c r="V46">
        <v>-2</v>
      </c>
      <c r="W46">
        <v>64134</v>
      </c>
      <c r="X46">
        <v>239</v>
      </c>
      <c r="Y46">
        <v>25351</v>
      </c>
      <c r="Z46">
        <v>388789.31852444634</v>
      </c>
      <c r="AA46">
        <v>333247.98730666831</v>
      </c>
      <c r="AB46">
        <v>54676</v>
      </c>
      <c r="AC46">
        <v>-155</v>
      </c>
      <c r="AD46" t="s">
        <v>131</v>
      </c>
      <c r="AE46" s="232">
        <f t="shared" si="0"/>
        <v>0</v>
      </c>
      <c r="AF46" s="232">
        <f t="shared" si="1"/>
        <v>0.4895375307948982</v>
      </c>
      <c r="AG46" s="232">
        <f t="shared" si="2"/>
        <v>4.1896653880936788E-2</v>
      </c>
      <c r="AH46" s="232">
        <f t="shared" si="3"/>
        <v>6.4068980571927531E-2</v>
      </c>
      <c r="AI46" s="232">
        <f t="shared" si="4"/>
        <v>0.44971684286026137</v>
      </c>
      <c r="AJ46" s="232">
        <f t="shared" si="5"/>
        <v>3.7265724888514672E-3</v>
      </c>
      <c r="AK46" s="232">
        <f t="shared" si="6"/>
        <v>5.1961204245278367E-3</v>
      </c>
      <c r="AL46" s="232">
        <f t="shared" si="7"/>
        <v>-6.042036985062525E-4</v>
      </c>
      <c r="AM46" s="232">
        <f t="shared" si="8"/>
        <v>0.39009895359417651</v>
      </c>
      <c r="AN46" s="232">
        <v>4.24E-2</v>
      </c>
      <c r="AO46" s="232">
        <f t="shared" si="9"/>
        <v>0.21199999999999999</v>
      </c>
      <c r="AT46" t="s">
        <v>337</v>
      </c>
      <c r="AU46">
        <v>5598000</v>
      </c>
      <c r="AV46">
        <v>3039000.0000000005</v>
      </c>
      <c r="AW46">
        <v>11522264.834531831</v>
      </c>
      <c r="AX46">
        <v>2885264.8345318302</v>
      </c>
      <c r="AY46">
        <v>2885264.8345318302</v>
      </c>
      <c r="AZ46">
        <v>97783000</v>
      </c>
      <c r="BA46">
        <v>2.9506814421032593E-2</v>
      </c>
    </row>
    <row r="47" spans="1:53" x14ac:dyDescent="0.25">
      <c r="A47" t="s">
        <v>186</v>
      </c>
      <c r="B47">
        <v>398</v>
      </c>
      <c r="C47">
        <v>48107</v>
      </c>
      <c r="D47">
        <v>1279</v>
      </c>
      <c r="E47">
        <v>0</v>
      </c>
      <c r="F47">
        <v>2274</v>
      </c>
      <c r="G47">
        <v>0</v>
      </c>
      <c r="H47">
        <v>86396</v>
      </c>
      <c r="I47">
        <v>0</v>
      </c>
      <c r="J47">
        <v>0</v>
      </c>
      <c r="K47">
        <v>0</v>
      </c>
      <c r="L47">
        <v>531</v>
      </c>
      <c r="M47">
        <v>4107</v>
      </c>
      <c r="N47">
        <v>9894</v>
      </c>
      <c r="O47">
        <v>45189</v>
      </c>
      <c r="P47">
        <v>14337</v>
      </c>
      <c r="Q47">
        <v>75625</v>
      </c>
      <c r="R47">
        <v>77</v>
      </c>
      <c r="S47">
        <v>7922</v>
      </c>
      <c r="T47">
        <v>9827</v>
      </c>
      <c r="U47">
        <v>9</v>
      </c>
      <c r="V47">
        <v>-10</v>
      </c>
      <c r="W47">
        <v>78514</v>
      </c>
      <c r="X47">
        <v>-1033</v>
      </c>
      <c r="Y47">
        <v>23124</v>
      </c>
      <c r="Z47">
        <v>587497.35485680494</v>
      </c>
      <c r="AA47">
        <v>503569.16130583285</v>
      </c>
      <c r="AB47">
        <v>42886</v>
      </c>
      <c r="AC47">
        <v>5619</v>
      </c>
      <c r="AD47" t="s">
        <v>186</v>
      </c>
      <c r="AE47" s="232">
        <f t="shared" si="0"/>
        <v>5.1782516047220006E-2</v>
      </c>
      <c r="AF47" s="232">
        <f t="shared" si="1"/>
        <v>0.97630995745981608</v>
      </c>
      <c r="AG47" s="232">
        <f t="shared" si="2"/>
        <v>2.8962987492676465E-2</v>
      </c>
      <c r="AH47" s="232">
        <f t="shared" si="3"/>
        <v>1.1003897394095321</v>
      </c>
      <c r="AI47" s="232">
        <f t="shared" si="4"/>
        <v>0.20951269837226483</v>
      </c>
      <c r="AJ47" s="232">
        <f t="shared" si="5"/>
        <v>-1.315688921720967E-2</v>
      </c>
      <c r="AK47" s="232">
        <f t="shared" si="6"/>
        <v>6.4137499211074818E-3</v>
      </c>
      <c r="AL47" s="232">
        <f t="shared" si="7"/>
        <v>1.7891713579743739E-2</v>
      </c>
      <c r="AM47" s="232">
        <f t="shared" si="8"/>
        <v>0.3890944269410273</v>
      </c>
      <c r="AN47" s="232">
        <v>3.1E-2</v>
      </c>
      <c r="AO47" s="232">
        <f t="shared" si="9"/>
        <v>0.155</v>
      </c>
      <c r="AT47" t="s">
        <v>411</v>
      </c>
      <c r="AU47">
        <v>1599000</v>
      </c>
      <c r="AV47">
        <v>1191000</v>
      </c>
      <c r="AW47">
        <v>3398135.8990506702</v>
      </c>
      <c r="AX47">
        <v>608135.89905067021</v>
      </c>
      <c r="AY47">
        <v>608135.89905067021</v>
      </c>
      <c r="AZ47">
        <v>28585000</v>
      </c>
      <c r="BA47">
        <v>2.1274651007544873E-2</v>
      </c>
    </row>
    <row r="48" spans="1:53" x14ac:dyDescent="0.25">
      <c r="A48" t="s">
        <v>389</v>
      </c>
      <c r="B48">
        <v>674</v>
      </c>
      <c r="C48">
        <v>33536</v>
      </c>
      <c r="D48">
        <v>284</v>
      </c>
      <c r="E48">
        <v>0</v>
      </c>
      <c r="F48">
        <v>4608</v>
      </c>
      <c r="G48">
        <v>0</v>
      </c>
      <c r="H48">
        <v>2340</v>
      </c>
      <c r="I48">
        <v>322</v>
      </c>
      <c r="J48">
        <v>0</v>
      </c>
      <c r="K48">
        <v>3919</v>
      </c>
      <c r="L48">
        <v>116</v>
      </c>
      <c r="M48">
        <v>6249</v>
      </c>
      <c r="N48">
        <v>93</v>
      </c>
      <c r="O48">
        <v>26310</v>
      </c>
      <c r="P48">
        <v>3894</v>
      </c>
      <c r="Q48">
        <v>12372</v>
      </c>
      <c r="R48">
        <v>0</v>
      </c>
      <c r="S48">
        <v>3999</v>
      </c>
      <c r="T48">
        <v>5368</v>
      </c>
      <c r="U48">
        <v>198</v>
      </c>
      <c r="V48">
        <v>3</v>
      </c>
      <c r="W48">
        <v>54931</v>
      </c>
      <c r="X48">
        <v>2333</v>
      </c>
      <c r="Y48">
        <v>22716</v>
      </c>
      <c r="Z48">
        <v>2086610.4629808273</v>
      </c>
      <c r="AA48">
        <v>1788523.2539835661</v>
      </c>
      <c r="AB48">
        <v>35814</v>
      </c>
      <c r="AC48">
        <v>-1604</v>
      </c>
      <c r="AD48" t="s">
        <v>389</v>
      </c>
      <c r="AE48" s="232">
        <f t="shared" si="0"/>
        <v>7.6695882319096298E-2</v>
      </c>
      <c r="AF48" s="232">
        <f t="shared" si="1"/>
        <v>0.12655877373432123</v>
      </c>
      <c r="AG48" s="232">
        <f t="shared" si="2"/>
        <v>8.388705830951558E-2</v>
      </c>
      <c r="AH48" s="232">
        <f t="shared" si="3"/>
        <v>4.8460796271686299E-2</v>
      </c>
      <c r="AI48" s="232">
        <f t="shared" si="4"/>
        <v>0.1027026633412827</v>
      </c>
      <c r="AJ48" s="232">
        <f t="shared" si="5"/>
        <v>4.24714642005425E-2</v>
      </c>
      <c r="AK48" s="232">
        <f t="shared" si="6"/>
        <v>3.2559451930304677E-2</v>
      </c>
      <c r="AL48" s="232">
        <f t="shared" si="7"/>
        <v>-7.3000673572299795E-3</v>
      </c>
      <c r="AM48" s="232">
        <f t="shared" si="8"/>
        <v>0.57927542624805817</v>
      </c>
      <c r="AN48" s="232">
        <v>4.5499999999999999E-2</v>
      </c>
      <c r="AO48" s="232">
        <f t="shared" si="9"/>
        <v>0.22749999999999998</v>
      </c>
      <c r="AT48" t="s">
        <v>131</v>
      </c>
      <c r="AU48">
        <v>4335999.9999999991</v>
      </c>
      <c r="AV48">
        <v>1587000</v>
      </c>
      <c r="AW48">
        <v>6311789.3185244463</v>
      </c>
      <c r="AX48">
        <v>388789.31852444727</v>
      </c>
      <c r="AY48">
        <v>388789.31852444727</v>
      </c>
      <c r="AZ48">
        <v>64134000</v>
      </c>
      <c r="BA48">
        <v>6.062140495282491E-3</v>
      </c>
    </row>
    <row r="49" spans="1:53" x14ac:dyDescent="0.25">
      <c r="A49" t="s">
        <v>412</v>
      </c>
      <c r="B49">
        <v>3987</v>
      </c>
      <c r="C49">
        <v>83215</v>
      </c>
      <c r="D49">
        <v>135</v>
      </c>
      <c r="E49">
        <v>0</v>
      </c>
      <c r="F49">
        <v>3715</v>
      </c>
      <c r="G49">
        <v>0</v>
      </c>
      <c r="H49">
        <v>37726</v>
      </c>
      <c r="I49">
        <v>0</v>
      </c>
      <c r="J49">
        <v>0</v>
      </c>
      <c r="K49">
        <v>0</v>
      </c>
      <c r="L49">
        <v>3624</v>
      </c>
      <c r="M49">
        <v>5091</v>
      </c>
      <c r="N49">
        <v>617</v>
      </c>
      <c r="O49">
        <v>39293</v>
      </c>
      <c r="P49">
        <v>5552</v>
      </c>
      <c r="Q49">
        <v>77202</v>
      </c>
      <c r="R49">
        <v>0</v>
      </c>
      <c r="S49">
        <v>0</v>
      </c>
      <c r="T49">
        <v>11070</v>
      </c>
      <c r="U49">
        <v>4993</v>
      </c>
      <c r="V49">
        <v>3</v>
      </c>
      <c r="W49">
        <v>66698</v>
      </c>
      <c r="X49">
        <v>1348</v>
      </c>
      <c r="Y49">
        <v>28853</v>
      </c>
      <c r="Z49">
        <v>3498377.6768022794</v>
      </c>
      <c r="AA49">
        <v>2998609.4372590967</v>
      </c>
      <c r="AB49">
        <v>84539</v>
      </c>
      <c r="AC49">
        <v>2663</v>
      </c>
      <c r="AD49" t="s">
        <v>412</v>
      </c>
      <c r="AE49" s="232">
        <f t="shared" si="0"/>
        <v>0</v>
      </c>
      <c r="AF49" s="232">
        <f t="shared" si="1"/>
        <v>1.2027047287774746</v>
      </c>
      <c r="AG49" s="232">
        <f t="shared" si="2"/>
        <v>5.5698821553869682E-2</v>
      </c>
      <c r="AH49" s="232">
        <f t="shared" si="3"/>
        <v>0.56562415664637622</v>
      </c>
      <c r="AI49" s="232">
        <f t="shared" si="4"/>
        <v>0.81345167771147564</v>
      </c>
      <c r="AJ49" s="232">
        <f t="shared" si="5"/>
        <v>2.0210501064499686E-2</v>
      </c>
      <c r="AK49" s="232">
        <f t="shared" si="6"/>
        <v>4.4958011293578466E-2</v>
      </c>
      <c r="AL49" s="232">
        <f t="shared" si="7"/>
        <v>9.9815586674263101E-3</v>
      </c>
      <c r="AM49" s="232">
        <f t="shared" si="8"/>
        <v>0.32470494533342986</v>
      </c>
      <c r="AN49" s="232">
        <v>1.44E-2</v>
      </c>
      <c r="AO49" s="232">
        <f t="shared" si="9"/>
        <v>7.1999999999999995E-2</v>
      </c>
      <c r="AT49" t="s">
        <v>186</v>
      </c>
      <c r="AU49">
        <v>3355000</v>
      </c>
      <c r="AV49">
        <v>2005000</v>
      </c>
      <c r="AW49">
        <v>5947497.3548568059</v>
      </c>
      <c r="AX49">
        <v>587497.35485680588</v>
      </c>
      <c r="AY49">
        <v>587497.35485680588</v>
      </c>
      <c r="AZ49">
        <v>78514000</v>
      </c>
      <c r="BA49">
        <v>7.4827082412920734E-3</v>
      </c>
    </row>
    <row r="50" spans="1:53" x14ac:dyDescent="0.25">
      <c r="A50" t="s">
        <v>413</v>
      </c>
      <c r="B50">
        <v>97</v>
      </c>
      <c r="C50">
        <v>66147</v>
      </c>
      <c r="D50">
        <v>138</v>
      </c>
      <c r="E50">
        <v>5470</v>
      </c>
      <c r="F50">
        <v>3587</v>
      </c>
      <c r="G50">
        <v>0</v>
      </c>
      <c r="H50">
        <v>18316</v>
      </c>
      <c r="I50">
        <v>0</v>
      </c>
      <c r="J50">
        <v>0</v>
      </c>
      <c r="K50">
        <v>1425</v>
      </c>
      <c r="L50">
        <v>195</v>
      </c>
      <c r="M50">
        <v>10305</v>
      </c>
      <c r="N50">
        <v>787</v>
      </c>
      <c r="O50">
        <v>25255</v>
      </c>
      <c r="P50">
        <v>23308</v>
      </c>
      <c r="Q50">
        <v>36533</v>
      </c>
      <c r="R50">
        <v>0</v>
      </c>
      <c r="S50">
        <v>0</v>
      </c>
      <c r="T50">
        <v>12548</v>
      </c>
      <c r="U50">
        <v>8823</v>
      </c>
      <c r="V50">
        <v>2</v>
      </c>
      <c r="W50">
        <v>83123</v>
      </c>
      <c r="X50">
        <v>353</v>
      </c>
      <c r="Y50">
        <v>30672</v>
      </c>
      <c r="Z50">
        <v>2688406.221766416</v>
      </c>
      <c r="AA50">
        <v>2304348.1900854995</v>
      </c>
      <c r="AB50">
        <v>72791</v>
      </c>
      <c r="AC50">
        <v>-6547</v>
      </c>
      <c r="AD50" t="s">
        <v>413</v>
      </c>
      <c r="AE50" s="232">
        <f t="shared" si="0"/>
        <v>0</v>
      </c>
      <c r="AF50" s="232">
        <f t="shared" si="1"/>
        <v>0.43471722627912851</v>
      </c>
      <c r="AG50" s="232">
        <f t="shared" si="2"/>
        <v>0.10895901254767032</v>
      </c>
      <c r="AH50" s="232">
        <f t="shared" si="3"/>
        <v>0.22034815875269179</v>
      </c>
      <c r="AI50" s="232">
        <f t="shared" si="4"/>
        <v>0.29354859665796473</v>
      </c>
      <c r="AJ50" s="232">
        <f t="shared" si="5"/>
        <v>4.2467187180443436E-3</v>
      </c>
      <c r="AK50" s="232">
        <f t="shared" si="6"/>
        <v>2.7722148985064296E-2</v>
      </c>
      <c r="AL50" s="232">
        <f t="shared" si="7"/>
        <v>-1.9690699325096542E-2</v>
      </c>
      <c r="AM50" s="232">
        <f t="shared" si="8"/>
        <v>0.45613194698826864</v>
      </c>
      <c r="AN50" s="232">
        <v>2.6200000000000001E-2</v>
      </c>
      <c r="AO50" s="232">
        <f t="shared" si="9"/>
        <v>0.13100000000000001</v>
      </c>
      <c r="AT50" t="s">
        <v>389</v>
      </c>
      <c r="AU50">
        <v>2567000</v>
      </c>
      <c r="AV50">
        <v>5193000</v>
      </c>
      <c r="AW50">
        <v>9846610.4629808292</v>
      </c>
      <c r="AX50">
        <v>2086610.4629808292</v>
      </c>
      <c r="AY50">
        <v>2086610.4629808292</v>
      </c>
      <c r="AZ50">
        <v>54931000</v>
      </c>
      <c r="BA50">
        <v>3.7986027252022159E-2</v>
      </c>
    </row>
    <row r="51" spans="1:53" x14ac:dyDescent="0.25">
      <c r="A51" t="s">
        <v>414</v>
      </c>
      <c r="B51">
        <v>17155</v>
      </c>
      <c r="C51">
        <v>435585</v>
      </c>
      <c r="D51">
        <v>1342</v>
      </c>
      <c r="E51">
        <v>91624</v>
      </c>
      <c r="F51">
        <v>83993</v>
      </c>
      <c r="G51">
        <v>0</v>
      </c>
      <c r="H51">
        <v>44312</v>
      </c>
      <c r="I51">
        <v>6546</v>
      </c>
      <c r="J51">
        <v>0</v>
      </c>
      <c r="K51">
        <v>0</v>
      </c>
      <c r="L51">
        <v>22</v>
      </c>
      <c r="M51">
        <v>25643</v>
      </c>
      <c r="N51">
        <v>58426</v>
      </c>
      <c r="O51">
        <v>159776</v>
      </c>
      <c r="P51">
        <v>56368</v>
      </c>
      <c r="Q51">
        <v>394848</v>
      </c>
      <c r="R51">
        <v>576</v>
      </c>
      <c r="S51">
        <v>63858</v>
      </c>
      <c r="T51">
        <v>30960</v>
      </c>
      <c r="U51">
        <v>58262</v>
      </c>
      <c r="V51">
        <v>0</v>
      </c>
      <c r="W51">
        <v>648775</v>
      </c>
      <c r="X51">
        <v>-3795</v>
      </c>
      <c r="Y51">
        <v>183448</v>
      </c>
      <c r="Z51">
        <v>26540666.069920629</v>
      </c>
      <c r="AA51">
        <v>22749142.345646251</v>
      </c>
      <c r="AB51">
        <v>464648</v>
      </c>
      <c r="AC51">
        <v>-11908</v>
      </c>
      <c r="AD51" t="s">
        <v>414</v>
      </c>
      <c r="AE51" s="232">
        <f t="shared" si="0"/>
        <v>8.3512936671514215E-2</v>
      </c>
      <c r="AF51" s="232">
        <f t="shared" si="1"/>
        <v>0.44514045701514393</v>
      </c>
      <c r="AG51" s="232">
        <f t="shared" si="2"/>
        <v>0.27069014681515163</v>
      </c>
      <c r="AH51" s="232">
        <f t="shared" si="3"/>
        <v>7.8390813456128861E-2</v>
      </c>
      <c r="AI51" s="232">
        <f t="shared" si="4"/>
        <v>0.42274970521367194</v>
      </c>
      <c r="AJ51" s="232">
        <f t="shared" si="5"/>
        <v>-5.8494855689568805E-3</v>
      </c>
      <c r="AK51" s="232">
        <f t="shared" si="6"/>
        <v>3.5064764125692656E-2</v>
      </c>
      <c r="AL51" s="232">
        <f t="shared" si="7"/>
        <v>-4.5886478363068861E-3</v>
      </c>
      <c r="AM51" s="232">
        <f t="shared" si="8"/>
        <v>0.28267124219248596</v>
      </c>
      <c r="AN51" s="232">
        <v>3.49E-2</v>
      </c>
      <c r="AO51" s="232">
        <f t="shared" si="9"/>
        <v>0.17449999999999999</v>
      </c>
      <c r="AT51" t="s">
        <v>412</v>
      </c>
      <c r="AU51">
        <v>3344000</v>
      </c>
      <c r="AV51">
        <v>3123999.9999999995</v>
      </c>
      <c r="AW51">
        <v>9966377.6768022813</v>
      </c>
      <c r="AX51">
        <v>3498377.6768022818</v>
      </c>
      <c r="AY51">
        <v>3498377.6768022818</v>
      </c>
      <c r="AZ51">
        <v>66698000</v>
      </c>
      <c r="BA51">
        <v>5.2451013175841582E-2</v>
      </c>
    </row>
    <row r="52" spans="1:53" x14ac:dyDescent="0.25">
      <c r="A52" s="105" t="s">
        <v>338</v>
      </c>
      <c r="B52">
        <v>169</v>
      </c>
      <c r="C52">
        <v>105245</v>
      </c>
      <c r="D52">
        <v>78</v>
      </c>
      <c r="E52">
        <v>0</v>
      </c>
      <c r="F52">
        <v>3016</v>
      </c>
      <c r="G52">
        <v>0</v>
      </c>
      <c r="H52">
        <v>17915</v>
      </c>
      <c r="I52">
        <v>0</v>
      </c>
      <c r="J52">
        <v>0</v>
      </c>
      <c r="K52">
        <v>12624</v>
      </c>
      <c r="L52">
        <v>286</v>
      </c>
      <c r="M52">
        <v>7106</v>
      </c>
      <c r="N52">
        <v>3504</v>
      </c>
      <c r="O52">
        <v>124796</v>
      </c>
      <c r="P52">
        <v>13701</v>
      </c>
      <c r="Q52">
        <v>6956</v>
      </c>
      <c r="R52">
        <v>16</v>
      </c>
      <c r="S52">
        <v>0</v>
      </c>
      <c r="T52">
        <v>1651</v>
      </c>
      <c r="U52">
        <v>2823</v>
      </c>
      <c r="V52">
        <v>0</v>
      </c>
      <c r="W52">
        <v>40964</v>
      </c>
      <c r="X52">
        <v>-4924</v>
      </c>
      <c r="Y52">
        <v>17040</v>
      </c>
      <c r="Z52">
        <v>2946007.9264659518</v>
      </c>
      <c r="AA52">
        <v>2525149.6512565301</v>
      </c>
      <c r="AB52">
        <v>96693</v>
      </c>
      <c r="AC52">
        <v>8721</v>
      </c>
      <c r="AD52" t="s">
        <v>338</v>
      </c>
      <c r="AE52" s="232">
        <f t="shared" si="0"/>
        <v>0</v>
      </c>
      <c r="AF52" s="232">
        <f t="shared" si="1"/>
        <v>-0.36837222927448493</v>
      </c>
      <c r="AG52" s="232">
        <f t="shared" si="2"/>
        <v>7.3625622497802953E-2</v>
      </c>
      <c r="AH52" s="232">
        <f t="shared" si="3"/>
        <v>0.43733522116980761</v>
      </c>
      <c r="AI52" s="232">
        <f t="shared" si="4"/>
        <v>-0.66567180939361381</v>
      </c>
      <c r="AJ52" s="232">
        <f t="shared" si="5"/>
        <v>-0.12020310516551118</v>
      </c>
      <c r="AK52" s="232">
        <f t="shared" si="6"/>
        <v>6.1643141569586224E-2</v>
      </c>
      <c r="AL52" s="232">
        <f t="shared" si="7"/>
        <v>5.3223562152133579E-2</v>
      </c>
      <c r="AM52" s="232">
        <f t="shared" si="8"/>
        <v>0.92366432577712865</v>
      </c>
      <c r="AN52" s="232">
        <v>5.0900000000000001E-2</v>
      </c>
      <c r="AO52" s="232">
        <f t="shared" si="9"/>
        <v>0.2545</v>
      </c>
      <c r="AT52" t="s">
        <v>413</v>
      </c>
      <c r="AU52">
        <v>4024000</v>
      </c>
      <c r="AV52">
        <v>2976000</v>
      </c>
      <c r="AW52">
        <v>9688406.221766416</v>
      </c>
      <c r="AX52">
        <v>2688406.221766416</v>
      </c>
      <c r="AY52">
        <v>2688406.221766416</v>
      </c>
      <c r="AZ52">
        <v>83123000</v>
      </c>
      <c r="BA52">
        <v>3.2342507149241681E-2</v>
      </c>
    </row>
    <row r="53" spans="1:53" x14ac:dyDescent="0.25">
      <c r="A53" t="s">
        <v>215</v>
      </c>
      <c r="B53">
        <v>0</v>
      </c>
      <c r="C53">
        <v>64681</v>
      </c>
      <c r="D53">
        <v>3315</v>
      </c>
      <c r="E53">
        <v>382</v>
      </c>
      <c r="F53">
        <v>2396</v>
      </c>
      <c r="G53">
        <v>0</v>
      </c>
      <c r="H53">
        <v>1732</v>
      </c>
      <c r="I53">
        <v>0</v>
      </c>
      <c r="J53">
        <v>0</v>
      </c>
      <c r="K53">
        <v>21867</v>
      </c>
      <c r="L53">
        <v>278</v>
      </c>
      <c r="M53">
        <v>7443</v>
      </c>
      <c r="N53">
        <v>2672</v>
      </c>
      <c r="O53">
        <v>63625</v>
      </c>
      <c r="P53">
        <v>10310</v>
      </c>
      <c r="Q53">
        <v>18126</v>
      </c>
      <c r="R53">
        <v>21</v>
      </c>
      <c r="S53">
        <v>0</v>
      </c>
      <c r="T53">
        <v>9509</v>
      </c>
      <c r="U53">
        <v>3175</v>
      </c>
      <c r="V53">
        <v>1</v>
      </c>
      <c r="W53">
        <v>75961</v>
      </c>
      <c r="X53">
        <v>3064</v>
      </c>
      <c r="Y53">
        <v>36352</v>
      </c>
      <c r="Z53">
        <v>4350449.441773409</v>
      </c>
      <c r="AA53">
        <v>3728956.6643772079</v>
      </c>
      <c r="AB53">
        <v>71606</v>
      </c>
      <c r="AC53">
        <v>-6925</v>
      </c>
      <c r="AD53" t="s">
        <v>215</v>
      </c>
      <c r="AE53" s="232">
        <f t="shared" si="0"/>
        <v>0</v>
      </c>
      <c r="AF53" s="232">
        <f t="shared" si="1"/>
        <v>-5.5383683732441645E-2</v>
      </c>
      <c r="AG53" s="232">
        <f t="shared" si="2"/>
        <v>3.6571398480799357E-2</v>
      </c>
      <c r="AH53" s="232">
        <f t="shared" si="3"/>
        <v>2.280117428680507E-2</v>
      </c>
      <c r="AI53" s="232">
        <f t="shared" si="4"/>
        <v>-6.6955937915509273E-2</v>
      </c>
      <c r="AJ53" s="232">
        <f t="shared" si="5"/>
        <v>4.0336488461184025E-2</v>
      </c>
      <c r="AK53" s="232">
        <f t="shared" si="6"/>
        <v>4.9090410399773673E-2</v>
      </c>
      <c r="AL53" s="232">
        <f t="shared" si="7"/>
        <v>-2.279130079909427E-2</v>
      </c>
      <c r="AM53" s="232">
        <f t="shared" si="8"/>
        <v>0.70571559475402323</v>
      </c>
      <c r="AN53" s="232">
        <v>3.0200000000000001E-2</v>
      </c>
      <c r="AO53" s="232">
        <f t="shared" si="9"/>
        <v>0.151</v>
      </c>
      <c r="AT53" t="s">
        <v>414</v>
      </c>
      <c r="AU53">
        <v>19408000.000000004</v>
      </c>
      <c r="AV53">
        <v>14732000</v>
      </c>
      <c r="AW53">
        <v>60680666.069920629</v>
      </c>
      <c r="AX53">
        <v>26540666.069920629</v>
      </c>
      <c r="AY53">
        <v>26540666.069920629</v>
      </c>
      <c r="AZ53">
        <v>648775000</v>
      </c>
      <c r="BA53">
        <v>4.0908891479974764E-2</v>
      </c>
    </row>
    <row r="54" spans="1:53" x14ac:dyDescent="0.25">
      <c r="A54" t="s">
        <v>216</v>
      </c>
      <c r="B54">
        <v>5676</v>
      </c>
      <c r="C54">
        <v>55656</v>
      </c>
      <c r="D54">
        <v>590</v>
      </c>
      <c r="E54">
        <v>372</v>
      </c>
      <c r="F54">
        <v>3745</v>
      </c>
      <c r="G54">
        <v>0</v>
      </c>
      <c r="H54">
        <v>6887</v>
      </c>
      <c r="I54">
        <v>1125</v>
      </c>
      <c r="J54">
        <v>0</v>
      </c>
      <c r="K54">
        <v>0</v>
      </c>
      <c r="L54">
        <v>-1251</v>
      </c>
      <c r="M54">
        <v>11938</v>
      </c>
      <c r="N54">
        <v>53</v>
      </c>
      <c r="O54">
        <v>10192</v>
      </c>
      <c r="P54">
        <v>8627</v>
      </c>
      <c r="Q54">
        <v>57302</v>
      </c>
      <c r="R54">
        <v>0</v>
      </c>
      <c r="S54">
        <v>-3003</v>
      </c>
      <c r="T54">
        <v>6317</v>
      </c>
      <c r="U54">
        <v>5356</v>
      </c>
      <c r="V54">
        <v>1</v>
      </c>
      <c r="W54">
        <v>64005</v>
      </c>
      <c r="X54">
        <v>129</v>
      </c>
      <c r="Y54">
        <v>20771</v>
      </c>
      <c r="Z54">
        <v>2776320.1870666025</v>
      </c>
      <c r="AA54">
        <v>2379703.0174856596</v>
      </c>
      <c r="AB54">
        <v>52506</v>
      </c>
      <c r="AC54">
        <v>8826</v>
      </c>
      <c r="AD54" t="s">
        <v>216</v>
      </c>
      <c r="AE54" s="232">
        <f t="shared" si="0"/>
        <v>-3.5416494675142407E-2</v>
      </c>
      <c r="AF54" s="232">
        <f t="shared" si="1"/>
        <v>0.79860948363409112</v>
      </c>
      <c r="AG54" s="232">
        <f t="shared" si="2"/>
        <v>6.4323099757831417E-2</v>
      </c>
      <c r="AH54" s="232">
        <f t="shared" si="3"/>
        <v>0.12517772049058667</v>
      </c>
      <c r="AI54" s="232">
        <f t="shared" si="4"/>
        <v>0.71870385126162017</v>
      </c>
      <c r="AJ54" s="232">
        <f t="shared" si="5"/>
        <v>2.0154675415983126E-3</v>
      </c>
      <c r="AK54" s="232">
        <f t="shared" si="6"/>
        <v>3.7179954964231848E-2</v>
      </c>
      <c r="AL54" s="232">
        <f t="shared" si="7"/>
        <v>3.4473869228966489E-2</v>
      </c>
      <c r="AM54" s="232">
        <f t="shared" si="8"/>
        <v>0.22194572537179655</v>
      </c>
      <c r="AN54" s="232">
        <v>2.63E-2</v>
      </c>
      <c r="AO54" s="232">
        <f t="shared" si="9"/>
        <v>0.13150000000000001</v>
      </c>
      <c r="AT54" t="s">
        <v>338</v>
      </c>
      <c r="AU54">
        <v>1836999.9999999998</v>
      </c>
      <c r="AV54">
        <v>824000.00000000023</v>
      </c>
      <c r="AW54">
        <v>5607007.9264659509</v>
      </c>
      <c r="AX54">
        <v>2946007.9264659509</v>
      </c>
      <c r="AY54">
        <v>2946007.9264659509</v>
      </c>
      <c r="AZ54">
        <v>40964000</v>
      </c>
      <c r="BA54">
        <v>7.1916998497850576E-2</v>
      </c>
    </row>
    <row r="55" spans="1:53" x14ac:dyDescent="0.25">
      <c r="A55" t="s">
        <v>464</v>
      </c>
      <c r="B55">
        <v>789</v>
      </c>
      <c r="C55">
        <v>55361</v>
      </c>
      <c r="D55">
        <v>331</v>
      </c>
      <c r="E55">
        <v>266</v>
      </c>
      <c r="F55">
        <v>2976</v>
      </c>
      <c r="G55">
        <v>11553</v>
      </c>
      <c r="H55">
        <v>7450</v>
      </c>
      <c r="I55">
        <v>0</v>
      </c>
      <c r="J55">
        <v>0</v>
      </c>
      <c r="K55">
        <v>1154</v>
      </c>
      <c r="L55">
        <v>907</v>
      </c>
      <c r="M55">
        <v>5812</v>
      </c>
      <c r="N55">
        <v>3364</v>
      </c>
      <c r="O55">
        <v>56101</v>
      </c>
      <c r="P55">
        <v>3714</v>
      </c>
      <c r="Q55">
        <v>8850</v>
      </c>
      <c r="R55">
        <v>5103</v>
      </c>
      <c r="S55">
        <v>7000</v>
      </c>
      <c r="T55">
        <v>4663</v>
      </c>
      <c r="U55">
        <v>4532</v>
      </c>
      <c r="V55">
        <v>0</v>
      </c>
      <c r="W55">
        <v>94743</v>
      </c>
      <c r="X55">
        <v>-5065</v>
      </c>
      <c r="Y55">
        <v>28241</v>
      </c>
      <c r="Z55">
        <v>914661.99980260897</v>
      </c>
      <c r="AA55">
        <v>783995.99983080779</v>
      </c>
      <c r="AB55">
        <v>44088</v>
      </c>
      <c r="AC55">
        <v>12062</v>
      </c>
      <c r="AD55" t="s">
        <v>464</v>
      </c>
      <c r="AE55" s="232">
        <f t="shared" si="0"/>
        <v>7.7809766237230862E-2</v>
      </c>
      <c r="AF55" s="232">
        <f t="shared" si="1"/>
        <v>4.3443842816883571E-2</v>
      </c>
      <c r="AG55" s="232">
        <f t="shared" si="2"/>
        <v>3.4218886883463688E-2</v>
      </c>
      <c r="AH55" s="232">
        <f t="shared" si="3"/>
        <v>7.8633777693338819E-2</v>
      </c>
      <c r="AI55" s="232">
        <f t="shared" si="4"/>
        <v>-7.4935351424379529E-3</v>
      </c>
      <c r="AJ55" s="232">
        <f t="shared" si="5"/>
        <v>-5.3460413961981361E-2</v>
      </c>
      <c r="AK55" s="232">
        <f t="shared" si="6"/>
        <v>8.2749754581426371E-3</v>
      </c>
      <c r="AL55" s="232">
        <f t="shared" si="7"/>
        <v>3.1828208944196405E-2</v>
      </c>
      <c r="AM55" s="232">
        <f t="shared" si="8"/>
        <v>0.66488445249713768</v>
      </c>
      <c r="AN55" s="232">
        <v>6.13E-2</v>
      </c>
      <c r="AO55" s="232">
        <f t="shared" si="9"/>
        <v>0.30649999999999999</v>
      </c>
      <c r="AT55" t="s">
        <v>215</v>
      </c>
      <c r="AU55">
        <v>4743000.0000000009</v>
      </c>
      <c r="AV55">
        <v>2735000</v>
      </c>
      <c r="AW55">
        <v>11828449.441773411</v>
      </c>
      <c r="AX55">
        <v>4350449.44177341</v>
      </c>
      <c r="AY55">
        <v>4350449.44177341</v>
      </c>
      <c r="AZ55">
        <v>75961000</v>
      </c>
      <c r="BA55">
        <v>5.7272145466402628E-2</v>
      </c>
    </row>
    <row r="56" spans="1:53" x14ac:dyDescent="0.25">
      <c r="A56" t="s">
        <v>264</v>
      </c>
      <c r="B56">
        <v>372</v>
      </c>
      <c r="C56">
        <v>36861</v>
      </c>
      <c r="D56">
        <v>0</v>
      </c>
      <c r="E56">
        <v>0</v>
      </c>
      <c r="F56">
        <v>0</v>
      </c>
      <c r="G56">
        <v>0</v>
      </c>
      <c r="H56">
        <v>4608</v>
      </c>
      <c r="I56">
        <v>0</v>
      </c>
      <c r="J56">
        <v>0</v>
      </c>
      <c r="K56">
        <v>2770</v>
      </c>
      <c r="L56">
        <v>221</v>
      </c>
      <c r="M56">
        <v>527</v>
      </c>
      <c r="N56">
        <v>3320</v>
      </c>
      <c r="O56">
        <v>31681</v>
      </c>
      <c r="P56">
        <v>4152</v>
      </c>
      <c r="Q56">
        <v>8900</v>
      </c>
      <c r="R56">
        <v>0</v>
      </c>
      <c r="S56">
        <v>0</v>
      </c>
      <c r="T56">
        <v>2209</v>
      </c>
      <c r="U56">
        <v>1737</v>
      </c>
      <c r="V56">
        <v>0</v>
      </c>
      <c r="W56">
        <v>26781</v>
      </c>
      <c r="X56">
        <v>-825</v>
      </c>
      <c r="Y56">
        <v>15214</v>
      </c>
      <c r="Z56">
        <v>799677.19240143243</v>
      </c>
      <c r="AA56">
        <v>685437.59348694212</v>
      </c>
      <c r="AB56">
        <v>41435</v>
      </c>
      <c r="AC56">
        <v>-4202</v>
      </c>
      <c r="AD56" t="s">
        <v>264</v>
      </c>
      <c r="AE56" s="232">
        <f t="shared" si="0"/>
        <v>0</v>
      </c>
      <c r="AF56" s="232">
        <f t="shared" si="1"/>
        <v>0.22433815018109854</v>
      </c>
      <c r="AG56" s="232">
        <f t="shared" si="2"/>
        <v>0</v>
      </c>
      <c r="AH56" s="232">
        <f t="shared" si="3"/>
        <v>0.17206228296180129</v>
      </c>
      <c r="AI56" s="232">
        <f t="shared" si="4"/>
        <v>0.10389455210783764</v>
      </c>
      <c r="AJ56" s="232">
        <f t="shared" si="5"/>
        <v>-3.0805421754228745E-2</v>
      </c>
      <c r="AK56" s="232">
        <f t="shared" si="6"/>
        <v>2.5594174731598602E-2</v>
      </c>
      <c r="AL56" s="232">
        <f t="shared" si="7"/>
        <v>-3.9225570367051266E-2</v>
      </c>
      <c r="AM56" s="232">
        <f t="shared" si="8"/>
        <v>0.73610797263707139</v>
      </c>
      <c r="AN56" s="232">
        <v>4.2099999999999999E-2</v>
      </c>
      <c r="AO56" s="232">
        <f t="shared" si="9"/>
        <v>0.21049999999999999</v>
      </c>
      <c r="AT56" t="s">
        <v>216</v>
      </c>
      <c r="AU56">
        <v>2286000</v>
      </c>
      <c r="AV56">
        <v>1398999.9999999998</v>
      </c>
      <c r="AW56">
        <v>6461320.1870666025</v>
      </c>
      <c r="AX56">
        <v>2776320.1870666025</v>
      </c>
      <c r="AY56">
        <v>2776320.1870666025</v>
      </c>
      <c r="AZ56">
        <v>64005000</v>
      </c>
      <c r="BA56">
        <v>4.3376614124937152E-2</v>
      </c>
    </row>
    <row r="57" spans="1:53" x14ac:dyDescent="0.25">
      <c r="A57" t="s">
        <v>265</v>
      </c>
      <c r="B57">
        <v>251</v>
      </c>
      <c r="C57">
        <v>24218</v>
      </c>
      <c r="D57">
        <v>356</v>
      </c>
      <c r="E57">
        <v>589</v>
      </c>
      <c r="F57">
        <v>2872</v>
      </c>
      <c r="G57">
        <v>0</v>
      </c>
      <c r="H57">
        <v>24174</v>
      </c>
      <c r="I57">
        <v>0</v>
      </c>
      <c r="J57">
        <v>0</v>
      </c>
      <c r="K57">
        <v>18450</v>
      </c>
      <c r="L57">
        <v>115</v>
      </c>
      <c r="M57">
        <v>4351</v>
      </c>
      <c r="N57">
        <v>1917</v>
      </c>
      <c r="O57">
        <v>13245</v>
      </c>
      <c r="P57">
        <v>4150</v>
      </c>
      <c r="Q57">
        <v>51890</v>
      </c>
      <c r="R57">
        <v>0</v>
      </c>
      <c r="S57">
        <v>0</v>
      </c>
      <c r="T57">
        <v>3031</v>
      </c>
      <c r="U57">
        <v>4977</v>
      </c>
      <c r="V57">
        <v>-1</v>
      </c>
      <c r="W57">
        <v>45275</v>
      </c>
      <c r="X57">
        <v>2762</v>
      </c>
      <c r="Y57">
        <v>21266</v>
      </c>
      <c r="Z57">
        <v>3066396.0802266831</v>
      </c>
      <c r="AA57">
        <v>2628339.4973371569</v>
      </c>
      <c r="AB57">
        <v>29033</v>
      </c>
      <c r="AC57">
        <v>-4564</v>
      </c>
      <c r="AD57" t="s">
        <v>265</v>
      </c>
      <c r="AE57" s="232">
        <f t="shared" si="0"/>
        <v>0</v>
      </c>
      <c r="AF57" s="232">
        <f t="shared" si="1"/>
        <v>0.69804527885146328</v>
      </c>
      <c r="AG57" s="232">
        <f t="shared" si="2"/>
        <v>7.6443953616786312E-2</v>
      </c>
      <c r="AH57" s="232">
        <f t="shared" si="3"/>
        <v>0.53393705135284375</v>
      </c>
      <c r="AI57" s="232">
        <f t="shared" si="4"/>
        <v>0.33346261733848709</v>
      </c>
      <c r="AJ57" s="232">
        <f t="shared" si="5"/>
        <v>6.1004969630038652E-2</v>
      </c>
      <c r="AK57" s="232">
        <f t="shared" si="6"/>
        <v>5.8052777412195625E-2</v>
      </c>
      <c r="AL57" s="232">
        <f t="shared" si="7"/>
        <v>-2.5201546107123135E-2</v>
      </c>
      <c r="AM57" s="232">
        <f t="shared" si="8"/>
        <v>0.22505272146248689</v>
      </c>
      <c r="AN57" s="232">
        <v>2.2800000000000001E-2</v>
      </c>
      <c r="AO57" s="232">
        <f t="shared" si="9"/>
        <v>0.114</v>
      </c>
      <c r="AT57" t="s">
        <v>464</v>
      </c>
      <c r="AU57">
        <v>3313000</v>
      </c>
      <c r="AV57">
        <v>1923000.0000000002</v>
      </c>
      <c r="AW57">
        <v>6150661.999802609</v>
      </c>
      <c r="AX57">
        <v>914661.99980260874</v>
      </c>
      <c r="AY57">
        <v>914661.99980260874</v>
      </c>
      <c r="AZ57">
        <v>94743000</v>
      </c>
      <c r="BA57">
        <v>9.6541380344997395E-3</v>
      </c>
    </row>
    <row r="58" spans="1:53" x14ac:dyDescent="0.25">
      <c r="A58" t="s">
        <v>217</v>
      </c>
      <c r="B58">
        <v>205</v>
      </c>
      <c r="C58">
        <v>27651</v>
      </c>
      <c r="D58">
        <v>0</v>
      </c>
      <c r="E58">
        <v>0</v>
      </c>
      <c r="F58">
        <v>574</v>
      </c>
      <c r="G58">
        <v>0</v>
      </c>
      <c r="H58">
        <v>8928</v>
      </c>
      <c r="I58">
        <v>0</v>
      </c>
      <c r="J58">
        <v>0</v>
      </c>
      <c r="K58">
        <v>2165</v>
      </c>
      <c r="L58">
        <v>525</v>
      </c>
      <c r="M58">
        <v>7475</v>
      </c>
      <c r="N58">
        <v>572</v>
      </c>
      <c r="O58">
        <v>14860</v>
      </c>
      <c r="P58">
        <v>11125</v>
      </c>
      <c r="Q58">
        <v>10532</v>
      </c>
      <c r="R58">
        <v>80</v>
      </c>
      <c r="S58">
        <v>5000</v>
      </c>
      <c r="T58">
        <v>3841</v>
      </c>
      <c r="U58">
        <v>2657</v>
      </c>
      <c r="V58">
        <v>1</v>
      </c>
      <c r="W58">
        <v>53958</v>
      </c>
      <c r="X58">
        <v>-10002</v>
      </c>
      <c r="Y58">
        <v>26365</v>
      </c>
      <c r="Z58">
        <v>2621643.8487128485</v>
      </c>
      <c r="AA58">
        <v>2247123.2988967276</v>
      </c>
      <c r="AB58">
        <v>30576</v>
      </c>
      <c r="AC58">
        <v>-2720</v>
      </c>
      <c r="AD58" t="s">
        <v>217</v>
      </c>
      <c r="AE58" s="232">
        <f t="shared" si="0"/>
        <v>0.10396091069757771</v>
      </c>
      <c r="AF58" s="232">
        <f t="shared" si="1"/>
        <v>0.20013714370436264</v>
      </c>
      <c r="AG58" s="232">
        <f t="shared" si="2"/>
        <v>1.0637903554616553E-2</v>
      </c>
      <c r="AH58" s="232">
        <f t="shared" si="3"/>
        <v>0.16546202602023796</v>
      </c>
      <c r="AI58" s="232">
        <f t="shared" si="4"/>
        <v>8.5590273916750045E-2</v>
      </c>
      <c r="AJ58" s="232">
        <f t="shared" si="5"/>
        <v>-0.18536639608584454</v>
      </c>
      <c r="AK58" s="232">
        <f t="shared" si="6"/>
        <v>4.1645785590583927E-2</v>
      </c>
      <c r="AL58" s="232">
        <f t="shared" si="7"/>
        <v>-1.2602394454946439E-2</v>
      </c>
      <c r="AM58" s="232">
        <f t="shared" si="8"/>
        <v>0.54028485289531136</v>
      </c>
      <c r="AN58" s="232">
        <v>6.7699999999999996E-2</v>
      </c>
      <c r="AO58" s="232">
        <f t="shared" si="9"/>
        <v>0.33849999999999997</v>
      </c>
      <c r="AT58" t="s">
        <v>264</v>
      </c>
      <c r="AU58">
        <v>3041000</v>
      </c>
      <c r="AV58">
        <v>1718000.0000000005</v>
      </c>
      <c r="AW58">
        <v>5558677.1924014334</v>
      </c>
      <c r="AX58">
        <v>799677.1924014329</v>
      </c>
      <c r="AY58">
        <v>799677.1924014329</v>
      </c>
      <c r="AZ58">
        <v>26781000</v>
      </c>
      <c r="BA58">
        <v>2.9859870520198385E-2</v>
      </c>
    </row>
    <row r="59" spans="1:53" x14ac:dyDescent="0.25">
      <c r="A59" t="s">
        <v>339</v>
      </c>
      <c r="B59">
        <v>0</v>
      </c>
      <c r="C59">
        <v>145471</v>
      </c>
      <c r="D59">
        <v>6336</v>
      </c>
      <c r="E59">
        <v>0</v>
      </c>
      <c r="F59">
        <v>534</v>
      </c>
      <c r="G59">
        <v>0</v>
      </c>
      <c r="H59">
        <v>3953</v>
      </c>
      <c r="I59">
        <v>2544</v>
      </c>
      <c r="J59">
        <v>0</v>
      </c>
      <c r="K59">
        <v>8720</v>
      </c>
      <c r="L59">
        <v>430</v>
      </c>
      <c r="M59">
        <v>22539</v>
      </c>
      <c r="N59">
        <v>6539</v>
      </c>
      <c r="O59">
        <v>86553</v>
      </c>
      <c r="P59">
        <v>30133</v>
      </c>
      <c r="Q59">
        <v>34372</v>
      </c>
      <c r="R59">
        <v>4500</v>
      </c>
      <c r="S59">
        <v>25000</v>
      </c>
      <c r="T59">
        <v>14110</v>
      </c>
      <c r="U59">
        <v>2398</v>
      </c>
      <c r="V59">
        <v>-1</v>
      </c>
      <c r="W59">
        <v>192568</v>
      </c>
      <c r="X59">
        <v>-969</v>
      </c>
      <c r="Y59">
        <v>66854</v>
      </c>
      <c r="Z59">
        <v>5378858.2852033451</v>
      </c>
      <c r="AA59">
        <v>4610449.9587457245</v>
      </c>
      <c r="AB59">
        <v>123128</v>
      </c>
      <c r="AC59">
        <v>22343</v>
      </c>
      <c r="AD59" t="s">
        <v>339</v>
      </c>
      <c r="AE59" s="232">
        <f t="shared" si="0"/>
        <v>0.12686105162737357</v>
      </c>
      <c r="AF59" s="232">
        <f t="shared" si="1"/>
        <v>0.2161210585351668</v>
      </c>
      <c r="AG59" s="232">
        <f t="shared" si="2"/>
        <v>2.7730464043870216E-3</v>
      </c>
      <c r="AH59" s="232">
        <f t="shared" si="3"/>
        <v>3.3738731253375433E-2</v>
      </c>
      <c r="AI59" s="232">
        <f t="shared" si="4"/>
        <v>0.19283671222633045</v>
      </c>
      <c r="AJ59" s="232">
        <f t="shared" si="5"/>
        <v>-5.0319887000955504E-3</v>
      </c>
      <c r="AK59" s="232">
        <f t="shared" si="6"/>
        <v>2.3941931986341057E-2</v>
      </c>
      <c r="AL59" s="232">
        <f t="shared" si="7"/>
        <v>2.9006636616675668E-2</v>
      </c>
      <c r="AM59" s="232">
        <f t="shared" si="8"/>
        <v>0.59211634680766845</v>
      </c>
      <c r="AN59" s="232">
        <v>4.1200000000000001E-2</v>
      </c>
      <c r="AO59" s="232">
        <f t="shared" si="9"/>
        <v>0.20600000000000002</v>
      </c>
      <c r="AT59" t="s">
        <v>265</v>
      </c>
      <c r="AU59">
        <v>2214000</v>
      </c>
      <c r="AV59">
        <v>1694999.9999999998</v>
      </c>
      <c r="AW59">
        <v>6975396.0802266831</v>
      </c>
      <c r="AX59">
        <v>3066396.0802266831</v>
      </c>
      <c r="AY59">
        <v>3066396.0802266831</v>
      </c>
      <c r="AZ59">
        <v>45275000</v>
      </c>
      <c r="BA59">
        <v>6.7728240314228222E-2</v>
      </c>
    </row>
    <row r="60" spans="1:53" x14ac:dyDescent="0.25">
      <c r="A60" t="s">
        <v>295</v>
      </c>
      <c r="B60">
        <v>1359</v>
      </c>
      <c r="C60">
        <v>62096</v>
      </c>
      <c r="D60">
        <v>206</v>
      </c>
      <c r="E60">
        <v>3244</v>
      </c>
      <c r="F60">
        <v>3592</v>
      </c>
      <c r="G60">
        <v>0</v>
      </c>
      <c r="H60">
        <v>6192</v>
      </c>
      <c r="I60">
        <v>0</v>
      </c>
      <c r="J60">
        <v>0</v>
      </c>
      <c r="K60">
        <v>947</v>
      </c>
      <c r="L60">
        <v>255</v>
      </c>
      <c r="M60">
        <v>6294</v>
      </c>
      <c r="N60">
        <v>2966</v>
      </c>
      <c r="O60">
        <v>23809</v>
      </c>
      <c r="P60">
        <v>7285</v>
      </c>
      <c r="Q60">
        <v>43777</v>
      </c>
      <c r="R60">
        <v>68</v>
      </c>
      <c r="S60">
        <v>0</v>
      </c>
      <c r="T60">
        <v>3733</v>
      </c>
      <c r="U60">
        <v>8479</v>
      </c>
      <c r="V60">
        <v>0</v>
      </c>
      <c r="W60">
        <v>63538</v>
      </c>
      <c r="X60">
        <v>307</v>
      </c>
      <c r="Y60">
        <v>35608</v>
      </c>
      <c r="Z60">
        <v>4956808.9578250293</v>
      </c>
      <c r="AA60">
        <v>4248693.3924214533</v>
      </c>
      <c r="AB60">
        <v>78494</v>
      </c>
      <c r="AC60">
        <v>-15039</v>
      </c>
      <c r="AD60" t="s">
        <v>295</v>
      </c>
      <c r="AE60" s="232">
        <f t="shared" si="0"/>
        <v>0</v>
      </c>
      <c r="AF60" s="232">
        <f t="shared" si="1"/>
        <v>0.61001290566275301</v>
      </c>
      <c r="AG60" s="232">
        <f t="shared" si="2"/>
        <v>0.10758915924328748</v>
      </c>
      <c r="AH60" s="232">
        <f t="shared" si="3"/>
        <v>9.7453492398249866E-2</v>
      </c>
      <c r="AI60" s="232">
        <f t="shared" si="4"/>
        <v>0.55470616009317264</v>
      </c>
      <c r="AJ60" s="232">
        <f t="shared" si="5"/>
        <v>4.8317542258176213E-3</v>
      </c>
      <c r="AK60" s="232">
        <f t="shared" si="6"/>
        <v>6.686854154083309E-2</v>
      </c>
      <c r="AL60" s="232">
        <f t="shared" si="7"/>
        <v>-5.9173250653152445E-2</v>
      </c>
      <c r="AM60" s="232">
        <f t="shared" si="8"/>
        <v>0.35678305469816757</v>
      </c>
      <c r="AN60" s="232">
        <v>3.1199999999999999E-2</v>
      </c>
      <c r="AO60" s="232">
        <f t="shared" si="9"/>
        <v>0.156</v>
      </c>
      <c r="AT60" t="s">
        <v>217</v>
      </c>
      <c r="AU60">
        <v>3645000.0000000005</v>
      </c>
      <c r="AV60">
        <v>2331000</v>
      </c>
      <c r="AW60">
        <v>8597643.8487128466</v>
      </c>
      <c r="AX60">
        <v>2621643.8487128466</v>
      </c>
      <c r="AY60">
        <v>2621643.8487128466</v>
      </c>
      <c r="AZ60">
        <v>53958000</v>
      </c>
      <c r="BA60">
        <v>4.8586749855681205E-2</v>
      </c>
    </row>
    <row r="61" spans="1:53" x14ac:dyDescent="0.25">
      <c r="A61" t="s">
        <v>132</v>
      </c>
      <c r="B61">
        <v>21</v>
      </c>
      <c r="C61">
        <v>95747</v>
      </c>
      <c r="D61">
        <v>805</v>
      </c>
      <c r="E61">
        <v>4434</v>
      </c>
      <c r="F61">
        <v>2959</v>
      </c>
      <c r="G61">
        <v>0</v>
      </c>
      <c r="H61">
        <v>14111</v>
      </c>
      <c r="I61">
        <v>0</v>
      </c>
      <c r="J61">
        <v>0</v>
      </c>
      <c r="K61">
        <v>2951</v>
      </c>
      <c r="L61">
        <v>-35</v>
      </c>
      <c r="M61">
        <v>3584</v>
      </c>
      <c r="N61">
        <v>5198</v>
      </c>
      <c r="O61">
        <v>39127</v>
      </c>
      <c r="P61">
        <v>4951</v>
      </c>
      <c r="Q61">
        <v>75982</v>
      </c>
      <c r="R61">
        <v>17</v>
      </c>
      <c r="S61">
        <v>0</v>
      </c>
      <c r="T61">
        <v>0</v>
      </c>
      <c r="U61">
        <v>9698</v>
      </c>
      <c r="V61">
        <v>-1</v>
      </c>
      <c r="W61">
        <v>111908</v>
      </c>
      <c r="X61">
        <v>4636</v>
      </c>
      <c r="Y61">
        <v>35299</v>
      </c>
      <c r="Z61">
        <v>1933848.9025112782</v>
      </c>
      <c r="AA61">
        <v>1657584.7735810957</v>
      </c>
      <c r="AB61">
        <v>96569</v>
      </c>
      <c r="AC61">
        <v>-801</v>
      </c>
      <c r="AD61" t="s">
        <v>132</v>
      </c>
      <c r="AE61" s="232">
        <f t="shared" si="0"/>
        <v>0</v>
      </c>
      <c r="AF61" s="232">
        <f t="shared" si="1"/>
        <v>0.59518533080744895</v>
      </c>
      <c r="AG61" s="232">
        <f t="shared" si="2"/>
        <v>6.6063194767130143E-2</v>
      </c>
      <c r="AH61" s="232">
        <f t="shared" si="3"/>
        <v>0.12609464917610894</v>
      </c>
      <c r="AI61" s="232">
        <f t="shared" si="4"/>
        <v>0.51484665975622823</v>
      </c>
      <c r="AJ61" s="232">
        <f t="shared" si="5"/>
        <v>4.1426886370947567E-2</v>
      </c>
      <c r="AK61" s="232">
        <f t="shared" si="6"/>
        <v>1.4812031075357399E-2</v>
      </c>
      <c r="AL61" s="232">
        <f t="shared" si="7"/>
        <v>-1.7894163062515639E-3</v>
      </c>
      <c r="AM61" s="232">
        <f t="shared" si="8"/>
        <v>0.33964939318050474</v>
      </c>
      <c r="AN61" s="232">
        <v>-1.8800000000000001E-2</v>
      </c>
      <c r="AO61" s="232">
        <f t="shared" si="9"/>
        <v>-9.4E-2</v>
      </c>
      <c r="AT61" t="s">
        <v>339</v>
      </c>
      <c r="AU61">
        <v>6608000</v>
      </c>
      <c r="AV61">
        <v>5360000</v>
      </c>
      <c r="AW61">
        <v>17346858.285203345</v>
      </c>
      <c r="AX61">
        <v>5378858.2852033451</v>
      </c>
      <c r="AY61">
        <v>5378858.2852033451</v>
      </c>
      <c r="AZ61">
        <v>192568000</v>
      </c>
      <c r="BA61">
        <v>2.7932253984064563E-2</v>
      </c>
    </row>
    <row r="62" spans="1:53" x14ac:dyDescent="0.25">
      <c r="A62" t="s">
        <v>415</v>
      </c>
      <c r="B62">
        <v>6618</v>
      </c>
      <c r="C62">
        <v>39234</v>
      </c>
      <c r="D62">
        <v>39</v>
      </c>
      <c r="E62">
        <v>568</v>
      </c>
      <c r="F62">
        <v>0</v>
      </c>
      <c r="G62">
        <v>0</v>
      </c>
      <c r="H62">
        <v>4010</v>
      </c>
      <c r="I62">
        <v>-547</v>
      </c>
      <c r="J62">
        <v>0</v>
      </c>
      <c r="K62">
        <v>0</v>
      </c>
      <c r="L62">
        <v>310</v>
      </c>
      <c r="M62">
        <v>7017</v>
      </c>
      <c r="N62">
        <v>716</v>
      </c>
      <c r="O62">
        <v>21203</v>
      </c>
      <c r="P62">
        <v>2799</v>
      </c>
      <c r="Q62">
        <v>22466</v>
      </c>
      <c r="R62">
        <v>12</v>
      </c>
      <c r="S62">
        <v>5866</v>
      </c>
      <c r="T62">
        <v>4771</v>
      </c>
      <c r="U62">
        <v>848</v>
      </c>
      <c r="V62">
        <v>0</v>
      </c>
      <c r="W62">
        <v>56756</v>
      </c>
      <c r="X62">
        <v>-1800</v>
      </c>
      <c r="Y62">
        <v>20336</v>
      </c>
      <c r="Z62">
        <v>1974473.3121063169</v>
      </c>
      <c r="AA62">
        <v>1692405.6960911287</v>
      </c>
      <c r="AB62">
        <v>34329</v>
      </c>
      <c r="AC62">
        <v>11523</v>
      </c>
      <c r="AD62" t="s">
        <v>415</v>
      </c>
      <c r="AE62" s="232">
        <f t="shared" si="0"/>
        <v>0.10119899939618736</v>
      </c>
      <c r="AF62" s="232">
        <f t="shared" si="1"/>
        <v>0.44668405102544223</v>
      </c>
      <c r="AG62" s="232">
        <f t="shared" si="2"/>
        <v>1.0007752484318838E-2</v>
      </c>
      <c r="AH62" s="232">
        <f t="shared" si="3"/>
        <v>6.1015575445767849E-2</v>
      </c>
      <c r="AI62" s="232">
        <f t="shared" si="4"/>
        <v>0.40517407851152298</v>
      </c>
      <c r="AJ62" s="232">
        <f t="shared" si="5"/>
        <v>-3.1714708577066743E-2</v>
      </c>
      <c r="AK62" s="232">
        <f t="shared" si="6"/>
        <v>2.9818974136498852E-2</v>
      </c>
      <c r="AL62" s="232">
        <f t="shared" si="7"/>
        <v>5.0756748185213897E-2</v>
      </c>
      <c r="AM62" s="232">
        <f t="shared" si="8"/>
        <v>0.41407746053653066</v>
      </c>
      <c r="AN62" s="232">
        <v>4.5199999999999997E-2</v>
      </c>
      <c r="AO62" s="232">
        <f t="shared" si="9"/>
        <v>0.22599999999999998</v>
      </c>
      <c r="AT62" t="s">
        <v>295</v>
      </c>
      <c r="AU62">
        <v>4385000</v>
      </c>
      <c r="AV62">
        <v>2168000</v>
      </c>
      <c r="AW62">
        <v>11509808.957825027</v>
      </c>
      <c r="AX62">
        <v>4956808.9578250274</v>
      </c>
      <c r="AY62">
        <v>4956808.9578250274</v>
      </c>
      <c r="AZ62">
        <v>63538000</v>
      </c>
      <c r="BA62">
        <v>7.8013298464305256E-2</v>
      </c>
    </row>
    <row r="63" spans="1:53" x14ac:dyDescent="0.25">
      <c r="A63" t="s">
        <v>416</v>
      </c>
      <c r="B63">
        <v>536</v>
      </c>
      <c r="C63">
        <v>76489</v>
      </c>
      <c r="D63">
        <v>4747</v>
      </c>
      <c r="E63">
        <v>1523</v>
      </c>
      <c r="F63">
        <v>287</v>
      </c>
      <c r="G63">
        <v>0</v>
      </c>
      <c r="H63">
        <v>25323</v>
      </c>
      <c r="I63">
        <v>8</v>
      </c>
      <c r="J63">
        <v>0</v>
      </c>
      <c r="K63">
        <v>2765</v>
      </c>
      <c r="L63">
        <v>719</v>
      </c>
      <c r="M63">
        <v>10727</v>
      </c>
      <c r="N63">
        <v>690</v>
      </c>
      <c r="O63">
        <v>29314</v>
      </c>
      <c r="P63">
        <v>18110</v>
      </c>
      <c r="Q63">
        <v>41233</v>
      </c>
      <c r="R63">
        <v>8</v>
      </c>
      <c r="S63">
        <v>20000</v>
      </c>
      <c r="T63">
        <v>10808</v>
      </c>
      <c r="U63">
        <v>4341</v>
      </c>
      <c r="V63">
        <v>-13</v>
      </c>
      <c r="W63">
        <v>65410</v>
      </c>
      <c r="X63">
        <v>-164</v>
      </c>
      <c r="Y63">
        <v>24911</v>
      </c>
      <c r="Z63">
        <v>2672817.9805604769</v>
      </c>
      <c r="AA63">
        <v>2290986.8404804091</v>
      </c>
      <c r="AB63">
        <v>89539</v>
      </c>
      <c r="AC63">
        <v>-12514</v>
      </c>
      <c r="AD63" t="s">
        <v>416</v>
      </c>
      <c r="AE63" s="232">
        <f t="shared" si="0"/>
        <v>0.16153262151291453</v>
      </c>
      <c r="AF63" s="232">
        <f t="shared" si="1"/>
        <v>0.9123834276104571</v>
      </c>
      <c r="AG63" s="232">
        <f t="shared" si="2"/>
        <v>2.7671609845589359E-2</v>
      </c>
      <c r="AH63" s="232">
        <f t="shared" si="3"/>
        <v>0.38726494419813484</v>
      </c>
      <c r="AI63" s="232">
        <f t="shared" si="4"/>
        <v>0.64461855985323346</v>
      </c>
      <c r="AJ63" s="232">
        <f t="shared" si="5"/>
        <v>-2.507261886561688E-3</v>
      </c>
      <c r="AK63" s="232">
        <f t="shared" si="6"/>
        <v>3.5025024315554334E-2</v>
      </c>
      <c r="AL63" s="232">
        <f t="shared" si="7"/>
        <v>-4.7829078122611224E-2</v>
      </c>
      <c r="AM63" s="232">
        <f t="shared" si="8"/>
        <v>0.38302615213142294</v>
      </c>
      <c r="AN63" s="232">
        <v>4.07E-2</v>
      </c>
      <c r="AO63" s="232">
        <f t="shared" si="9"/>
        <v>0.20350000000000001</v>
      </c>
      <c r="AT63" t="s">
        <v>132</v>
      </c>
      <c r="AU63">
        <v>5360000</v>
      </c>
      <c r="AV63">
        <v>3315000</v>
      </c>
      <c r="AW63">
        <v>10608848.90251128</v>
      </c>
      <c r="AX63">
        <v>1933848.90251128</v>
      </c>
      <c r="AY63">
        <v>1933848.90251128</v>
      </c>
      <c r="AZ63">
        <v>111908000</v>
      </c>
      <c r="BA63">
        <v>1.7280702921250314E-2</v>
      </c>
    </row>
    <row r="64" spans="1:53" x14ac:dyDescent="0.25">
      <c r="A64" t="s">
        <v>218</v>
      </c>
      <c r="B64">
        <v>2368</v>
      </c>
      <c r="C64">
        <v>85031</v>
      </c>
      <c r="D64">
        <v>794</v>
      </c>
      <c r="E64">
        <v>35685</v>
      </c>
      <c r="F64">
        <v>0</v>
      </c>
      <c r="G64">
        <v>0</v>
      </c>
      <c r="H64">
        <v>2962</v>
      </c>
      <c r="I64">
        <v>3</v>
      </c>
      <c r="J64">
        <v>0</v>
      </c>
      <c r="K64">
        <v>2376</v>
      </c>
      <c r="L64">
        <v>693</v>
      </c>
      <c r="M64">
        <v>14812</v>
      </c>
      <c r="N64">
        <v>1693</v>
      </c>
      <c r="O64">
        <v>39498</v>
      </c>
      <c r="P64">
        <v>7503</v>
      </c>
      <c r="Q64">
        <v>88504</v>
      </c>
      <c r="R64">
        <v>0</v>
      </c>
      <c r="S64">
        <v>1334</v>
      </c>
      <c r="T64">
        <v>5466</v>
      </c>
      <c r="U64">
        <v>4112</v>
      </c>
      <c r="V64">
        <v>-1</v>
      </c>
      <c r="W64">
        <v>78609</v>
      </c>
      <c r="X64">
        <v>5358</v>
      </c>
      <c r="Y64">
        <v>28195</v>
      </c>
      <c r="Z64">
        <v>1899369.6672225315</v>
      </c>
      <c r="AA64">
        <v>1628031.1433335985</v>
      </c>
      <c r="AB64">
        <v>97649</v>
      </c>
      <c r="AC64">
        <v>-10250</v>
      </c>
      <c r="AD64" t="s">
        <v>218</v>
      </c>
      <c r="AE64" s="232">
        <f t="shared" si="0"/>
        <v>9.1109638908050301E-3</v>
      </c>
      <c r="AF64" s="232">
        <f t="shared" si="1"/>
        <v>0.5617295729496623</v>
      </c>
      <c r="AG64" s="232">
        <f t="shared" si="2"/>
        <v>0.45395565393275578</v>
      </c>
      <c r="AH64" s="232">
        <f t="shared" si="3"/>
        <v>3.7718327417980133E-2</v>
      </c>
      <c r="AI64" s="232">
        <f t="shared" si="4"/>
        <v>0.58980142222900689</v>
      </c>
      <c r="AJ64" s="232">
        <f t="shared" si="5"/>
        <v>6.8160134335763081E-2</v>
      </c>
      <c r="AK64" s="232">
        <f t="shared" si="6"/>
        <v>2.0710492988507658E-2</v>
      </c>
      <c r="AL64" s="232">
        <f t="shared" si="7"/>
        <v>-3.2598048569502221E-2</v>
      </c>
      <c r="AM64" s="232">
        <f t="shared" si="8"/>
        <v>0.3210078064705601</v>
      </c>
      <c r="AN64" s="232">
        <v>2.01E-2</v>
      </c>
      <c r="AO64" s="232">
        <f t="shared" si="9"/>
        <v>0.10050000000000001</v>
      </c>
      <c r="AT64" t="s">
        <v>415</v>
      </c>
      <c r="AU64">
        <v>2700000</v>
      </c>
      <c r="AV64">
        <v>2182000</v>
      </c>
      <c r="AW64">
        <v>6856473.3121063169</v>
      </c>
      <c r="AX64">
        <v>1974473.3121063169</v>
      </c>
      <c r="AY64">
        <v>1974473.3121063169</v>
      </c>
      <c r="AZ64">
        <v>56756000</v>
      </c>
      <c r="BA64">
        <v>3.4788803159248656E-2</v>
      </c>
    </row>
    <row r="65" spans="1:53" x14ac:dyDescent="0.25">
      <c r="A65" t="s">
        <v>187</v>
      </c>
      <c r="B65">
        <v>241</v>
      </c>
      <c r="C65">
        <v>40534</v>
      </c>
      <c r="D65">
        <v>142</v>
      </c>
      <c r="E65">
        <v>4184</v>
      </c>
      <c r="F65">
        <v>2769</v>
      </c>
      <c r="G65">
        <v>0</v>
      </c>
      <c r="H65">
        <v>23653</v>
      </c>
      <c r="I65">
        <v>0</v>
      </c>
      <c r="J65">
        <v>0</v>
      </c>
      <c r="K65">
        <v>6743</v>
      </c>
      <c r="L65">
        <v>255</v>
      </c>
      <c r="M65">
        <v>4888</v>
      </c>
      <c r="N65">
        <v>8221</v>
      </c>
      <c r="O65">
        <v>50644</v>
      </c>
      <c r="P65">
        <v>7490</v>
      </c>
      <c r="Q65">
        <v>20522</v>
      </c>
      <c r="R65">
        <v>0</v>
      </c>
      <c r="S65">
        <v>0</v>
      </c>
      <c r="T65">
        <v>6195</v>
      </c>
      <c r="U65">
        <v>6779</v>
      </c>
      <c r="V65">
        <v>0</v>
      </c>
      <c r="W65">
        <v>65641</v>
      </c>
      <c r="X65">
        <v>2169</v>
      </c>
      <c r="Y65">
        <v>28242</v>
      </c>
      <c r="Z65">
        <v>4188166.1576824356</v>
      </c>
      <c r="AA65">
        <v>3589856.7065849449</v>
      </c>
      <c r="AB65">
        <v>55243</v>
      </c>
      <c r="AC65">
        <v>-14468</v>
      </c>
      <c r="AD65" t="s">
        <v>187</v>
      </c>
      <c r="AE65" s="232">
        <f t="shared" si="0"/>
        <v>0</v>
      </c>
      <c r="AF65" s="232">
        <f t="shared" si="1"/>
        <v>9.8048475800185858E-2</v>
      </c>
      <c r="AG65" s="232">
        <f t="shared" si="2"/>
        <v>0.1059246507518167</v>
      </c>
      <c r="AH65" s="232">
        <f t="shared" si="3"/>
        <v>0.36033881263234868</v>
      </c>
      <c r="AI65" s="232">
        <f t="shared" si="4"/>
        <v>-0.1414777349522402</v>
      </c>
      <c r="AJ65" s="232">
        <f t="shared" si="5"/>
        <v>3.3043372282567297E-2</v>
      </c>
      <c r="AK65" s="232">
        <f t="shared" si="6"/>
        <v>5.4689244627366199E-2</v>
      </c>
      <c r="AL65" s="232">
        <f t="shared" si="7"/>
        <v>-5.5102755899514022E-2</v>
      </c>
      <c r="AM65" s="232">
        <f t="shared" si="8"/>
        <v>0.63444286805631345</v>
      </c>
      <c r="AN65" s="232">
        <v>5.2999999999999999E-2</v>
      </c>
      <c r="AO65" s="232">
        <f t="shared" si="9"/>
        <v>0.26500000000000001</v>
      </c>
      <c r="AT65" t="s">
        <v>340</v>
      </c>
      <c r="AU65">
        <v>1518999.9999999998</v>
      </c>
      <c r="AV65">
        <v>1300000</v>
      </c>
      <c r="AW65">
        <v>4080583.9476206144</v>
      </c>
      <c r="AX65">
        <v>1261583.9476206144</v>
      </c>
      <c r="AY65">
        <v>1261583.9476206144</v>
      </c>
      <c r="AZ65">
        <v>24376000</v>
      </c>
      <c r="BA65">
        <v>5.1755166869897215E-2</v>
      </c>
    </row>
    <row r="66" spans="1:53" x14ac:dyDescent="0.25">
      <c r="A66" t="s">
        <v>167</v>
      </c>
      <c r="B66">
        <v>1387</v>
      </c>
      <c r="C66">
        <v>35808</v>
      </c>
      <c r="D66">
        <v>100</v>
      </c>
      <c r="E66">
        <v>0</v>
      </c>
      <c r="F66">
        <v>932</v>
      </c>
      <c r="G66">
        <v>0</v>
      </c>
      <c r="H66">
        <v>2589</v>
      </c>
      <c r="I66">
        <v>0</v>
      </c>
      <c r="J66">
        <v>0</v>
      </c>
      <c r="K66">
        <v>6597</v>
      </c>
      <c r="L66">
        <v>111</v>
      </c>
      <c r="M66">
        <v>9465</v>
      </c>
      <c r="N66">
        <v>420</v>
      </c>
      <c r="O66">
        <v>16301</v>
      </c>
      <c r="P66">
        <v>4723</v>
      </c>
      <c r="Q66">
        <v>24721</v>
      </c>
      <c r="R66">
        <v>21</v>
      </c>
      <c r="S66">
        <v>1858</v>
      </c>
      <c r="T66">
        <v>4963</v>
      </c>
      <c r="U66">
        <v>4822</v>
      </c>
      <c r="V66">
        <v>-1</v>
      </c>
      <c r="W66">
        <v>50824</v>
      </c>
      <c r="X66">
        <v>-1824</v>
      </c>
      <c r="Y66">
        <v>18904</v>
      </c>
      <c r="Z66">
        <v>1138470.6156487609</v>
      </c>
      <c r="AA66">
        <v>975831.95627036644</v>
      </c>
      <c r="AB66">
        <v>39957</v>
      </c>
      <c r="AC66">
        <v>-2762</v>
      </c>
      <c r="AD66" t="s">
        <v>167</v>
      </c>
      <c r="AE66" s="232">
        <f t="shared" si="0"/>
        <v>3.2364263443014164E-2</v>
      </c>
      <c r="AF66" s="232">
        <f t="shared" si="1"/>
        <v>0.3710845269951204</v>
      </c>
      <c r="AG66" s="232">
        <f t="shared" si="2"/>
        <v>1.8337793168581772E-2</v>
      </c>
      <c r="AH66" s="232">
        <f t="shared" si="3"/>
        <v>5.0940500550920823E-2</v>
      </c>
      <c r="AI66" s="232">
        <f t="shared" si="4"/>
        <v>0.33762671178970566</v>
      </c>
      <c r="AJ66" s="232">
        <f t="shared" si="5"/>
        <v>-3.5888556587439002E-2</v>
      </c>
      <c r="AK66" s="232">
        <f t="shared" si="6"/>
        <v>1.9200219507916859E-2</v>
      </c>
      <c r="AL66" s="232">
        <f t="shared" si="7"/>
        <v>-1.3586101054619864E-2</v>
      </c>
      <c r="AM66" s="232">
        <f t="shared" si="8"/>
        <v>0.36621435663397728</v>
      </c>
      <c r="AN66" s="232">
        <v>5.3800000000000001E-2</v>
      </c>
      <c r="AO66" s="232">
        <f t="shared" ref="AO66:AO121" si="10">5*AN66</f>
        <v>0.26900000000000002</v>
      </c>
      <c r="AT66" t="s">
        <v>416</v>
      </c>
      <c r="AU66">
        <v>2469999.9999999995</v>
      </c>
      <c r="AV66">
        <v>2009000</v>
      </c>
      <c r="AW66">
        <v>7151817.9805604778</v>
      </c>
      <c r="AX66">
        <v>2672817.9805604778</v>
      </c>
      <c r="AY66">
        <v>2672817.9805604778</v>
      </c>
      <c r="AZ66">
        <v>65410000</v>
      </c>
      <c r="BA66">
        <v>4.0862528368146731E-2</v>
      </c>
    </row>
    <row r="67" spans="1:53" x14ac:dyDescent="0.25">
      <c r="A67" t="s">
        <v>266</v>
      </c>
      <c r="B67">
        <v>843</v>
      </c>
      <c r="C67">
        <v>94890</v>
      </c>
      <c r="D67">
        <v>539</v>
      </c>
      <c r="E67">
        <v>152</v>
      </c>
      <c r="F67">
        <v>262</v>
      </c>
      <c r="G67">
        <v>0</v>
      </c>
      <c r="H67">
        <v>15539</v>
      </c>
      <c r="I67">
        <v>0</v>
      </c>
      <c r="J67">
        <v>0</v>
      </c>
      <c r="K67">
        <v>0</v>
      </c>
      <c r="L67">
        <v>-1181</v>
      </c>
      <c r="M67">
        <v>6263</v>
      </c>
      <c r="N67">
        <v>4014</v>
      </c>
      <c r="O67">
        <v>18411</v>
      </c>
      <c r="P67">
        <v>11830</v>
      </c>
      <c r="Q67">
        <v>78429</v>
      </c>
      <c r="R67">
        <v>0</v>
      </c>
      <c r="S67">
        <v>0</v>
      </c>
      <c r="T67">
        <v>6920</v>
      </c>
      <c r="U67">
        <v>5731</v>
      </c>
      <c r="V67">
        <v>-2</v>
      </c>
      <c r="W67">
        <v>89843</v>
      </c>
      <c r="X67">
        <v>-1047</v>
      </c>
      <c r="Y67">
        <v>42846</v>
      </c>
      <c r="Z67">
        <v>6326065.0124478079</v>
      </c>
      <c r="AA67">
        <v>5422341.4392409781</v>
      </c>
      <c r="AB67">
        <v>94173</v>
      </c>
      <c r="AC67">
        <v>1560</v>
      </c>
      <c r="AD67" t="s">
        <v>266</v>
      </c>
      <c r="AE67" s="232">
        <f t="shared" ref="AE67:AE130" si="11">S67/SUM(O67:U67)</f>
        <v>0</v>
      </c>
      <c r="AF67" s="232">
        <f t="shared" ref="AF67:AF130" si="12">SUM(Q67,R67,S67,T67,U67,-E67,-F67,-G67,-J67,-K67,-L67,-M67,-N67)/W67</f>
        <v>0.9079171443518137</v>
      </c>
      <c r="AG67" s="232">
        <f t="shared" ref="AG67:AG130" si="13">SUM(E67,F67)/W67</f>
        <v>4.6080384671037256E-3</v>
      </c>
      <c r="AH67" s="232">
        <f t="shared" ref="AH67:AH130" si="14">SUM(H67,I67)/W67</f>
        <v>0.17295726990416616</v>
      </c>
      <c r="AI67" s="232">
        <f t="shared" ref="AI67:AI130" si="15">SUM(AF67,0.12*AG67,-0.7*AH67)</f>
        <v>0.78740002003494991</v>
      </c>
      <c r="AJ67" s="232">
        <f t="shared" ref="AJ67:AJ130" si="16">X67/W67</f>
        <v>-1.1653662500139132E-2</v>
      </c>
      <c r="AK67" s="232">
        <f t="shared" ref="AK67:AK130" si="17">AA67/(1000*W67)</f>
        <v>6.0353521579210159E-2</v>
      </c>
      <c r="AL67" s="232">
        <f t="shared" ref="AL67:AL130" si="18">(AC67/4)/W67</f>
        <v>4.3409058023440895E-3</v>
      </c>
      <c r="AM67" s="232">
        <f t="shared" ref="AM67:AM130" si="19">SUM(O67,P67)/SUM(O67,P67,Q67,R67,S67,T67,U67)</f>
        <v>0.24926434829914029</v>
      </c>
      <c r="AN67" s="232">
        <v>3.0700000000000002E-2</v>
      </c>
      <c r="AO67" s="232">
        <f t="shared" si="10"/>
        <v>0.1535</v>
      </c>
      <c r="AT67" t="s">
        <v>218</v>
      </c>
      <c r="AU67">
        <v>3240000.0000000005</v>
      </c>
      <c r="AV67">
        <v>2635000</v>
      </c>
      <c r="AW67">
        <v>7774369.6672225324</v>
      </c>
      <c r="AX67">
        <v>1899369.6672225315</v>
      </c>
      <c r="AY67">
        <v>1899369.6672225315</v>
      </c>
      <c r="AZ67">
        <v>78609000</v>
      </c>
      <c r="BA67">
        <v>2.4162241819925601E-2</v>
      </c>
    </row>
    <row r="68" spans="1:53" x14ac:dyDescent="0.25">
      <c r="A68" t="s">
        <v>611</v>
      </c>
      <c r="B68">
        <v>652</v>
      </c>
      <c r="C68">
        <v>111017</v>
      </c>
      <c r="D68">
        <v>1240</v>
      </c>
      <c r="E68">
        <v>153</v>
      </c>
      <c r="F68">
        <v>9016</v>
      </c>
      <c r="G68">
        <v>0</v>
      </c>
      <c r="H68">
        <v>6291</v>
      </c>
      <c r="I68">
        <v>13</v>
      </c>
      <c r="J68">
        <v>0</v>
      </c>
      <c r="K68">
        <v>6062</v>
      </c>
      <c r="L68">
        <v>649</v>
      </c>
      <c r="M68">
        <v>12643</v>
      </c>
      <c r="N68">
        <v>195</v>
      </c>
      <c r="O68">
        <v>48554</v>
      </c>
      <c r="P68">
        <v>16141</v>
      </c>
      <c r="Q68">
        <v>61848</v>
      </c>
      <c r="R68">
        <v>13</v>
      </c>
      <c r="S68">
        <v>5000</v>
      </c>
      <c r="T68">
        <v>12505</v>
      </c>
      <c r="U68">
        <v>3870</v>
      </c>
      <c r="V68">
        <v>-1</v>
      </c>
      <c r="W68">
        <v>137486</v>
      </c>
      <c r="X68">
        <v>-2493</v>
      </c>
      <c r="Y68">
        <v>51742</v>
      </c>
      <c r="Z68">
        <v>4790229.5780404564</v>
      </c>
      <c r="AA68">
        <v>4105911.0668918202</v>
      </c>
      <c r="AB68">
        <v>111073.49172296426</v>
      </c>
      <c r="AC68">
        <v>595.50827703574032</v>
      </c>
      <c r="AD68" t="s">
        <v>611</v>
      </c>
      <c r="AE68" s="232">
        <f t="shared" si="11"/>
        <v>3.3799541678214841E-2</v>
      </c>
      <c r="AF68" s="232">
        <f t="shared" si="12"/>
        <v>0.39653491991911904</v>
      </c>
      <c r="AG68" s="232">
        <f t="shared" si="13"/>
        <v>6.6690426661623725E-2</v>
      </c>
      <c r="AH68" s="232">
        <f t="shared" si="14"/>
        <v>4.5851941288567566E-2</v>
      </c>
      <c r="AI68" s="232">
        <f t="shared" si="15"/>
        <v>0.37244141221651661</v>
      </c>
      <c r="AJ68" s="232">
        <f t="shared" si="16"/>
        <v>-1.8132755335088662E-2</v>
      </c>
      <c r="AK68" s="232">
        <f t="shared" si="17"/>
        <v>2.9864212115355893E-2</v>
      </c>
      <c r="AL68" s="232">
        <f t="shared" si="18"/>
        <v>1.082852575963626E-3</v>
      </c>
      <c r="AM68" s="232">
        <f t="shared" si="19"/>
        <v>0.43733226977442186</v>
      </c>
      <c r="AN68" s="232">
        <v>3.3700000000000001E-2</v>
      </c>
      <c r="AO68" s="232">
        <f t="shared" si="10"/>
        <v>0.16850000000000001</v>
      </c>
      <c r="AT68" t="s">
        <v>187</v>
      </c>
      <c r="AU68">
        <v>3227000</v>
      </c>
      <c r="AV68">
        <v>1996999.9999999998</v>
      </c>
      <c r="AW68">
        <v>9412166.1576824356</v>
      </c>
      <c r="AX68">
        <v>4188166.1576824356</v>
      </c>
      <c r="AY68">
        <v>4188166.1576824356</v>
      </c>
      <c r="AZ68">
        <v>65641000</v>
      </c>
      <c r="BA68">
        <v>6.3804118731927234E-2</v>
      </c>
    </row>
    <row r="69" spans="1:53" x14ac:dyDescent="0.25">
      <c r="A69" t="s">
        <v>267</v>
      </c>
      <c r="B69">
        <v>100</v>
      </c>
      <c r="C69">
        <v>80158</v>
      </c>
      <c r="D69">
        <v>134</v>
      </c>
      <c r="E69">
        <v>0</v>
      </c>
      <c r="F69">
        <v>1979</v>
      </c>
      <c r="G69">
        <v>0</v>
      </c>
      <c r="H69">
        <v>13650</v>
      </c>
      <c r="I69">
        <v>5</v>
      </c>
      <c r="J69">
        <v>0</v>
      </c>
      <c r="K69">
        <v>2750</v>
      </c>
      <c r="L69">
        <v>243</v>
      </c>
      <c r="M69">
        <v>13727</v>
      </c>
      <c r="N69">
        <v>967</v>
      </c>
      <c r="O69">
        <v>36369</v>
      </c>
      <c r="P69">
        <v>4479</v>
      </c>
      <c r="Q69">
        <v>57310</v>
      </c>
      <c r="R69">
        <v>0</v>
      </c>
      <c r="S69">
        <v>0</v>
      </c>
      <c r="T69">
        <v>13051</v>
      </c>
      <c r="U69">
        <v>2504</v>
      </c>
      <c r="V69">
        <v>-1</v>
      </c>
      <c r="W69">
        <v>97204</v>
      </c>
      <c r="X69">
        <v>6304</v>
      </c>
      <c r="Y69">
        <v>43620</v>
      </c>
      <c r="Z69">
        <v>8780909.1728244759</v>
      </c>
      <c r="AA69">
        <v>7526493.5767066935</v>
      </c>
      <c r="AB69">
        <v>75616</v>
      </c>
      <c r="AC69">
        <v>4642</v>
      </c>
      <c r="AD69" t="s">
        <v>267</v>
      </c>
      <c r="AE69" s="232">
        <f t="shared" si="11"/>
        <v>0</v>
      </c>
      <c r="AF69" s="232">
        <f t="shared" si="12"/>
        <v>0.54729229249825107</v>
      </c>
      <c r="AG69" s="232">
        <f t="shared" si="13"/>
        <v>2.0359244475535988E-2</v>
      </c>
      <c r="AH69" s="232">
        <f t="shared" si="14"/>
        <v>0.14047775811694993</v>
      </c>
      <c r="AI69" s="232">
        <f t="shared" si="15"/>
        <v>0.4514009711534504</v>
      </c>
      <c r="AJ69" s="232">
        <f t="shared" si="16"/>
        <v>6.4853298218180325E-2</v>
      </c>
      <c r="AK69" s="232">
        <f t="shared" si="17"/>
        <v>7.7429875074139884E-2</v>
      </c>
      <c r="AL69" s="232">
        <f t="shared" si="18"/>
        <v>1.1938809102506069E-2</v>
      </c>
      <c r="AM69" s="232">
        <f t="shared" si="19"/>
        <v>0.35922014193627816</v>
      </c>
      <c r="AN69" s="232">
        <v>3.4000000000000002E-2</v>
      </c>
      <c r="AO69" s="232">
        <f t="shared" si="10"/>
        <v>0.17</v>
      </c>
      <c r="AT69" t="s">
        <v>167</v>
      </c>
      <c r="AU69">
        <v>1905999.9999999998</v>
      </c>
      <c r="AV69">
        <v>946000</v>
      </c>
      <c r="AW69">
        <v>3990470.6156487614</v>
      </c>
      <c r="AX69">
        <v>1138470.6156487616</v>
      </c>
      <c r="AY69">
        <v>1138470.6156487616</v>
      </c>
      <c r="AZ69">
        <v>50824000</v>
      </c>
      <c r="BA69">
        <v>2.2400256092569685E-2</v>
      </c>
    </row>
    <row r="70" spans="1:53" x14ac:dyDescent="0.25">
      <c r="A70" t="s">
        <v>140</v>
      </c>
      <c r="B70">
        <v>164</v>
      </c>
      <c r="C70">
        <v>40764</v>
      </c>
      <c r="D70">
        <v>771</v>
      </c>
      <c r="E70">
        <v>2389</v>
      </c>
      <c r="F70">
        <v>5044</v>
      </c>
      <c r="G70">
        <v>0</v>
      </c>
      <c r="H70">
        <v>841</v>
      </c>
      <c r="I70">
        <v>143</v>
      </c>
      <c r="J70">
        <v>0</v>
      </c>
      <c r="K70">
        <v>7305</v>
      </c>
      <c r="L70">
        <v>321</v>
      </c>
      <c r="M70">
        <v>6222</v>
      </c>
      <c r="N70">
        <v>2684</v>
      </c>
      <c r="O70">
        <v>39681</v>
      </c>
      <c r="P70">
        <v>3219</v>
      </c>
      <c r="Q70">
        <v>6742</v>
      </c>
      <c r="R70">
        <v>5</v>
      </c>
      <c r="S70">
        <v>10001</v>
      </c>
      <c r="T70">
        <v>4070</v>
      </c>
      <c r="U70">
        <v>2930</v>
      </c>
      <c r="V70">
        <v>-3</v>
      </c>
      <c r="W70">
        <v>51107</v>
      </c>
      <c r="X70">
        <v>941</v>
      </c>
      <c r="Y70">
        <v>23917</v>
      </c>
      <c r="Z70">
        <v>3184672.2743048053</v>
      </c>
      <c r="AA70">
        <v>2729719.0922612618</v>
      </c>
      <c r="AB70">
        <v>39976</v>
      </c>
      <c r="AC70">
        <v>952</v>
      </c>
      <c r="AD70" t="s">
        <v>140</v>
      </c>
      <c r="AE70" s="232">
        <f t="shared" si="11"/>
        <v>0.15005701596447005</v>
      </c>
      <c r="AF70" s="232">
        <f t="shared" si="12"/>
        <v>-4.2459936994932203E-3</v>
      </c>
      <c r="AG70" s="232">
        <f t="shared" si="13"/>
        <v>0.14543995930107423</v>
      </c>
      <c r="AH70" s="232">
        <f t="shared" si="14"/>
        <v>1.9253722582033773E-2</v>
      </c>
      <c r="AI70" s="232">
        <f t="shared" si="15"/>
        <v>-2.708043907879553E-4</v>
      </c>
      <c r="AJ70" s="232">
        <f t="shared" si="16"/>
        <v>1.8412350558631892E-2</v>
      </c>
      <c r="AK70" s="232">
        <f t="shared" si="17"/>
        <v>5.3411843627316449E-2</v>
      </c>
      <c r="AL70" s="232">
        <f t="shared" si="18"/>
        <v>4.6568963155732088E-3</v>
      </c>
      <c r="AM70" s="232">
        <f t="shared" si="19"/>
        <v>0.64368023046453005</v>
      </c>
      <c r="AN70" s="232">
        <v>3.9100000000000003E-2</v>
      </c>
      <c r="AO70" s="232">
        <f t="shared" si="10"/>
        <v>0.19550000000000001</v>
      </c>
      <c r="AT70" t="s">
        <v>266</v>
      </c>
      <c r="AU70">
        <v>7265000</v>
      </c>
      <c r="AV70">
        <v>3770000</v>
      </c>
      <c r="AW70">
        <v>17361065.012447808</v>
      </c>
      <c r="AX70">
        <v>6326065.0124478079</v>
      </c>
      <c r="AY70">
        <v>6326065.0124478079</v>
      </c>
      <c r="AZ70">
        <v>89843000</v>
      </c>
      <c r="BA70">
        <v>7.0412441842411855E-2</v>
      </c>
    </row>
    <row r="71" spans="1:53" x14ac:dyDescent="0.25">
      <c r="A71" t="s">
        <v>341</v>
      </c>
      <c r="B71">
        <v>91800</v>
      </c>
      <c r="C71">
        <v>298202</v>
      </c>
      <c r="D71">
        <v>2309</v>
      </c>
      <c r="E71">
        <v>28101</v>
      </c>
      <c r="F71">
        <v>22843</v>
      </c>
      <c r="G71">
        <v>0</v>
      </c>
      <c r="H71">
        <v>25626</v>
      </c>
      <c r="I71">
        <v>21</v>
      </c>
      <c r="J71">
        <v>0</v>
      </c>
      <c r="K71">
        <v>44076</v>
      </c>
      <c r="L71">
        <v>24125</v>
      </c>
      <c r="M71">
        <v>46233</v>
      </c>
      <c r="N71">
        <v>19086</v>
      </c>
      <c r="O71">
        <v>150943</v>
      </c>
      <c r="P71">
        <v>7229</v>
      </c>
      <c r="Q71">
        <v>325061</v>
      </c>
      <c r="R71">
        <v>39</v>
      </c>
      <c r="S71">
        <v>63226</v>
      </c>
      <c r="T71">
        <v>30044</v>
      </c>
      <c r="U71">
        <v>25880</v>
      </c>
      <c r="V71">
        <v>0</v>
      </c>
      <c r="W71">
        <v>419939</v>
      </c>
      <c r="X71">
        <v>9396</v>
      </c>
      <c r="Y71">
        <v>102253</v>
      </c>
      <c r="Z71">
        <v>3899554.3610916622</v>
      </c>
      <c r="AA71">
        <v>3342475.1666499963</v>
      </c>
      <c r="AB71">
        <v>267797</v>
      </c>
      <c r="AC71">
        <v>122205</v>
      </c>
      <c r="AD71" t="s">
        <v>341</v>
      </c>
      <c r="AE71" s="232">
        <f t="shared" si="11"/>
        <v>0.1049530063643094</v>
      </c>
      <c r="AF71" s="232">
        <f t="shared" si="12"/>
        <v>0.61862794358228224</v>
      </c>
      <c r="AG71" s="232">
        <f t="shared" si="13"/>
        <v>0.12131285734356656</v>
      </c>
      <c r="AH71" s="232">
        <f t="shared" si="14"/>
        <v>6.1073155863113453E-2</v>
      </c>
      <c r="AI71" s="232">
        <f t="shared" si="15"/>
        <v>0.59043427735933085</v>
      </c>
      <c r="AJ71" s="232">
        <f t="shared" si="16"/>
        <v>2.2374678227075836E-2</v>
      </c>
      <c r="AK71" s="232">
        <f t="shared" si="17"/>
        <v>7.9594302187936724E-3</v>
      </c>
      <c r="AL71" s="232">
        <f t="shared" si="18"/>
        <v>7.2751637737861932E-2</v>
      </c>
      <c r="AM71" s="232">
        <f t="shared" si="19"/>
        <v>0.26256013226608588</v>
      </c>
      <c r="AN71" s="232">
        <v>3.5099999999999999E-2</v>
      </c>
      <c r="AO71" s="232">
        <f t="shared" si="10"/>
        <v>0.17549999999999999</v>
      </c>
      <c r="AT71" t="s">
        <v>611</v>
      </c>
      <c r="AU71">
        <v>6142000.0000000009</v>
      </c>
      <c r="AV71">
        <v>4330000.0000000009</v>
      </c>
      <c r="AW71">
        <v>15262229.578040455</v>
      </c>
      <c r="AX71">
        <v>4790229.5780404536</v>
      </c>
      <c r="AY71">
        <v>4790229.5780404536</v>
      </c>
      <c r="AZ71">
        <v>137486000</v>
      </c>
      <c r="BA71">
        <v>3.4841580801248516E-2</v>
      </c>
    </row>
    <row r="72" spans="1:53" x14ac:dyDescent="0.25">
      <c r="A72" t="s">
        <v>146</v>
      </c>
      <c r="B72">
        <v>969</v>
      </c>
      <c r="C72">
        <v>82508</v>
      </c>
      <c r="D72">
        <v>507</v>
      </c>
      <c r="E72">
        <v>848</v>
      </c>
      <c r="F72">
        <v>0</v>
      </c>
      <c r="G72">
        <v>0</v>
      </c>
      <c r="H72">
        <v>3195</v>
      </c>
      <c r="I72">
        <v>14</v>
      </c>
      <c r="J72">
        <v>0</v>
      </c>
      <c r="K72">
        <v>1083</v>
      </c>
      <c r="L72">
        <v>-2118</v>
      </c>
      <c r="M72">
        <v>12814</v>
      </c>
      <c r="N72">
        <v>14715</v>
      </c>
      <c r="O72">
        <v>30170</v>
      </c>
      <c r="P72">
        <v>3972</v>
      </c>
      <c r="Q72">
        <v>58319</v>
      </c>
      <c r="R72">
        <v>0</v>
      </c>
      <c r="S72">
        <v>7000</v>
      </c>
      <c r="T72">
        <v>6943</v>
      </c>
      <c r="U72">
        <v>8131</v>
      </c>
      <c r="V72">
        <v>12</v>
      </c>
      <c r="W72">
        <v>99662</v>
      </c>
      <c r="X72">
        <v>4601</v>
      </c>
      <c r="Y72">
        <v>24863</v>
      </c>
      <c r="Z72">
        <v>-3297420.392641197</v>
      </c>
      <c r="AA72">
        <v>-2826360.3365495973</v>
      </c>
      <c r="AB72">
        <v>89568</v>
      </c>
      <c r="AC72">
        <v>-6091</v>
      </c>
      <c r="AD72" t="s">
        <v>146</v>
      </c>
      <c r="AE72" s="232">
        <f t="shared" si="11"/>
        <v>6.1116689221635309E-2</v>
      </c>
      <c r="AF72" s="232">
        <f t="shared" si="12"/>
        <v>0.53230920511328295</v>
      </c>
      <c r="AG72" s="232">
        <f t="shared" si="13"/>
        <v>8.5087596074732604E-3</v>
      </c>
      <c r="AH72" s="232">
        <f t="shared" si="14"/>
        <v>3.2198832052336895E-2</v>
      </c>
      <c r="AI72" s="232">
        <f t="shared" si="15"/>
        <v>0.51079107382954392</v>
      </c>
      <c r="AJ72" s="232">
        <f t="shared" si="16"/>
        <v>4.6166041219321309E-2</v>
      </c>
      <c r="AK72" s="232">
        <f t="shared" si="17"/>
        <v>-2.8359458334667149E-2</v>
      </c>
      <c r="AL72" s="232">
        <f t="shared" si="18"/>
        <v>-1.5279143505047058E-2</v>
      </c>
      <c r="AM72" s="232">
        <f t="shared" si="19"/>
        <v>0.29809228620072464</v>
      </c>
      <c r="AN72" s="232">
        <v>1.72E-2</v>
      </c>
      <c r="AO72" s="232">
        <f t="shared" si="10"/>
        <v>8.5999999999999993E-2</v>
      </c>
      <c r="AT72" t="s">
        <v>145</v>
      </c>
      <c r="AU72">
        <v>1332000</v>
      </c>
      <c r="AV72">
        <v>1589000</v>
      </c>
      <c r="AW72">
        <v>2767741.1563055171</v>
      </c>
      <c r="AX72">
        <v>-153258.84369448293</v>
      </c>
      <c r="AY72">
        <v>0</v>
      </c>
      <c r="AZ72">
        <v>34040000</v>
      </c>
      <c r="BA72">
        <v>-4.5023162072409788E-3</v>
      </c>
    </row>
    <row r="73" spans="1:53" x14ac:dyDescent="0.25">
      <c r="A73" t="s">
        <v>296</v>
      </c>
      <c r="B73">
        <v>9263</v>
      </c>
      <c r="C73">
        <v>76712</v>
      </c>
      <c r="D73">
        <v>14014</v>
      </c>
      <c r="E73">
        <v>62461</v>
      </c>
      <c r="F73">
        <v>3457</v>
      </c>
      <c r="G73">
        <v>0</v>
      </c>
      <c r="H73">
        <v>11359</v>
      </c>
      <c r="I73">
        <v>6</v>
      </c>
      <c r="J73">
        <v>0</v>
      </c>
      <c r="K73">
        <v>36514</v>
      </c>
      <c r="L73">
        <v>955</v>
      </c>
      <c r="M73">
        <v>16315</v>
      </c>
      <c r="N73">
        <v>2093</v>
      </c>
      <c r="O73">
        <v>66257</v>
      </c>
      <c r="P73">
        <v>16060</v>
      </c>
      <c r="Q73">
        <v>120316</v>
      </c>
      <c r="R73">
        <v>176</v>
      </c>
      <c r="S73">
        <v>0</v>
      </c>
      <c r="T73">
        <v>17280</v>
      </c>
      <c r="U73">
        <v>13060</v>
      </c>
      <c r="V73">
        <v>1</v>
      </c>
      <c r="W73">
        <v>182712</v>
      </c>
      <c r="X73">
        <v>-4524</v>
      </c>
      <c r="Y73">
        <v>55760</v>
      </c>
      <c r="Z73">
        <v>913001.44229901955</v>
      </c>
      <c r="AA73">
        <v>782572.66482773109</v>
      </c>
      <c r="AB73">
        <v>93107</v>
      </c>
      <c r="AC73">
        <v>-7132</v>
      </c>
      <c r="AD73" t="s">
        <v>296</v>
      </c>
      <c r="AE73" s="232">
        <f t="shared" si="11"/>
        <v>0</v>
      </c>
      <c r="AF73" s="232">
        <f t="shared" si="12"/>
        <v>0.15892223827663207</v>
      </c>
      <c r="AG73" s="232">
        <f t="shared" si="13"/>
        <v>0.36077542799597179</v>
      </c>
      <c r="AH73" s="232">
        <f t="shared" si="14"/>
        <v>6.2201716362362623E-2</v>
      </c>
      <c r="AI73" s="232">
        <f t="shared" si="15"/>
        <v>0.15867408818249484</v>
      </c>
      <c r="AJ73" s="232">
        <f t="shared" si="16"/>
        <v>-2.4760278471036384E-2</v>
      </c>
      <c r="AK73" s="232">
        <f t="shared" si="17"/>
        <v>4.2830939666126536E-3</v>
      </c>
      <c r="AL73" s="232">
        <f t="shared" si="18"/>
        <v>-9.7585270808704418E-3</v>
      </c>
      <c r="AM73" s="232">
        <f t="shared" si="19"/>
        <v>0.35306606504853122</v>
      </c>
      <c r="AN73" s="232">
        <v>4.9399999999999999E-2</v>
      </c>
      <c r="AO73" s="232">
        <f t="shared" si="10"/>
        <v>0.247</v>
      </c>
      <c r="AT73" t="s">
        <v>267</v>
      </c>
      <c r="AU73">
        <v>5371000</v>
      </c>
      <c r="AV73">
        <v>2372000</v>
      </c>
      <c r="AW73">
        <v>16523909.172824476</v>
      </c>
      <c r="AX73">
        <v>8780909.1728244759</v>
      </c>
      <c r="AY73">
        <v>8780909.1728244759</v>
      </c>
      <c r="AZ73">
        <v>97204000</v>
      </c>
      <c r="BA73">
        <v>9.0334854253163205E-2</v>
      </c>
    </row>
    <row r="74" spans="1:53" x14ac:dyDescent="0.25">
      <c r="A74" t="s">
        <v>417</v>
      </c>
      <c r="B74">
        <v>8154</v>
      </c>
      <c r="C74">
        <v>78770</v>
      </c>
      <c r="D74">
        <v>263</v>
      </c>
      <c r="E74">
        <v>2620</v>
      </c>
      <c r="F74">
        <v>29</v>
      </c>
      <c r="G74">
        <v>0</v>
      </c>
      <c r="H74">
        <v>65379</v>
      </c>
      <c r="I74">
        <v>4</v>
      </c>
      <c r="J74">
        <v>0</v>
      </c>
      <c r="K74">
        <v>29609</v>
      </c>
      <c r="L74">
        <v>1172</v>
      </c>
      <c r="M74">
        <v>2680</v>
      </c>
      <c r="N74">
        <v>9707</v>
      </c>
      <c r="O74">
        <v>36424</v>
      </c>
      <c r="P74">
        <v>54691</v>
      </c>
      <c r="Q74">
        <v>89578</v>
      </c>
      <c r="R74">
        <v>886</v>
      </c>
      <c r="S74">
        <v>0</v>
      </c>
      <c r="T74">
        <v>4280</v>
      </c>
      <c r="U74">
        <v>12528</v>
      </c>
      <c r="V74">
        <v>2</v>
      </c>
      <c r="W74">
        <v>85618</v>
      </c>
      <c r="X74">
        <v>-546</v>
      </c>
      <c r="Y74">
        <v>32137</v>
      </c>
      <c r="Z74">
        <v>3253616.7444212567</v>
      </c>
      <c r="AA74">
        <v>2788814.352361077</v>
      </c>
      <c r="AB74">
        <v>96711</v>
      </c>
      <c r="AC74">
        <v>-9787</v>
      </c>
      <c r="AD74" t="s">
        <v>417</v>
      </c>
      <c r="AE74" s="232">
        <f t="shared" si="11"/>
        <v>0</v>
      </c>
      <c r="AF74" s="232">
        <f t="shared" si="12"/>
        <v>0.7177813076689481</v>
      </c>
      <c r="AG74" s="232">
        <f t="shared" si="13"/>
        <v>3.0939755658856781E-2</v>
      </c>
      <c r="AH74" s="232">
        <f t="shared" si="14"/>
        <v>0.76365951085052208</v>
      </c>
      <c r="AI74" s="232">
        <f t="shared" si="15"/>
        <v>0.18693242075264549</v>
      </c>
      <c r="AJ74" s="232">
        <f t="shared" si="16"/>
        <v>-6.3771636805344672E-3</v>
      </c>
      <c r="AK74" s="232">
        <f t="shared" si="17"/>
        <v>3.2572757508480425E-2</v>
      </c>
      <c r="AL74" s="232">
        <f t="shared" si="18"/>
        <v>-2.8577518746058073E-2</v>
      </c>
      <c r="AM74" s="232">
        <f t="shared" si="19"/>
        <v>0.45927908582719634</v>
      </c>
      <c r="AN74" s="232">
        <v>3.5400000000000001E-2</v>
      </c>
      <c r="AO74" s="232">
        <f t="shared" si="10"/>
        <v>0.17699999999999999</v>
      </c>
      <c r="AT74" t="s">
        <v>140</v>
      </c>
      <c r="AU74">
        <v>2806000</v>
      </c>
      <c r="AV74">
        <v>1438000</v>
      </c>
      <c r="AW74">
        <v>7428672.2743048063</v>
      </c>
      <c r="AX74">
        <v>3184672.2743048063</v>
      </c>
      <c r="AY74">
        <v>3184672.2743048063</v>
      </c>
      <c r="AZ74">
        <v>51107000</v>
      </c>
      <c r="BA74">
        <v>6.2313817565202538E-2</v>
      </c>
    </row>
    <row r="75" spans="1:53" x14ac:dyDescent="0.25">
      <c r="A75" t="s">
        <v>188</v>
      </c>
      <c r="B75">
        <v>3468</v>
      </c>
      <c r="C75">
        <v>246821</v>
      </c>
      <c r="D75">
        <v>18726</v>
      </c>
      <c r="E75">
        <v>25724</v>
      </c>
      <c r="F75">
        <v>5883</v>
      </c>
      <c r="G75">
        <v>0</v>
      </c>
      <c r="H75">
        <v>57453</v>
      </c>
      <c r="I75">
        <v>10952</v>
      </c>
      <c r="J75">
        <v>0</v>
      </c>
      <c r="K75">
        <v>0</v>
      </c>
      <c r="L75">
        <v>5946</v>
      </c>
      <c r="M75">
        <v>13015</v>
      </c>
      <c r="N75">
        <v>49078</v>
      </c>
      <c r="O75">
        <v>76204</v>
      </c>
      <c r="P75">
        <v>9318</v>
      </c>
      <c r="Q75">
        <v>275385</v>
      </c>
      <c r="R75">
        <v>678</v>
      </c>
      <c r="S75">
        <v>41112</v>
      </c>
      <c r="T75">
        <v>16222</v>
      </c>
      <c r="U75">
        <v>18147</v>
      </c>
      <c r="V75">
        <v>-2</v>
      </c>
      <c r="W75">
        <v>350456</v>
      </c>
      <c r="X75">
        <v>-1589</v>
      </c>
      <c r="Y75">
        <v>99653</v>
      </c>
      <c r="Z75">
        <v>952971.24158018455</v>
      </c>
      <c r="AA75">
        <v>816832.49278301536</v>
      </c>
      <c r="AB75">
        <v>216183</v>
      </c>
      <c r="AC75">
        <v>34106</v>
      </c>
      <c r="AD75" t="s">
        <v>188</v>
      </c>
      <c r="AE75" s="232">
        <f t="shared" si="11"/>
        <v>9.4063596802313604E-2</v>
      </c>
      <c r="AF75" s="232">
        <f t="shared" si="12"/>
        <v>0.71877211404570041</v>
      </c>
      <c r="AG75" s="232">
        <f t="shared" si="13"/>
        <v>9.018821192960029E-2</v>
      </c>
      <c r="AH75" s="232">
        <f t="shared" si="14"/>
        <v>0.19518855434063048</v>
      </c>
      <c r="AI75" s="232">
        <f t="shared" si="15"/>
        <v>0.59296271143881107</v>
      </c>
      <c r="AJ75" s="232">
        <f t="shared" si="16"/>
        <v>-4.5340927249069782E-3</v>
      </c>
      <c r="AK75" s="232">
        <f t="shared" si="17"/>
        <v>2.3307704612933302E-3</v>
      </c>
      <c r="AL75" s="232">
        <f t="shared" si="18"/>
        <v>2.4329730408382221E-2</v>
      </c>
      <c r="AM75" s="232">
        <f t="shared" si="19"/>
        <v>0.19567296472386322</v>
      </c>
      <c r="AN75" s="232">
        <v>3.2399999999999998E-2</v>
      </c>
      <c r="AO75" s="232">
        <f t="shared" si="10"/>
        <v>0.16199999999999998</v>
      </c>
      <c r="AT75" t="s">
        <v>341</v>
      </c>
      <c r="AU75">
        <v>13590000.000000002</v>
      </c>
      <c r="AV75">
        <v>15294000.000000002</v>
      </c>
      <c r="AW75">
        <v>32783554.361091662</v>
      </c>
      <c r="AX75">
        <v>3899554.3610916566</v>
      </c>
      <c r="AY75">
        <v>3899554.3610916566</v>
      </c>
      <c r="AZ75">
        <v>419939000</v>
      </c>
      <c r="BA75">
        <v>9.2860019219259387E-3</v>
      </c>
    </row>
    <row r="76" spans="1:53" x14ac:dyDescent="0.25">
      <c r="A76" t="s">
        <v>297</v>
      </c>
      <c r="B76">
        <v>525</v>
      </c>
      <c r="C76">
        <v>72691</v>
      </c>
      <c r="D76">
        <v>1588</v>
      </c>
      <c r="E76">
        <v>0</v>
      </c>
      <c r="F76">
        <v>8755</v>
      </c>
      <c r="G76">
        <v>0</v>
      </c>
      <c r="H76">
        <v>13771</v>
      </c>
      <c r="I76">
        <v>0</v>
      </c>
      <c r="J76">
        <v>150</v>
      </c>
      <c r="K76">
        <v>0</v>
      </c>
      <c r="L76">
        <v>165</v>
      </c>
      <c r="M76">
        <v>13134</v>
      </c>
      <c r="N76">
        <v>4740</v>
      </c>
      <c r="O76">
        <v>24412</v>
      </c>
      <c r="P76">
        <v>10923</v>
      </c>
      <c r="Q76">
        <v>61000</v>
      </c>
      <c r="R76">
        <v>1830</v>
      </c>
      <c r="S76">
        <v>0</v>
      </c>
      <c r="T76">
        <v>8128</v>
      </c>
      <c r="U76">
        <v>9226</v>
      </c>
      <c r="V76">
        <v>0</v>
      </c>
      <c r="W76">
        <v>88775</v>
      </c>
      <c r="X76">
        <v>4049</v>
      </c>
      <c r="Y76">
        <v>28121</v>
      </c>
      <c r="Z76">
        <v>2584656.8319475828</v>
      </c>
      <c r="AA76">
        <v>2215420.1416693567</v>
      </c>
      <c r="AB76">
        <v>69063</v>
      </c>
      <c r="AC76">
        <v>4153</v>
      </c>
      <c r="AD76" t="s">
        <v>297</v>
      </c>
      <c r="AE76" s="232">
        <f t="shared" si="11"/>
        <v>0</v>
      </c>
      <c r="AF76" s="232">
        <f t="shared" si="12"/>
        <v>0.59971838918614473</v>
      </c>
      <c r="AG76" s="232">
        <f t="shared" si="13"/>
        <v>9.862010701210927E-2</v>
      </c>
      <c r="AH76" s="232">
        <f t="shared" si="14"/>
        <v>0.15512250070402703</v>
      </c>
      <c r="AI76" s="232">
        <f t="shared" si="15"/>
        <v>0.50296705153477894</v>
      </c>
      <c r="AJ76" s="232">
        <f t="shared" si="16"/>
        <v>4.560968741199662E-2</v>
      </c>
      <c r="AK76" s="232">
        <f t="shared" si="17"/>
        <v>2.4955450765073012E-2</v>
      </c>
      <c r="AL76" s="232">
        <f t="shared" si="18"/>
        <v>1.1695297099408617E-2</v>
      </c>
      <c r="AM76" s="232">
        <f t="shared" si="19"/>
        <v>0.305880417939906</v>
      </c>
      <c r="AN76" s="232">
        <v>1.2500000000000001E-2</v>
      </c>
      <c r="AO76" s="232">
        <f t="shared" si="10"/>
        <v>6.25E-2</v>
      </c>
      <c r="AT76" t="s">
        <v>146</v>
      </c>
      <c r="AU76">
        <v>3023000</v>
      </c>
      <c r="AV76">
        <v>7744000</v>
      </c>
      <c r="AW76">
        <v>7469579.607358804</v>
      </c>
      <c r="AX76">
        <v>-3297420.392641196</v>
      </c>
      <c r="AY76">
        <v>0</v>
      </c>
      <c r="AZ76">
        <v>99662000</v>
      </c>
      <c r="BA76">
        <v>-3.3086034723778329E-2</v>
      </c>
    </row>
    <row r="77" spans="1:53" x14ac:dyDescent="0.25">
      <c r="A77" t="s">
        <v>189</v>
      </c>
      <c r="B77">
        <v>239</v>
      </c>
      <c r="C77">
        <v>49477</v>
      </c>
      <c r="D77">
        <v>2520</v>
      </c>
      <c r="E77">
        <v>781</v>
      </c>
      <c r="F77">
        <v>5728</v>
      </c>
      <c r="G77">
        <v>0</v>
      </c>
      <c r="H77">
        <v>4957</v>
      </c>
      <c r="I77">
        <v>781</v>
      </c>
      <c r="J77">
        <v>0</v>
      </c>
      <c r="K77">
        <v>13537</v>
      </c>
      <c r="L77">
        <v>469</v>
      </c>
      <c r="M77">
        <v>10948</v>
      </c>
      <c r="N77">
        <v>1613</v>
      </c>
      <c r="O77">
        <v>44681</v>
      </c>
      <c r="P77">
        <v>4888</v>
      </c>
      <c r="Q77">
        <v>33931</v>
      </c>
      <c r="R77">
        <v>0</v>
      </c>
      <c r="S77">
        <v>0</v>
      </c>
      <c r="T77">
        <v>5448</v>
      </c>
      <c r="U77">
        <v>2102</v>
      </c>
      <c r="V77">
        <v>0</v>
      </c>
      <c r="W77">
        <v>70240</v>
      </c>
      <c r="X77">
        <v>5434</v>
      </c>
      <c r="Y77">
        <v>26291</v>
      </c>
      <c r="Z77">
        <v>2186368.1534736175</v>
      </c>
      <c r="AA77">
        <v>1874029.8458345295</v>
      </c>
      <c r="AB77">
        <v>56611</v>
      </c>
      <c r="AC77">
        <v>-6895</v>
      </c>
      <c r="AD77" t="s">
        <v>189</v>
      </c>
      <c r="AE77" s="232">
        <f t="shared" si="11"/>
        <v>0</v>
      </c>
      <c r="AF77" s="232">
        <f t="shared" si="12"/>
        <v>0.11966116173120729</v>
      </c>
      <c r="AG77" s="232">
        <f t="shared" si="13"/>
        <v>9.2667995444191339E-2</v>
      </c>
      <c r="AH77" s="232">
        <f t="shared" si="14"/>
        <v>8.1691343963553528E-2</v>
      </c>
      <c r="AI77" s="232">
        <f t="shared" si="15"/>
        <v>7.3597380410022784E-2</v>
      </c>
      <c r="AJ77" s="232">
        <f t="shared" si="16"/>
        <v>7.73633257403189E-2</v>
      </c>
      <c r="AK77" s="232">
        <f t="shared" si="17"/>
        <v>2.6680379354136238E-2</v>
      </c>
      <c r="AL77" s="232">
        <f t="shared" si="18"/>
        <v>-2.4540859908883828E-2</v>
      </c>
      <c r="AM77" s="232">
        <f t="shared" si="19"/>
        <v>0.54441515650741346</v>
      </c>
      <c r="AN77" s="232">
        <v>2.6700000000000002E-2</v>
      </c>
      <c r="AO77" s="232">
        <f t="shared" si="10"/>
        <v>0.13350000000000001</v>
      </c>
      <c r="AT77" t="s">
        <v>296</v>
      </c>
      <c r="AU77">
        <v>5939000</v>
      </c>
      <c r="AV77">
        <v>7600000</v>
      </c>
      <c r="AW77">
        <v>14452001.44229902</v>
      </c>
      <c r="AX77">
        <v>913001.44229901955</v>
      </c>
      <c r="AY77">
        <v>913001.44229901955</v>
      </c>
      <c r="AZ77">
        <v>182712000</v>
      </c>
      <c r="BA77">
        <v>4.9969429610480951E-3</v>
      </c>
    </row>
    <row r="78" spans="1:53" x14ac:dyDescent="0.25">
      <c r="A78" t="s">
        <v>219</v>
      </c>
      <c r="B78">
        <v>0</v>
      </c>
      <c r="C78">
        <v>15924</v>
      </c>
      <c r="D78">
        <v>101</v>
      </c>
      <c r="E78">
        <v>2625</v>
      </c>
      <c r="F78">
        <v>1436</v>
      </c>
      <c r="G78">
        <v>0</v>
      </c>
      <c r="H78">
        <v>2255</v>
      </c>
      <c r="I78">
        <v>1</v>
      </c>
      <c r="J78">
        <v>0</v>
      </c>
      <c r="K78">
        <v>12474</v>
      </c>
      <c r="L78">
        <v>-204</v>
      </c>
      <c r="M78">
        <v>1743</v>
      </c>
      <c r="N78">
        <v>2937</v>
      </c>
      <c r="O78">
        <v>28787</v>
      </c>
      <c r="P78">
        <v>3708</v>
      </c>
      <c r="Q78">
        <v>0</v>
      </c>
      <c r="R78">
        <v>0</v>
      </c>
      <c r="S78">
        <v>0</v>
      </c>
      <c r="T78">
        <v>3931</v>
      </c>
      <c r="U78">
        <v>2866</v>
      </c>
      <c r="V78">
        <v>0</v>
      </c>
      <c r="W78">
        <v>32349</v>
      </c>
      <c r="X78">
        <v>-115</v>
      </c>
      <c r="Y78">
        <v>11328</v>
      </c>
      <c r="Z78">
        <v>752807.52487562271</v>
      </c>
      <c r="AA78">
        <v>645263.59275053383</v>
      </c>
      <c r="AB78">
        <v>16617</v>
      </c>
      <c r="AC78">
        <v>-693</v>
      </c>
      <c r="AD78" t="s">
        <v>219</v>
      </c>
      <c r="AE78" s="232">
        <f t="shared" si="11"/>
        <v>0</v>
      </c>
      <c r="AF78" s="232">
        <f t="shared" si="12"/>
        <v>-0.43939534452378742</v>
      </c>
      <c r="AG78" s="232">
        <f t="shared" si="13"/>
        <v>0.12553711088441682</v>
      </c>
      <c r="AH78" s="232">
        <f t="shared" si="14"/>
        <v>6.9739404618380782E-2</v>
      </c>
      <c r="AI78" s="232">
        <f t="shared" si="15"/>
        <v>-0.47314847445052394</v>
      </c>
      <c r="AJ78" s="232">
        <f t="shared" si="16"/>
        <v>-3.5549785155646234E-3</v>
      </c>
      <c r="AK78" s="232">
        <f t="shared" si="17"/>
        <v>1.9946940948732072E-2</v>
      </c>
      <c r="AL78" s="232">
        <f t="shared" si="18"/>
        <v>-5.3556524158397479E-3</v>
      </c>
      <c r="AM78" s="232">
        <f t="shared" si="19"/>
        <v>0.82701313244426344</v>
      </c>
      <c r="AN78" s="232">
        <v>4.5499999999999999E-2</v>
      </c>
      <c r="AO78" s="232">
        <f t="shared" si="10"/>
        <v>0.22749999999999998</v>
      </c>
      <c r="AT78" t="s">
        <v>417</v>
      </c>
      <c r="AU78">
        <v>4895000</v>
      </c>
      <c r="AV78">
        <v>3139000</v>
      </c>
      <c r="AW78">
        <v>11287616.744421257</v>
      </c>
      <c r="AX78">
        <v>3253616.7444212567</v>
      </c>
      <c r="AY78">
        <v>3253616.7444212567</v>
      </c>
      <c r="AZ78">
        <v>85618000</v>
      </c>
      <c r="BA78">
        <v>3.8001550426560497E-2</v>
      </c>
    </row>
    <row r="79" spans="1:53" x14ac:dyDescent="0.25">
      <c r="A79" t="s">
        <v>220</v>
      </c>
      <c r="B79">
        <v>17659</v>
      </c>
      <c r="C79">
        <v>193218</v>
      </c>
      <c r="D79">
        <v>506</v>
      </c>
      <c r="E79">
        <v>5406</v>
      </c>
      <c r="F79">
        <v>12514</v>
      </c>
      <c r="G79">
        <v>0</v>
      </c>
      <c r="H79">
        <v>46471</v>
      </c>
      <c r="I79">
        <v>0</v>
      </c>
      <c r="J79">
        <v>0</v>
      </c>
      <c r="K79">
        <v>0</v>
      </c>
      <c r="L79">
        <v>1098</v>
      </c>
      <c r="M79">
        <v>20321</v>
      </c>
      <c r="N79">
        <v>15043</v>
      </c>
      <c r="O79">
        <v>57171</v>
      </c>
      <c r="P79">
        <v>14079</v>
      </c>
      <c r="Q79">
        <v>193135</v>
      </c>
      <c r="R79">
        <v>284</v>
      </c>
      <c r="S79">
        <v>15816</v>
      </c>
      <c r="T79">
        <v>13127</v>
      </c>
      <c r="U79">
        <v>18624</v>
      </c>
      <c r="V79">
        <v>0</v>
      </c>
      <c r="W79">
        <v>239202</v>
      </c>
      <c r="X79">
        <v>1788</v>
      </c>
      <c r="Y79">
        <v>57382</v>
      </c>
      <c r="Z79">
        <v>4612490.9381183702</v>
      </c>
      <c r="AA79">
        <v>3953563.6612443174</v>
      </c>
      <c r="AB79">
        <v>178503</v>
      </c>
      <c r="AC79">
        <v>32374</v>
      </c>
      <c r="AD79" t="s">
        <v>220</v>
      </c>
      <c r="AE79" s="232">
        <f t="shared" si="11"/>
        <v>5.0653992492857965E-2</v>
      </c>
      <c r="AF79" s="232">
        <f t="shared" si="12"/>
        <v>0.78011053419285792</v>
      </c>
      <c r="AG79" s="232">
        <f t="shared" si="13"/>
        <v>7.4915761573899883E-2</v>
      </c>
      <c r="AH79" s="232">
        <f t="shared" si="14"/>
        <v>0.1942751314788338</v>
      </c>
      <c r="AI79" s="232">
        <f t="shared" si="15"/>
        <v>0.65310783354654223</v>
      </c>
      <c r="AJ79" s="232">
        <f t="shared" si="16"/>
        <v>7.4748538891815288E-3</v>
      </c>
      <c r="AK79" s="232">
        <f t="shared" si="17"/>
        <v>1.6528137980636941E-2</v>
      </c>
      <c r="AL79" s="232">
        <f t="shared" si="18"/>
        <v>3.3835419436292341E-2</v>
      </c>
      <c r="AM79" s="232">
        <f t="shared" si="19"/>
        <v>0.22819277725822776</v>
      </c>
      <c r="AN79" s="232">
        <v>3.27E-2</v>
      </c>
      <c r="AO79" s="232">
        <f t="shared" si="10"/>
        <v>0.16350000000000001</v>
      </c>
      <c r="AT79" t="s">
        <v>188</v>
      </c>
      <c r="AU79">
        <v>12716000</v>
      </c>
      <c r="AV79">
        <v>13284000</v>
      </c>
      <c r="AW79">
        <v>26952971.241580185</v>
      </c>
      <c r="AX79">
        <v>952971.24158018455</v>
      </c>
      <c r="AY79">
        <v>952971.24158018455</v>
      </c>
      <c r="AZ79">
        <v>350456000</v>
      </c>
      <c r="BA79">
        <v>2.7192322048422185E-3</v>
      </c>
    </row>
    <row r="80" spans="1:53" x14ac:dyDescent="0.25">
      <c r="A80" t="s">
        <v>418</v>
      </c>
      <c r="B80">
        <v>0</v>
      </c>
      <c r="C80">
        <v>56990</v>
      </c>
      <c r="D80">
        <v>271</v>
      </c>
      <c r="E80">
        <v>5091</v>
      </c>
      <c r="F80">
        <v>1846</v>
      </c>
      <c r="G80">
        <v>2</v>
      </c>
      <c r="H80">
        <v>12821</v>
      </c>
      <c r="I80">
        <v>0</v>
      </c>
      <c r="J80">
        <v>0</v>
      </c>
      <c r="K80">
        <v>0</v>
      </c>
      <c r="L80">
        <v>-1152</v>
      </c>
      <c r="M80">
        <v>5354</v>
      </c>
      <c r="N80">
        <v>641</v>
      </c>
      <c r="O80">
        <v>15667</v>
      </c>
      <c r="P80">
        <v>7376</v>
      </c>
      <c r="Q80">
        <v>45255</v>
      </c>
      <c r="R80">
        <v>28</v>
      </c>
      <c r="S80">
        <v>5000</v>
      </c>
      <c r="T80">
        <v>4855</v>
      </c>
      <c r="U80">
        <v>3683</v>
      </c>
      <c r="V80">
        <v>-5</v>
      </c>
      <c r="W80">
        <v>53780</v>
      </c>
      <c r="X80">
        <v>-1054</v>
      </c>
      <c r="Y80">
        <v>25777</v>
      </c>
      <c r="Z80">
        <v>2773751.796731716</v>
      </c>
      <c r="AA80">
        <v>2377501.5400557565</v>
      </c>
      <c r="AB80">
        <v>48258</v>
      </c>
      <c r="AC80">
        <v>8732</v>
      </c>
      <c r="AD80" t="s">
        <v>418</v>
      </c>
      <c r="AE80" s="232">
        <f t="shared" si="11"/>
        <v>6.107690804260725E-2</v>
      </c>
      <c r="AF80" s="232">
        <f t="shared" si="12"/>
        <v>0.87465600595016735</v>
      </c>
      <c r="AG80" s="232">
        <f t="shared" si="13"/>
        <v>0.12898847155076237</v>
      </c>
      <c r="AH80" s="232">
        <f t="shared" si="14"/>
        <v>0.23839717367050947</v>
      </c>
      <c r="AI80" s="232">
        <f t="shared" si="15"/>
        <v>0.72325660096690225</v>
      </c>
      <c r="AJ80" s="232">
        <f t="shared" si="16"/>
        <v>-1.9598363703979174E-2</v>
      </c>
      <c r="AK80" s="232">
        <f t="shared" si="17"/>
        <v>4.4207912607953821E-2</v>
      </c>
      <c r="AL80" s="232">
        <f t="shared" si="18"/>
        <v>4.0591297880252883E-2</v>
      </c>
      <c r="AM80" s="232">
        <f t="shared" si="19"/>
        <v>0.28147903840515975</v>
      </c>
      <c r="AN80" s="232">
        <v>3.5900000000000001E-2</v>
      </c>
      <c r="AO80" s="232">
        <f t="shared" si="10"/>
        <v>0.17949999999999999</v>
      </c>
      <c r="AT80" t="s">
        <v>297</v>
      </c>
      <c r="AU80">
        <v>2575000</v>
      </c>
      <c r="AV80">
        <v>2424000</v>
      </c>
      <c r="AW80">
        <v>7583656.8319475846</v>
      </c>
      <c r="AX80">
        <v>2584656.8319475846</v>
      </c>
      <c r="AY80">
        <v>2584656.8319475846</v>
      </c>
      <c r="AZ80">
        <v>88775000</v>
      </c>
      <c r="BA80">
        <v>2.9114692559251868E-2</v>
      </c>
    </row>
    <row r="81" spans="1:53" x14ac:dyDescent="0.25">
      <c r="A81" t="s">
        <v>342</v>
      </c>
      <c r="B81">
        <v>64687</v>
      </c>
      <c r="C81">
        <v>608590</v>
      </c>
      <c r="D81">
        <v>19698</v>
      </c>
      <c r="E81">
        <v>10777</v>
      </c>
      <c r="F81">
        <v>20644</v>
      </c>
      <c r="G81">
        <v>0</v>
      </c>
      <c r="H81">
        <v>43938</v>
      </c>
      <c r="I81">
        <v>9300</v>
      </c>
      <c r="J81">
        <v>0</v>
      </c>
      <c r="K81">
        <v>5000</v>
      </c>
      <c r="L81">
        <v>-5246</v>
      </c>
      <c r="M81">
        <v>55146</v>
      </c>
      <c r="N81">
        <v>10320</v>
      </c>
      <c r="O81">
        <v>429110</v>
      </c>
      <c r="P81">
        <v>14598</v>
      </c>
      <c r="Q81">
        <v>301404</v>
      </c>
      <c r="R81">
        <v>-12</v>
      </c>
      <c r="S81">
        <v>55000</v>
      </c>
      <c r="T81">
        <v>3154</v>
      </c>
      <c r="U81">
        <v>39600</v>
      </c>
      <c r="V81">
        <v>-2</v>
      </c>
      <c r="W81">
        <v>467483</v>
      </c>
      <c r="X81">
        <v>-560</v>
      </c>
      <c r="Y81">
        <v>118426</v>
      </c>
      <c r="Z81">
        <v>9625738.6947523579</v>
      </c>
      <c r="AA81">
        <v>8250633.1669305917</v>
      </c>
      <c r="AB81">
        <v>616380</v>
      </c>
      <c r="AC81">
        <v>56897</v>
      </c>
      <c r="AD81" t="s">
        <v>342</v>
      </c>
      <c r="AE81" s="232">
        <f t="shared" si="11"/>
        <v>6.5254480609927695E-2</v>
      </c>
      <c r="AF81" s="232">
        <f t="shared" si="12"/>
        <v>0.64709304937291834</v>
      </c>
      <c r="AG81" s="232">
        <f t="shared" si="13"/>
        <v>6.7213139301322181E-2</v>
      </c>
      <c r="AH81" s="232">
        <f t="shared" si="14"/>
        <v>0.11388221603780245</v>
      </c>
      <c r="AI81" s="232">
        <f t="shared" si="15"/>
        <v>0.57544107486261531</v>
      </c>
      <c r="AJ81" s="232">
        <f t="shared" si="16"/>
        <v>-1.197904522731308E-3</v>
      </c>
      <c r="AK81" s="232">
        <f t="shared" si="17"/>
        <v>1.7649054975112662E-2</v>
      </c>
      <c r="AL81" s="232">
        <f t="shared" si="18"/>
        <v>3.0427309656180009E-2</v>
      </c>
      <c r="AM81" s="232">
        <f t="shared" si="19"/>
        <v>0.52643518331763273</v>
      </c>
      <c r="AN81" s="232">
        <v>2.8899999999999999E-2</v>
      </c>
      <c r="AO81" s="232">
        <f t="shared" si="10"/>
        <v>0.14449999999999999</v>
      </c>
      <c r="AT81" t="s">
        <v>189</v>
      </c>
      <c r="AU81">
        <v>3673000</v>
      </c>
      <c r="AV81">
        <v>2770000</v>
      </c>
      <c r="AW81">
        <v>8629368.1534736194</v>
      </c>
      <c r="AX81">
        <v>2186368.1534736194</v>
      </c>
      <c r="AY81">
        <v>2186368.1534736194</v>
      </c>
      <c r="AZ81">
        <v>70240000</v>
      </c>
      <c r="BA81">
        <v>3.1127109246492302E-2</v>
      </c>
    </row>
    <row r="82" spans="1:53" x14ac:dyDescent="0.25">
      <c r="A82" t="s">
        <v>298</v>
      </c>
      <c r="B82">
        <v>0</v>
      </c>
      <c r="C82">
        <v>26052</v>
      </c>
      <c r="D82">
        <v>168</v>
      </c>
      <c r="E82">
        <v>0</v>
      </c>
      <c r="F82">
        <v>6868</v>
      </c>
      <c r="G82">
        <v>0</v>
      </c>
      <c r="H82">
        <v>7742</v>
      </c>
      <c r="I82">
        <v>2</v>
      </c>
      <c r="J82">
        <v>0</v>
      </c>
      <c r="K82">
        <v>4934</v>
      </c>
      <c r="L82">
        <v>225</v>
      </c>
      <c r="M82">
        <v>2470</v>
      </c>
      <c r="N82">
        <v>9242</v>
      </c>
      <c r="O82">
        <v>35651</v>
      </c>
      <c r="P82">
        <v>4862</v>
      </c>
      <c r="Q82">
        <v>10315</v>
      </c>
      <c r="R82">
        <v>28</v>
      </c>
      <c r="S82">
        <v>0</v>
      </c>
      <c r="T82">
        <v>3820</v>
      </c>
      <c r="U82">
        <v>3027</v>
      </c>
      <c r="V82">
        <v>0</v>
      </c>
      <c r="W82">
        <v>39526</v>
      </c>
      <c r="X82">
        <v>1318</v>
      </c>
      <c r="Y82">
        <v>19440</v>
      </c>
      <c r="Z82">
        <v>2629921.0472000446</v>
      </c>
      <c r="AA82">
        <v>2254218.0404571812</v>
      </c>
      <c r="AB82">
        <v>25818</v>
      </c>
      <c r="AC82">
        <v>234</v>
      </c>
      <c r="AD82" t="s">
        <v>298</v>
      </c>
      <c r="AE82" s="232">
        <f t="shared" si="11"/>
        <v>0</v>
      </c>
      <c r="AF82" s="232">
        <f t="shared" si="12"/>
        <v>-0.16568840763042048</v>
      </c>
      <c r="AG82" s="232">
        <f t="shared" si="13"/>
        <v>0.1737590446794515</v>
      </c>
      <c r="AH82" s="232">
        <f t="shared" si="14"/>
        <v>0.19592167181095987</v>
      </c>
      <c r="AI82" s="232">
        <f t="shared" si="15"/>
        <v>-0.28198249253655816</v>
      </c>
      <c r="AJ82" s="232">
        <f t="shared" si="16"/>
        <v>3.3345139907908716E-2</v>
      </c>
      <c r="AK82" s="232">
        <f t="shared" si="17"/>
        <v>5.7031271579648365E-2</v>
      </c>
      <c r="AL82" s="232">
        <f t="shared" si="18"/>
        <v>1.4800384557000456E-3</v>
      </c>
      <c r="AM82" s="232">
        <f t="shared" si="19"/>
        <v>0.70209521168743394</v>
      </c>
      <c r="AN82" s="232">
        <v>4.99E-2</v>
      </c>
      <c r="AO82" s="232">
        <f t="shared" si="10"/>
        <v>0.2495</v>
      </c>
      <c r="AT82" t="s">
        <v>219</v>
      </c>
      <c r="AU82">
        <v>1551000</v>
      </c>
      <c r="AV82">
        <v>507000</v>
      </c>
      <c r="AW82">
        <v>2810807.5248756222</v>
      </c>
      <c r="AX82">
        <v>752807.52487562224</v>
      </c>
      <c r="AY82">
        <v>752807.52487562224</v>
      </c>
      <c r="AZ82">
        <v>32349000</v>
      </c>
      <c r="BA82">
        <v>2.3271431106854069E-2</v>
      </c>
    </row>
    <row r="83" spans="1:53" x14ac:dyDescent="0.25">
      <c r="A83" t="s">
        <v>419</v>
      </c>
      <c r="B83">
        <v>3210</v>
      </c>
      <c r="C83">
        <v>54012</v>
      </c>
      <c r="D83">
        <v>337</v>
      </c>
      <c r="E83">
        <v>0</v>
      </c>
      <c r="F83">
        <v>133</v>
      </c>
      <c r="G83">
        <v>0</v>
      </c>
      <c r="H83">
        <v>0</v>
      </c>
      <c r="I83">
        <v>-489</v>
      </c>
      <c r="J83">
        <v>0</v>
      </c>
      <c r="K83">
        <v>0</v>
      </c>
      <c r="L83">
        <v>3958</v>
      </c>
      <c r="M83">
        <v>5615</v>
      </c>
      <c r="N83">
        <v>2128</v>
      </c>
      <c r="O83">
        <v>51653</v>
      </c>
      <c r="P83">
        <v>6643</v>
      </c>
      <c r="Q83">
        <v>3725</v>
      </c>
      <c r="R83">
        <v>127</v>
      </c>
      <c r="S83">
        <v>-9</v>
      </c>
      <c r="T83">
        <v>3740</v>
      </c>
      <c r="U83">
        <v>3025</v>
      </c>
      <c r="V83">
        <v>-3</v>
      </c>
      <c r="W83">
        <v>49666</v>
      </c>
      <c r="X83">
        <v>-771</v>
      </c>
      <c r="Y83">
        <v>27063</v>
      </c>
      <c r="Z83">
        <v>3621327.4984890288</v>
      </c>
      <c r="AA83">
        <v>3103994.9987048819</v>
      </c>
      <c r="AB83">
        <v>53766</v>
      </c>
      <c r="AC83">
        <v>3456</v>
      </c>
      <c r="AD83" t="s">
        <v>419</v>
      </c>
      <c r="AE83" s="232">
        <f t="shared" si="11"/>
        <v>-1.3061650992685477E-4</v>
      </c>
      <c r="AF83" s="232">
        <f t="shared" si="12"/>
        <v>-2.4684895099263079E-2</v>
      </c>
      <c r="AG83" s="232">
        <f t="shared" si="13"/>
        <v>2.6778882938026014E-3</v>
      </c>
      <c r="AH83" s="232">
        <f t="shared" si="14"/>
        <v>-9.84576974187573E-3</v>
      </c>
      <c r="AI83" s="232">
        <f t="shared" si="15"/>
        <v>-1.7471509684693756E-2</v>
      </c>
      <c r="AJ83" s="232">
        <f t="shared" si="16"/>
        <v>-1.552369830467523E-2</v>
      </c>
      <c r="AK83" s="232">
        <f t="shared" si="17"/>
        <v>6.2497382489124995E-2</v>
      </c>
      <c r="AL83" s="232">
        <f t="shared" si="18"/>
        <v>1.7396206660492085E-2</v>
      </c>
      <c r="AM83" s="232">
        <f t="shared" si="19"/>
        <v>0.84604667363288055</v>
      </c>
      <c r="AN83" s="232">
        <v>4.1000000000000002E-2</v>
      </c>
      <c r="AO83" s="232">
        <f t="shared" si="10"/>
        <v>0.20500000000000002</v>
      </c>
      <c r="AT83" t="s">
        <v>220</v>
      </c>
      <c r="AU83">
        <v>6403000.0000000009</v>
      </c>
      <c r="AV83">
        <v>5456000</v>
      </c>
      <c r="AW83">
        <v>16471490.938118372</v>
      </c>
      <c r="AX83">
        <v>4612490.9381183721</v>
      </c>
      <c r="AY83">
        <v>4612490.9381183721</v>
      </c>
      <c r="AZ83">
        <v>239202000</v>
      </c>
      <c r="BA83">
        <v>1.9282827644076437E-2</v>
      </c>
    </row>
    <row r="84" spans="1:53" x14ac:dyDescent="0.25">
      <c r="A84" t="s">
        <v>495</v>
      </c>
      <c r="B84">
        <v>36998</v>
      </c>
      <c r="C84">
        <v>50354</v>
      </c>
      <c r="D84">
        <v>38</v>
      </c>
      <c r="E84">
        <v>1449</v>
      </c>
      <c r="F84">
        <v>15387</v>
      </c>
      <c r="G84">
        <v>0</v>
      </c>
      <c r="H84">
        <v>39158</v>
      </c>
      <c r="I84">
        <v>0</v>
      </c>
      <c r="J84">
        <v>0</v>
      </c>
      <c r="K84">
        <v>0</v>
      </c>
      <c r="L84">
        <v>0</v>
      </c>
      <c r="M84">
        <v>11586</v>
      </c>
      <c r="N84">
        <v>389</v>
      </c>
      <c r="O84">
        <v>93300</v>
      </c>
      <c r="P84">
        <v>42828</v>
      </c>
      <c r="Q84">
        <v>24213</v>
      </c>
      <c r="R84">
        <v>59</v>
      </c>
      <c r="S84">
        <v>-17683</v>
      </c>
      <c r="T84">
        <v>5367</v>
      </c>
      <c r="U84">
        <v>7275</v>
      </c>
      <c r="V84">
        <v>1</v>
      </c>
      <c r="W84">
        <v>119089</v>
      </c>
      <c r="X84">
        <v>16853</v>
      </c>
      <c r="Y84">
        <v>40735</v>
      </c>
      <c r="Z84">
        <v>2409642.4533725251</v>
      </c>
      <c r="AA84">
        <v>2065407.81717645</v>
      </c>
      <c r="AB84">
        <v>51923</v>
      </c>
      <c r="AC84">
        <v>35429</v>
      </c>
      <c r="AD84" t="s">
        <v>495</v>
      </c>
      <c r="AE84" s="232">
        <f t="shared" si="11"/>
        <v>-0.11382024858553415</v>
      </c>
      <c r="AF84" s="232">
        <f t="shared" si="12"/>
        <v>-8.0444037652511985E-2</v>
      </c>
      <c r="AG84" s="232">
        <f t="shared" si="13"/>
        <v>0.14137325865529143</v>
      </c>
      <c r="AH84" s="232">
        <f t="shared" si="14"/>
        <v>0.32881290463434909</v>
      </c>
      <c r="AI84" s="232">
        <f t="shared" si="15"/>
        <v>-0.29364827985792136</v>
      </c>
      <c r="AJ84" s="232">
        <f t="shared" si="16"/>
        <v>0.14151600903525935</v>
      </c>
      <c r="AK84" s="232">
        <f t="shared" si="17"/>
        <v>1.734339709945041E-2</v>
      </c>
      <c r="AL84" s="232">
        <f t="shared" si="18"/>
        <v>7.4375047233581612E-2</v>
      </c>
      <c r="AM84" s="232">
        <f t="shared" si="19"/>
        <v>0.87621573259354146</v>
      </c>
      <c r="AN84" s="232">
        <v>5.1999999999999998E-2</v>
      </c>
      <c r="AO84" s="232">
        <f t="shared" si="10"/>
        <v>0.26</v>
      </c>
      <c r="AT84" t="s">
        <v>418</v>
      </c>
      <c r="AU84">
        <v>3371000.0000000005</v>
      </c>
      <c r="AV84">
        <v>1355000</v>
      </c>
      <c r="AW84">
        <v>7499751.7967317179</v>
      </c>
      <c r="AX84">
        <v>2773751.7967317174</v>
      </c>
      <c r="AY84">
        <v>2773751.7967317174</v>
      </c>
      <c r="AZ84">
        <v>53780000</v>
      </c>
      <c r="BA84">
        <v>5.1575898042612818E-2</v>
      </c>
    </row>
    <row r="85" spans="1:53" x14ac:dyDescent="0.25">
      <c r="A85" t="s">
        <v>221</v>
      </c>
      <c r="B85">
        <v>167</v>
      </c>
      <c r="C85">
        <v>44787</v>
      </c>
      <c r="D85">
        <v>1368</v>
      </c>
      <c r="E85">
        <v>1</v>
      </c>
      <c r="F85">
        <v>8629</v>
      </c>
      <c r="G85">
        <v>26</v>
      </c>
      <c r="H85">
        <v>5560</v>
      </c>
      <c r="I85">
        <v>0</v>
      </c>
      <c r="J85">
        <v>0</v>
      </c>
      <c r="K85">
        <v>0</v>
      </c>
      <c r="L85">
        <v>3680</v>
      </c>
      <c r="M85">
        <v>3969</v>
      </c>
      <c r="N85">
        <v>2977</v>
      </c>
      <c r="O85">
        <v>19119</v>
      </c>
      <c r="P85">
        <v>3523</v>
      </c>
      <c r="Q85">
        <v>40376</v>
      </c>
      <c r="R85">
        <v>94</v>
      </c>
      <c r="S85">
        <v>108</v>
      </c>
      <c r="T85">
        <v>5199</v>
      </c>
      <c r="U85">
        <v>2745</v>
      </c>
      <c r="V85">
        <v>-108</v>
      </c>
      <c r="W85">
        <v>39865</v>
      </c>
      <c r="X85">
        <v>2300</v>
      </c>
      <c r="Y85">
        <v>18701</v>
      </c>
      <c r="Z85">
        <v>1949685.4041045178</v>
      </c>
      <c r="AA85">
        <v>1671158.9178038724</v>
      </c>
      <c r="AB85">
        <v>44151</v>
      </c>
      <c r="AC85">
        <v>803</v>
      </c>
      <c r="AD85" t="s">
        <v>221</v>
      </c>
      <c r="AE85" s="232">
        <f t="shared" si="11"/>
        <v>1.5176212691810466E-3</v>
      </c>
      <c r="AF85" s="232">
        <f t="shared" si="12"/>
        <v>0.73347547974413652</v>
      </c>
      <c r="AG85" s="232">
        <f t="shared" si="13"/>
        <v>0.2164806220995861</v>
      </c>
      <c r="AH85" s="232">
        <f t="shared" si="14"/>
        <v>0.13947071365859776</v>
      </c>
      <c r="AI85" s="232">
        <f t="shared" si="15"/>
        <v>0.66182365483506844</v>
      </c>
      <c r="AJ85" s="232">
        <f t="shared" si="16"/>
        <v>5.7694719678916345E-2</v>
      </c>
      <c r="AK85" s="232">
        <f t="shared" si="17"/>
        <v>4.1920454478963309E-2</v>
      </c>
      <c r="AL85" s="232">
        <f t="shared" si="18"/>
        <v>5.035745641540198E-3</v>
      </c>
      <c r="AM85" s="232">
        <f t="shared" si="19"/>
        <v>0.31816648867404868</v>
      </c>
      <c r="AN85" s="232">
        <v>2.1299999999999999E-2</v>
      </c>
      <c r="AO85" s="232">
        <f t="shared" si="10"/>
        <v>0.1065</v>
      </c>
      <c r="AT85" t="s">
        <v>168</v>
      </c>
      <c r="AU85">
        <v>2950000</v>
      </c>
      <c r="AV85">
        <v>2014999.9999999995</v>
      </c>
      <c r="AW85">
        <v>5689090.70503751</v>
      </c>
      <c r="AX85">
        <v>724090.70503751049</v>
      </c>
      <c r="AY85">
        <v>724090.70503751049</v>
      </c>
      <c r="AZ85">
        <v>75135000</v>
      </c>
      <c r="BA85">
        <v>9.6371957814269053E-3</v>
      </c>
    </row>
    <row r="86" spans="1:53" x14ac:dyDescent="0.25">
      <c r="A86" t="s">
        <v>222</v>
      </c>
      <c r="B86">
        <v>459</v>
      </c>
      <c r="C86">
        <v>56342</v>
      </c>
      <c r="D86">
        <v>368</v>
      </c>
      <c r="E86">
        <v>5246</v>
      </c>
      <c r="F86">
        <v>12363</v>
      </c>
      <c r="G86">
        <v>0</v>
      </c>
      <c r="H86">
        <v>26253</v>
      </c>
      <c r="I86">
        <v>0</v>
      </c>
      <c r="J86">
        <v>0</v>
      </c>
      <c r="K86">
        <v>0</v>
      </c>
      <c r="L86">
        <v>4010</v>
      </c>
      <c r="M86">
        <v>3771</v>
      </c>
      <c r="N86">
        <v>1119</v>
      </c>
      <c r="O86">
        <v>34334</v>
      </c>
      <c r="P86">
        <v>23137</v>
      </c>
      <c r="Q86">
        <v>47047</v>
      </c>
      <c r="R86">
        <v>28</v>
      </c>
      <c r="S86">
        <v>0</v>
      </c>
      <c r="T86">
        <v>2840</v>
      </c>
      <c r="U86">
        <v>2545</v>
      </c>
      <c r="V86">
        <v>-2</v>
      </c>
      <c r="W86">
        <v>61890</v>
      </c>
      <c r="X86">
        <v>4648</v>
      </c>
      <c r="Y86">
        <v>25438</v>
      </c>
      <c r="Z86">
        <v>2273982.150788364</v>
      </c>
      <c r="AA86">
        <v>1949127.5578185976</v>
      </c>
      <c r="AB86">
        <v>48312</v>
      </c>
      <c r="AC86">
        <v>8489</v>
      </c>
      <c r="AD86" t="s">
        <v>222</v>
      </c>
      <c r="AE86" s="232">
        <f t="shared" si="11"/>
        <v>0</v>
      </c>
      <c r="AF86" s="232">
        <f t="shared" si="12"/>
        <v>0.41930845047665211</v>
      </c>
      <c r="AG86" s="232">
        <f t="shared" si="13"/>
        <v>0.28452092422039099</v>
      </c>
      <c r="AH86" s="232">
        <f t="shared" si="14"/>
        <v>0.42418807561803201</v>
      </c>
      <c r="AI86" s="232">
        <f t="shared" si="15"/>
        <v>0.15651930845047662</v>
      </c>
      <c r="AJ86" s="232">
        <f t="shared" si="16"/>
        <v>7.5100985619647759E-2</v>
      </c>
      <c r="AK86" s="232">
        <f t="shared" si="17"/>
        <v>3.1493416671814468E-2</v>
      </c>
      <c r="AL86" s="232">
        <f t="shared" si="18"/>
        <v>3.4290677007594118E-2</v>
      </c>
      <c r="AM86" s="232">
        <f t="shared" si="19"/>
        <v>0.52279156925707948</v>
      </c>
      <c r="AN86" s="232">
        <v>1.7100000000000001E-2</v>
      </c>
      <c r="AO86" s="232">
        <f t="shared" si="10"/>
        <v>8.5500000000000007E-2</v>
      </c>
      <c r="AT86" t="s">
        <v>342</v>
      </c>
      <c r="AU86">
        <v>11235999.999999998</v>
      </c>
      <c r="AV86">
        <v>12263000</v>
      </c>
      <c r="AW86">
        <v>33124738.694752358</v>
      </c>
      <c r="AX86">
        <v>9625738.6947523579</v>
      </c>
      <c r="AY86">
        <v>9625738.6947523579</v>
      </c>
      <c r="AZ86">
        <v>467483000</v>
      </c>
      <c r="BA86">
        <v>2.059056413763144E-2</v>
      </c>
    </row>
    <row r="87" spans="1:53" x14ac:dyDescent="0.25">
      <c r="A87" t="s">
        <v>465</v>
      </c>
      <c r="B87">
        <v>18078</v>
      </c>
      <c r="C87">
        <v>90890</v>
      </c>
      <c r="D87">
        <v>5884</v>
      </c>
      <c r="E87">
        <v>3796</v>
      </c>
      <c r="F87">
        <v>651</v>
      </c>
      <c r="G87">
        <v>0</v>
      </c>
      <c r="H87">
        <v>941</v>
      </c>
      <c r="I87">
        <v>-6</v>
      </c>
      <c r="J87">
        <v>0</v>
      </c>
      <c r="K87">
        <v>0</v>
      </c>
      <c r="L87">
        <v>8414</v>
      </c>
      <c r="M87">
        <v>8719</v>
      </c>
      <c r="N87">
        <v>832</v>
      </c>
      <c r="O87">
        <v>50559</v>
      </c>
      <c r="P87">
        <v>8547</v>
      </c>
      <c r="Q87">
        <v>54828</v>
      </c>
      <c r="R87">
        <v>0</v>
      </c>
      <c r="S87">
        <v>11723</v>
      </c>
      <c r="T87">
        <v>11689</v>
      </c>
      <c r="U87">
        <v>853</v>
      </c>
      <c r="V87">
        <v>2</v>
      </c>
      <c r="W87">
        <v>78217</v>
      </c>
      <c r="X87">
        <v>3230</v>
      </c>
      <c r="Y87">
        <v>31751</v>
      </c>
      <c r="Z87">
        <v>2560329.0720921978</v>
      </c>
      <c r="AA87">
        <v>2194567.7760790265</v>
      </c>
      <c r="AB87">
        <v>71456</v>
      </c>
      <c r="AC87">
        <v>37512</v>
      </c>
      <c r="AD87" t="s">
        <v>465</v>
      </c>
      <c r="AE87" s="232">
        <f t="shared" si="11"/>
        <v>8.4826952438150777E-2</v>
      </c>
      <c r="AF87" s="232">
        <f t="shared" si="12"/>
        <v>0.72466343633736907</v>
      </c>
      <c r="AG87" s="232">
        <f t="shared" si="13"/>
        <v>5.6854647966554588E-2</v>
      </c>
      <c r="AH87" s="232">
        <f t="shared" si="14"/>
        <v>1.1953923060204303E-2</v>
      </c>
      <c r="AI87" s="232">
        <f t="shared" si="15"/>
        <v>0.7231182479512126</v>
      </c>
      <c r="AJ87" s="232">
        <f t="shared" si="16"/>
        <v>4.1295370571614864E-2</v>
      </c>
      <c r="AK87" s="232">
        <f t="shared" si="17"/>
        <v>2.8057427107649573E-2</v>
      </c>
      <c r="AL87" s="232">
        <f t="shared" si="18"/>
        <v>0.11989720904662669</v>
      </c>
      <c r="AM87" s="232">
        <f t="shared" si="19"/>
        <v>0.42768760989587479</v>
      </c>
      <c r="AN87" s="232">
        <v>3.0499999999999999E-2</v>
      </c>
      <c r="AO87" s="232">
        <f t="shared" si="10"/>
        <v>0.1525</v>
      </c>
      <c r="AT87" t="s">
        <v>298</v>
      </c>
      <c r="AU87">
        <v>1747000</v>
      </c>
      <c r="AV87">
        <v>894000.00000000023</v>
      </c>
      <c r="AW87">
        <v>5270921.0472000465</v>
      </c>
      <c r="AX87">
        <v>2629921.0472000465</v>
      </c>
      <c r="AY87">
        <v>2629921.0472000465</v>
      </c>
      <c r="AZ87">
        <v>39526000</v>
      </c>
      <c r="BA87">
        <v>6.6536483509589794E-2</v>
      </c>
    </row>
    <row r="88" spans="1:53" x14ac:dyDescent="0.25">
      <c r="A88" t="s">
        <v>299</v>
      </c>
      <c r="B88">
        <v>15</v>
      </c>
      <c r="C88">
        <v>86960</v>
      </c>
      <c r="D88">
        <v>1034</v>
      </c>
      <c r="E88">
        <v>10683</v>
      </c>
      <c r="F88">
        <v>180</v>
      </c>
      <c r="G88">
        <v>130</v>
      </c>
      <c r="H88">
        <v>-2111</v>
      </c>
      <c r="I88">
        <v>0</v>
      </c>
      <c r="J88">
        <v>0</v>
      </c>
      <c r="K88">
        <v>10934</v>
      </c>
      <c r="L88">
        <v>627</v>
      </c>
      <c r="M88">
        <v>6870</v>
      </c>
      <c r="N88">
        <v>1188</v>
      </c>
      <c r="O88">
        <v>71611</v>
      </c>
      <c r="P88">
        <v>11408</v>
      </c>
      <c r="Q88">
        <v>17823</v>
      </c>
      <c r="R88">
        <v>19</v>
      </c>
      <c r="S88">
        <v>0</v>
      </c>
      <c r="T88">
        <v>10495</v>
      </c>
      <c r="U88">
        <v>5154</v>
      </c>
      <c r="V88">
        <v>41</v>
      </c>
      <c r="W88">
        <v>82474</v>
      </c>
      <c r="X88">
        <v>4504</v>
      </c>
      <c r="Y88">
        <v>35953</v>
      </c>
      <c r="Z88">
        <v>5065085.1510813273</v>
      </c>
      <c r="AA88">
        <v>4341501.5580697097</v>
      </c>
      <c r="AB88">
        <v>77608</v>
      </c>
      <c r="AC88">
        <v>9367</v>
      </c>
      <c r="AD88" t="s">
        <v>299</v>
      </c>
      <c r="AE88" s="232">
        <f t="shared" si="11"/>
        <v>0</v>
      </c>
      <c r="AF88" s="232">
        <f t="shared" si="12"/>
        <v>3.4907970996920244E-2</v>
      </c>
      <c r="AG88" s="232">
        <f t="shared" si="13"/>
        <v>0.13171423721415235</v>
      </c>
      <c r="AH88" s="232">
        <f t="shared" si="14"/>
        <v>-2.5595945388849819E-2</v>
      </c>
      <c r="AI88" s="232">
        <f t="shared" si="15"/>
        <v>6.8630841234813389E-2</v>
      </c>
      <c r="AJ88" s="232">
        <f t="shared" si="16"/>
        <v>5.4611150180662996E-2</v>
      </c>
      <c r="AK88" s="232">
        <f t="shared" si="17"/>
        <v>5.2640851153935901E-2</v>
      </c>
      <c r="AL88" s="232">
        <f t="shared" si="18"/>
        <v>2.8393796832941291E-2</v>
      </c>
      <c r="AM88" s="232">
        <f t="shared" si="19"/>
        <v>0.71254827911767227</v>
      </c>
      <c r="AN88" s="232">
        <v>3.7499999999999999E-2</v>
      </c>
      <c r="AO88" s="232">
        <f t="shared" si="10"/>
        <v>0.1875</v>
      </c>
      <c r="AT88" t="s">
        <v>419</v>
      </c>
      <c r="AU88">
        <v>2924000</v>
      </c>
      <c r="AV88">
        <v>1595000</v>
      </c>
      <c r="AW88">
        <v>8140327.4984890316</v>
      </c>
      <c r="AX88">
        <v>3621327.4984890316</v>
      </c>
      <c r="AY88">
        <v>3621327.4984890316</v>
      </c>
      <c r="AZ88">
        <v>49666000</v>
      </c>
      <c r="BA88">
        <v>7.2913612903979214E-2</v>
      </c>
    </row>
    <row r="89" spans="1:53" x14ac:dyDescent="0.25">
      <c r="A89" t="s">
        <v>223</v>
      </c>
      <c r="B89">
        <v>1122</v>
      </c>
      <c r="C89">
        <v>238943</v>
      </c>
      <c r="D89">
        <v>3002</v>
      </c>
      <c r="E89">
        <v>69591</v>
      </c>
      <c r="F89">
        <v>14706</v>
      </c>
      <c r="G89">
        <v>0</v>
      </c>
      <c r="H89">
        <v>100400</v>
      </c>
      <c r="I89">
        <v>969</v>
      </c>
      <c r="J89">
        <v>0</v>
      </c>
      <c r="K89">
        <v>13360</v>
      </c>
      <c r="L89">
        <v>7030</v>
      </c>
      <c r="M89">
        <v>17949</v>
      </c>
      <c r="N89">
        <v>39957</v>
      </c>
      <c r="O89">
        <v>133235</v>
      </c>
      <c r="P89">
        <v>48291</v>
      </c>
      <c r="Q89">
        <v>225640</v>
      </c>
      <c r="R89">
        <v>1503</v>
      </c>
      <c r="S89">
        <v>4438</v>
      </c>
      <c r="T89">
        <v>15044</v>
      </c>
      <c r="U89">
        <v>78878</v>
      </c>
      <c r="V89">
        <v>0</v>
      </c>
      <c r="W89">
        <v>385823</v>
      </c>
      <c r="X89">
        <v>-6169</v>
      </c>
      <c r="Y89">
        <v>114682</v>
      </c>
      <c r="Z89">
        <v>14015757.944635175</v>
      </c>
      <c r="AA89">
        <v>12013506.809687292</v>
      </c>
      <c r="AB89">
        <v>332465</v>
      </c>
      <c r="AC89">
        <v>-92400</v>
      </c>
      <c r="AD89" t="s">
        <v>223</v>
      </c>
      <c r="AE89" s="232">
        <f t="shared" si="11"/>
        <v>8.7529510146362437E-3</v>
      </c>
      <c r="AF89" s="232">
        <f t="shared" si="12"/>
        <v>0.42224025006285265</v>
      </c>
      <c r="AG89" s="232">
        <f t="shared" si="13"/>
        <v>0.21848619703853839</v>
      </c>
      <c r="AH89" s="232">
        <f t="shared" si="14"/>
        <v>0.26273446632264019</v>
      </c>
      <c r="AI89" s="232">
        <f t="shared" si="15"/>
        <v>0.26454446728162917</v>
      </c>
      <c r="AJ89" s="232">
        <f t="shared" si="16"/>
        <v>-1.598919711888612E-2</v>
      </c>
      <c r="AK89" s="232">
        <f t="shared" si="17"/>
        <v>3.1137352645351085E-2</v>
      </c>
      <c r="AL89" s="232">
        <f t="shared" si="18"/>
        <v>-5.9872013850910913E-2</v>
      </c>
      <c r="AM89" s="232">
        <f t="shared" si="19"/>
        <v>0.35801896932917054</v>
      </c>
      <c r="AN89" s="232">
        <v>3.32E-2</v>
      </c>
      <c r="AO89" s="232">
        <f t="shared" si="10"/>
        <v>0.16600000000000001</v>
      </c>
      <c r="AT89" t="s">
        <v>495</v>
      </c>
      <c r="AU89">
        <v>5253000</v>
      </c>
      <c r="AV89">
        <v>4344000</v>
      </c>
      <c r="AW89">
        <v>12006642.453372525</v>
      </c>
      <c r="AX89">
        <v>2409642.4533725251</v>
      </c>
      <c r="AY89">
        <v>2409642.4533725251</v>
      </c>
      <c r="AZ89">
        <v>119089000</v>
      </c>
      <c r="BA89">
        <v>2.0233963282692148E-2</v>
      </c>
    </row>
    <row r="90" spans="1:53" x14ac:dyDescent="0.25">
      <c r="A90" t="s">
        <v>268</v>
      </c>
      <c r="B90">
        <v>8490</v>
      </c>
      <c r="C90">
        <v>18689</v>
      </c>
      <c r="D90">
        <v>8</v>
      </c>
      <c r="E90">
        <v>5579</v>
      </c>
      <c r="F90">
        <v>788</v>
      </c>
      <c r="G90">
        <v>0</v>
      </c>
      <c r="H90">
        <v>1069</v>
      </c>
      <c r="I90">
        <v>0</v>
      </c>
      <c r="J90">
        <v>0</v>
      </c>
      <c r="K90">
        <v>3858</v>
      </c>
      <c r="L90">
        <v>389</v>
      </c>
      <c r="M90">
        <v>22366</v>
      </c>
      <c r="N90">
        <v>2324</v>
      </c>
      <c r="O90">
        <v>21599</v>
      </c>
      <c r="P90">
        <v>2043</v>
      </c>
      <c r="Q90">
        <v>32010</v>
      </c>
      <c r="R90">
        <v>0</v>
      </c>
      <c r="S90">
        <v>0</v>
      </c>
      <c r="T90">
        <v>9</v>
      </c>
      <c r="U90">
        <v>7899</v>
      </c>
      <c r="V90">
        <v>-3</v>
      </c>
      <c r="W90">
        <v>21310</v>
      </c>
      <c r="X90">
        <v>-585</v>
      </c>
      <c r="Y90">
        <v>9112</v>
      </c>
      <c r="Z90">
        <v>1374257.9537849724</v>
      </c>
      <c r="AA90">
        <v>1177935.3889585477</v>
      </c>
      <c r="AB90">
        <v>31236</v>
      </c>
      <c r="AC90">
        <v>-4057</v>
      </c>
      <c r="AD90" t="s">
        <v>268</v>
      </c>
      <c r="AE90" s="232">
        <f t="shared" si="11"/>
        <v>0</v>
      </c>
      <c r="AF90" s="232">
        <f t="shared" si="12"/>
        <v>0.21651806663538245</v>
      </c>
      <c r="AG90" s="232">
        <f t="shared" si="13"/>
        <v>0.29877991553261379</v>
      </c>
      <c r="AH90" s="232">
        <f t="shared" si="14"/>
        <v>5.0164242139840449E-2</v>
      </c>
      <c r="AI90" s="232">
        <f t="shared" si="15"/>
        <v>0.21725668700140779</v>
      </c>
      <c r="AJ90" s="232">
        <f t="shared" si="16"/>
        <v>-2.7451900516189582E-2</v>
      </c>
      <c r="AK90" s="232">
        <f t="shared" si="17"/>
        <v>5.5276179678955782E-2</v>
      </c>
      <c r="AL90" s="232">
        <f t="shared" si="18"/>
        <v>-4.7595025809479115E-2</v>
      </c>
      <c r="AM90" s="232">
        <f t="shared" si="19"/>
        <v>0.37196349905601006</v>
      </c>
      <c r="AN90" s="232">
        <v>4.9799999999999997E-2</v>
      </c>
      <c r="AO90" s="232">
        <f t="shared" si="10"/>
        <v>0.249</v>
      </c>
      <c r="AT90" t="s">
        <v>221</v>
      </c>
      <c r="AU90">
        <v>2147000</v>
      </c>
      <c r="AV90">
        <v>1129000.0000000002</v>
      </c>
      <c r="AW90">
        <v>5225685.4041045178</v>
      </c>
      <c r="AX90">
        <v>1949685.4041045175</v>
      </c>
      <c r="AY90">
        <v>1949685.4041045175</v>
      </c>
      <c r="AZ90">
        <v>39865000</v>
      </c>
      <c r="BA90">
        <v>4.8907196892123854E-2</v>
      </c>
    </row>
    <row r="91" spans="1:53" x14ac:dyDescent="0.25">
      <c r="A91" t="s">
        <v>420</v>
      </c>
      <c r="B91">
        <v>353</v>
      </c>
      <c r="C91">
        <v>46764</v>
      </c>
      <c r="D91">
        <v>0</v>
      </c>
      <c r="E91">
        <v>805</v>
      </c>
      <c r="F91">
        <v>613</v>
      </c>
      <c r="G91">
        <v>0</v>
      </c>
      <c r="H91">
        <v>5694</v>
      </c>
      <c r="I91">
        <v>0</v>
      </c>
      <c r="J91">
        <v>0</v>
      </c>
      <c r="K91">
        <v>0</v>
      </c>
      <c r="L91">
        <v>83</v>
      </c>
      <c r="M91">
        <v>20978</v>
      </c>
      <c r="N91">
        <v>2775</v>
      </c>
      <c r="O91">
        <v>39174</v>
      </c>
      <c r="P91">
        <v>22038</v>
      </c>
      <c r="Q91">
        <v>11241</v>
      </c>
      <c r="R91">
        <v>15</v>
      </c>
      <c r="S91">
        <v>0</v>
      </c>
      <c r="T91">
        <v>3696</v>
      </c>
      <c r="U91">
        <v>1901</v>
      </c>
      <c r="V91">
        <v>-8</v>
      </c>
      <c r="W91">
        <v>55865</v>
      </c>
      <c r="X91">
        <v>4481</v>
      </c>
      <c r="Y91">
        <v>18778</v>
      </c>
      <c r="Z91">
        <v>3691484.4943074975</v>
      </c>
      <c r="AA91">
        <v>3164129.5665492839</v>
      </c>
      <c r="AB91">
        <v>39567</v>
      </c>
      <c r="AC91">
        <v>7550</v>
      </c>
      <c r="AD91" t="s">
        <v>420</v>
      </c>
      <c r="AE91" s="232">
        <f t="shared" si="11"/>
        <v>0</v>
      </c>
      <c r="AF91" s="232">
        <f t="shared" si="12"/>
        <v>-0.15038038127629105</v>
      </c>
      <c r="AG91" s="232">
        <f t="shared" si="13"/>
        <v>2.5382618813210418E-2</v>
      </c>
      <c r="AH91" s="232">
        <f t="shared" si="14"/>
        <v>0.10192428175064888</v>
      </c>
      <c r="AI91" s="232">
        <f t="shared" si="15"/>
        <v>-0.21868146424416002</v>
      </c>
      <c r="AJ91" s="232">
        <f t="shared" si="16"/>
        <v>8.0211223485187499E-2</v>
      </c>
      <c r="AK91" s="232">
        <f t="shared" si="17"/>
        <v>5.6638853782319587E-2</v>
      </c>
      <c r="AL91" s="232">
        <f t="shared" si="18"/>
        <v>3.3786807482323461E-2</v>
      </c>
      <c r="AM91" s="232">
        <f t="shared" si="19"/>
        <v>0.78411580093511812</v>
      </c>
      <c r="AN91" s="232">
        <v>1.2E-2</v>
      </c>
      <c r="AO91" s="232">
        <f t="shared" si="10"/>
        <v>0.06</v>
      </c>
      <c r="AT91" t="s">
        <v>222</v>
      </c>
      <c r="AU91">
        <v>3399000</v>
      </c>
      <c r="AV91">
        <v>2280000</v>
      </c>
      <c r="AW91">
        <v>7952982.1507883649</v>
      </c>
      <c r="AX91">
        <v>2273982.1507883649</v>
      </c>
      <c r="AY91">
        <v>2273982.1507883649</v>
      </c>
      <c r="AZ91">
        <v>61890000</v>
      </c>
      <c r="BA91">
        <v>3.6742319450450235E-2</v>
      </c>
    </row>
    <row r="92" spans="1:53" x14ac:dyDescent="0.25">
      <c r="A92" t="s">
        <v>466</v>
      </c>
      <c r="B92">
        <v>7036</v>
      </c>
      <c r="C92">
        <v>71371</v>
      </c>
      <c r="D92">
        <v>1891</v>
      </c>
      <c r="E92">
        <v>1317</v>
      </c>
      <c r="F92">
        <v>3268</v>
      </c>
      <c r="G92">
        <v>0</v>
      </c>
      <c r="H92">
        <v>1115</v>
      </c>
      <c r="I92">
        <v>0</v>
      </c>
      <c r="J92">
        <v>0</v>
      </c>
      <c r="K92">
        <v>36</v>
      </c>
      <c r="L92">
        <v>6723</v>
      </c>
      <c r="M92">
        <v>9182</v>
      </c>
      <c r="N92">
        <v>-698</v>
      </c>
      <c r="O92">
        <v>24577</v>
      </c>
      <c r="P92">
        <v>5624</v>
      </c>
      <c r="Q92">
        <v>54417</v>
      </c>
      <c r="R92">
        <v>5</v>
      </c>
      <c r="S92">
        <v>5000</v>
      </c>
      <c r="T92">
        <v>6340</v>
      </c>
      <c r="U92">
        <v>5278</v>
      </c>
      <c r="V92">
        <v>-1</v>
      </c>
      <c r="W92">
        <v>54259</v>
      </c>
      <c r="X92">
        <v>-299</v>
      </c>
      <c r="Y92">
        <v>25566</v>
      </c>
      <c r="Z92">
        <v>2368443.9266965725</v>
      </c>
      <c r="AA92">
        <v>2030094.7943113481</v>
      </c>
      <c r="AB92">
        <v>59351</v>
      </c>
      <c r="AC92">
        <v>19056</v>
      </c>
      <c r="AD92" t="s">
        <v>466</v>
      </c>
      <c r="AE92" s="232">
        <f t="shared" si="11"/>
        <v>4.9387106014361769E-2</v>
      </c>
      <c r="AF92" s="232">
        <f t="shared" si="12"/>
        <v>0.9438434176818592</v>
      </c>
      <c r="AG92" s="232">
        <f t="shared" si="13"/>
        <v>8.4502110248990944E-2</v>
      </c>
      <c r="AH92" s="232">
        <f t="shared" si="14"/>
        <v>2.0549586243756798E-2</v>
      </c>
      <c r="AI92" s="232">
        <f t="shared" si="15"/>
        <v>0.93959896054110836</v>
      </c>
      <c r="AJ92" s="232">
        <f t="shared" si="16"/>
        <v>-5.5106065353213293E-3</v>
      </c>
      <c r="AK92" s="232">
        <f t="shared" si="17"/>
        <v>3.7414895119912792E-2</v>
      </c>
      <c r="AL92" s="232">
        <f t="shared" si="18"/>
        <v>8.7801102121307067E-2</v>
      </c>
      <c r="AM92" s="232">
        <f t="shared" si="19"/>
        <v>0.29830799774794797</v>
      </c>
      <c r="AN92" s="232">
        <v>3.95E-2</v>
      </c>
      <c r="AO92" s="232">
        <f t="shared" si="10"/>
        <v>0.19750000000000001</v>
      </c>
      <c r="AT92" t="s">
        <v>465</v>
      </c>
      <c r="AU92">
        <v>4188999.9999999995</v>
      </c>
      <c r="AV92">
        <v>2655000</v>
      </c>
      <c r="AW92">
        <v>9404329.0720921978</v>
      </c>
      <c r="AX92">
        <v>2560329.0720921978</v>
      </c>
      <c r="AY92">
        <v>2560329.0720921978</v>
      </c>
      <c r="AZ92">
        <v>78217000</v>
      </c>
      <c r="BA92">
        <v>3.2733664958924505E-2</v>
      </c>
    </row>
    <row r="93" spans="1:53" x14ac:dyDescent="0.25">
      <c r="A93" t="s">
        <v>421</v>
      </c>
      <c r="B93">
        <v>119556</v>
      </c>
      <c r="C93">
        <v>529354</v>
      </c>
      <c r="D93">
        <v>8119</v>
      </c>
      <c r="E93">
        <v>20464</v>
      </c>
      <c r="F93">
        <v>16280</v>
      </c>
      <c r="G93">
        <v>0</v>
      </c>
      <c r="H93">
        <v>92615</v>
      </c>
      <c r="I93">
        <v>6829</v>
      </c>
      <c r="J93">
        <v>3</v>
      </c>
      <c r="K93">
        <v>0</v>
      </c>
      <c r="L93">
        <v>4450</v>
      </c>
      <c r="M93">
        <v>74865</v>
      </c>
      <c r="N93">
        <v>22583</v>
      </c>
      <c r="O93">
        <v>178462</v>
      </c>
      <c r="P93">
        <v>58766</v>
      </c>
      <c r="Q93">
        <v>435380</v>
      </c>
      <c r="R93">
        <v>623</v>
      </c>
      <c r="S93">
        <v>70000</v>
      </c>
      <c r="T93">
        <v>56713</v>
      </c>
      <c r="U93">
        <v>95174</v>
      </c>
      <c r="V93">
        <v>0</v>
      </c>
      <c r="W93">
        <v>837834</v>
      </c>
      <c r="X93">
        <v>-6571</v>
      </c>
      <c r="Y93">
        <v>229126</v>
      </c>
      <c r="Z93">
        <v>29960950.441004947</v>
      </c>
      <c r="AA93">
        <v>25680814.663718525</v>
      </c>
      <c r="AB93">
        <v>626049</v>
      </c>
      <c r="AC93">
        <v>22861</v>
      </c>
      <c r="AD93" t="s">
        <v>421</v>
      </c>
      <c r="AE93" s="232">
        <f t="shared" si="11"/>
        <v>7.820198007413548E-2</v>
      </c>
      <c r="AF93" s="232">
        <f t="shared" si="12"/>
        <v>0.61974687109857085</v>
      </c>
      <c r="AG93" s="232">
        <f t="shared" si="13"/>
        <v>4.3855942823996165E-2</v>
      </c>
      <c r="AH93" s="232">
        <f t="shared" si="14"/>
        <v>0.11869176949133121</v>
      </c>
      <c r="AI93" s="232">
        <f t="shared" si="15"/>
        <v>0.54192534559351846</v>
      </c>
      <c r="AJ93" s="232">
        <f t="shared" si="16"/>
        <v>-7.8428423768908875E-3</v>
      </c>
      <c r="AK93" s="232">
        <f t="shared" si="17"/>
        <v>3.0651435324561341E-2</v>
      </c>
      <c r="AL93" s="232">
        <f t="shared" si="18"/>
        <v>6.8214586660364706E-3</v>
      </c>
      <c r="AM93" s="232">
        <f t="shared" si="19"/>
        <v>0.26502427612895729</v>
      </c>
      <c r="AN93" s="232">
        <v>3.8800000000000001E-2</v>
      </c>
      <c r="AO93" s="232">
        <f t="shared" si="10"/>
        <v>0.19400000000000001</v>
      </c>
      <c r="AT93" t="s">
        <v>299</v>
      </c>
      <c r="AU93">
        <v>3698000</v>
      </c>
      <c r="AV93">
        <v>1972000</v>
      </c>
      <c r="AW93">
        <v>10735085.151081331</v>
      </c>
      <c r="AX93">
        <v>5065085.1510813311</v>
      </c>
      <c r="AY93">
        <v>5065085.1510813311</v>
      </c>
      <c r="AZ93">
        <v>82474000</v>
      </c>
      <c r="BA93">
        <v>6.1414326346258589E-2</v>
      </c>
    </row>
    <row r="94" spans="1:53" x14ac:dyDescent="0.25">
      <c r="A94" t="s">
        <v>224</v>
      </c>
      <c r="B94">
        <v>317</v>
      </c>
      <c r="C94">
        <v>56108</v>
      </c>
      <c r="D94">
        <v>1664</v>
      </c>
      <c r="E94">
        <v>334</v>
      </c>
      <c r="F94">
        <v>4609</v>
      </c>
      <c r="G94">
        <v>0</v>
      </c>
      <c r="H94">
        <v>7164</v>
      </c>
      <c r="I94">
        <v>0</v>
      </c>
      <c r="J94">
        <v>0</v>
      </c>
      <c r="K94">
        <v>1100</v>
      </c>
      <c r="L94">
        <v>111</v>
      </c>
      <c r="M94">
        <v>4411</v>
      </c>
      <c r="N94">
        <v>410</v>
      </c>
      <c r="O94">
        <v>46450</v>
      </c>
      <c r="P94">
        <v>6980</v>
      </c>
      <c r="Q94">
        <v>18390</v>
      </c>
      <c r="R94">
        <v>1</v>
      </c>
      <c r="S94">
        <v>0</v>
      </c>
      <c r="T94">
        <v>1318</v>
      </c>
      <c r="U94">
        <v>3089</v>
      </c>
      <c r="V94">
        <v>0</v>
      </c>
      <c r="W94">
        <v>49828</v>
      </c>
      <c r="X94">
        <v>1733</v>
      </c>
      <c r="Y94">
        <v>23107</v>
      </c>
      <c r="Z94">
        <v>3005048.2929520803</v>
      </c>
      <c r="AA94">
        <v>2575755.6796732116</v>
      </c>
      <c r="AB94">
        <v>65048</v>
      </c>
      <c r="AC94">
        <v>-8623</v>
      </c>
      <c r="AD94" t="s">
        <v>224</v>
      </c>
      <c r="AE94" s="232">
        <f t="shared" si="11"/>
        <v>0</v>
      </c>
      <c r="AF94" s="232">
        <f t="shared" si="12"/>
        <v>0.23727623023199806</v>
      </c>
      <c r="AG94" s="232">
        <f t="shared" si="13"/>
        <v>9.9201252307939317E-2</v>
      </c>
      <c r="AH94" s="232">
        <f t="shared" si="14"/>
        <v>0.14377458457092399</v>
      </c>
      <c r="AI94" s="232">
        <f t="shared" si="15"/>
        <v>0.148538171309304</v>
      </c>
      <c r="AJ94" s="232">
        <f t="shared" si="16"/>
        <v>3.4779641968371196E-2</v>
      </c>
      <c r="AK94" s="232">
        <f t="shared" si="17"/>
        <v>5.1692937297768554E-2</v>
      </c>
      <c r="AL94" s="232">
        <f t="shared" si="18"/>
        <v>-4.3263827566829893E-2</v>
      </c>
      <c r="AM94" s="232">
        <f t="shared" si="19"/>
        <v>0.70092354515401167</v>
      </c>
      <c r="AN94" s="232">
        <v>3.3300000000000003E-2</v>
      </c>
      <c r="AO94" s="232">
        <f t="shared" si="10"/>
        <v>0.16650000000000001</v>
      </c>
      <c r="AT94" t="s">
        <v>223</v>
      </c>
      <c r="AU94">
        <v>11770999.999999998</v>
      </c>
      <c r="AV94">
        <v>11237000.000000002</v>
      </c>
      <c r="AW94">
        <v>37023757.944635183</v>
      </c>
      <c r="AX94">
        <v>14015757.944635181</v>
      </c>
      <c r="AY94">
        <v>14015757.944635181</v>
      </c>
      <c r="AZ94">
        <v>385823000</v>
      </c>
      <c r="BA94">
        <v>3.6326911419576287E-2</v>
      </c>
    </row>
    <row r="95" spans="1:53" x14ac:dyDescent="0.25">
      <c r="A95" t="s">
        <v>133</v>
      </c>
      <c r="B95">
        <v>21748</v>
      </c>
      <c r="C95">
        <v>434677</v>
      </c>
      <c r="D95">
        <v>17121</v>
      </c>
      <c r="E95">
        <v>12797</v>
      </c>
      <c r="F95">
        <v>45297</v>
      </c>
      <c r="G95">
        <v>0</v>
      </c>
      <c r="H95">
        <v>58649</v>
      </c>
      <c r="I95">
        <v>22</v>
      </c>
      <c r="J95">
        <v>0</v>
      </c>
      <c r="K95">
        <v>4000</v>
      </c>
      <c r="L95">
        <v>2129</v>
      </c>
      <c r="M95">
        <v>47845</v>
      </c>
      <c r="N95">
        <v>11410</v>
      </c>
      <c r="O95">
        <v>53477</v>
      </c>
      <c r="P95">
        <v>50249</v>
      </c>
      <c r="Q95">
        <v>440636</v>
      </c>
      <c r="R95">
        <v>58</v>
      </c>
      <c r="S95">
        <v>35000</v>
      </c>
      <c r="T95">
        <v>39028</v>
      </c>
      <c r="U95">
        <v>37247</v>
      </c>
      <c r="V95">
        <v>-4</v>
      </c>
      <c r="W95">
        <v>477914</v>
      </c>
      <c r="X95">
        <v>-17243</v>
      </c>
      <c r="Y95">
        <v>107192</v>
      </c>
      <c r="Z95">
        <v>-1032114.9126447476</v>
      </c>
      <c r="AA95">
        <v>-884669.92512406944</v>
      </c>
      <c r="AB95">
        <v>366148</v>
      </c>
      <c r="AC95">
        <v>90277</v>
      </c>
      <c r="AD95" t="s">
        <v>133</v>
      </c>
      <c r="AE95" s="232">
        <f t="shared" si="11"/>
        <v>5.3378476273267299E-2</v>
      </c>
      <c r="AF95" s="232">
        <f t="shared" si="12"/>
        <v>0.89658599664374761</v>
      </c>
      <c r="AG95" s="232">
        <f t="shared" si="13"/>
        <v>0.12155743501968974</v>
      </c>
      <c r="AH95" s="232">
        <f t="shared" si="14"/>
        <v>0.12276476520880326</v>
      </c>
      <c r="AI95" s="232">
        <f t="shared" si="15"/>
        <v>0.82523755319994807</v>
      </c>
      <c r="AJ95" s="232">
        <f t="shared" si="16"/>
        <v>-3.6079713086454884E-2</v>
      </c>
      <c r="AK95" s="232">
        <f t="shared" si="17"/>
        <v>-1.851106946279183E-3</v>
      </c>
      <c r="AL95" s="232">
        <f t="shared" si="18"/>
        <v>4.7224500642374989E-2</v>
      </c>
      <c r="AM95" s="232">
        <f t="shared" si="19"/>
        <v>0.15819245228345497</v>
      </c>
      <c r="AN95" s="232">
        <v>3.6999999999999998E-2</v>
      </c>
      <c r="AO95" s="232">
        <f t="shared" si="10"/>
        <v>0.185</v>
      </c>
      <c r="AT95" t="s">
        <v>268</v>
      </c>
      <c r="AU95">
        <v>1334999.9999999998</v>
      </c>
      <c r="AV95">
        <v>500000</v>
      </c>
      <c r="AW95">
        <v>3209257.953784972</v>
      </c>
      <c r="AX95">
        <v>1374257.9537849722</v>
      </c>
      <c r="AY95">
        <v>1374257.9537849722</v>
      </c>
      <c r="AZ95">
        <v>21310000</v>
      </c>
      <c r="BA95">
        <v>6.4488876292115069E-2</v>
      </c>
    </row>
    <row r="96" spans="1:53" x14ac:dyDescent="0.25">
      <c r="A96" t="s">
        <v>300</v>
      </c>
      <c r="B96">
        <v>0</v>
      </c>
      <c r="C96">
        <v>40581</v>
      </c>
      <c r="D96">
        <v>432</v>
      </c>
      <c r="E96">
        <v>0</v>
      </c>
      <c r="F96">
        <v>5268</v>
      </c>
      <c r="G96">
        <v>0</v>
      </c>
      <c r="H96">
        <v>1636</v>
      </c>
      <c r="I96">
        <v>71</v>
      </c>
      <c r="J96">
        <v>0</v>
      </c>
      <c r="K96">
        <v>890</v>
      </c>
      <c r="L96">
        <v>116</v>
      </c>
      <c r="M96">
        <v>1596</v>
      </c>
      <c r="N96">
        <v>4510</v>
      </c>
      <c r="O96">
        <v>23220</v>
      </c>
      <c r="P96">
        <v>2382</v>
      </c>
      <c r="Q96">
        <v>20863</v>
      </c>
      <c r="R96">
        <v>33</v>
      </c>
      <c r="S96">
        <v>1500</v>
      </c>
      <c r="T96">
        <v>4261</v>
      </c>
      <c r="U96">
        <v>2841</v>
      </c>
      <c r="V96">
        <v>0</v>
      </c>
      <c r="W96">
        <v>52593</v>
      </c>
      <c r="X96">
        <v>3464</v>
      </c>
      <c r="Y96">
        <v>18476</v>
      </c>
      <c r="Z96">
        <v>1676327.9477805896</v>
      </c>
      <c r="AA96">
        <v>1436852.5266690766</v>
      </c>
      <c r="AB96">
        <v>42548</v>
      </c>
      <c r="AC96">
        <v>-1967</v>
      </c>
      <c r="AD96" t="s">
        <v>300</v>
      </c>
      <c r="AE96" s="232">
        <f t="shared" si="11"/>
        <v>2.7223230490018149E-2</v>
      </c>
      <c r="AF96" s="232">
        <f t="shared" si="12"/>
        <v>0.3254805772631339</v>
      </c>
      <c r="AG96" s="232">
        <f t="shared" si="13"/>
        <v>0.10016542125377902</v>
      </c>
      <c r="AH96" s="232">
        <f t="shared" si="14"/>
        <v>3.245679082767669E-2</v>
      </c>
      <c r="AI96" s="232">
        <f t="shared" si="15"/>
        <v>0.31478067423421369</v>
      </c>
      <c r="AJ96" s="232">
        <f t="shared" si="16"/>
        <v>6.5864278516152341E-2</v>
      </c>
      <c r="AK96" s="232">
        <f t="shared" si="17"/>
        <v>2.7320223730707065E-2</v>
      </c>
      <c r="AL96" s="232">
        <f t="shared" si="18"/>
        <v>-9.3501036259578275E-3</v>
      </c>
      <c r="AM96" s="232">
        <f t="shared" si="19"/>
        <v>0.46464609800362977</v>
      </c>
      <c r="AN96" s="232">
        <v>2.7300000000000001E-2</v>
      </c>
      <c r="AO96" s="232">
        <f t="shared" si="10"/>
        <v>0.13650000000000001</v>
      </c>
      <c r="AT96" t="s">
        <v>147</v>
      </c>
      <c r="AU96">
        <v>2524000</v>
      </c>
      <c r="AV96">
        <v>8744000</v>
      </c>
      <c r="AW96">
        <v>7546432.7389308652</v>
      </c>
      <c r="AX96">
        <v>-3721567.2610691348</v>
      </c>
      <c r="AY96">
        <v>0</v>
      </c>
      <c r="AZ96">
        <v>58427000</v>
      </c>
      <c r="BA96">
        <v>-6.3696018297518864E-2</v>
      </c>
    </row>
    <row r="97" spans="1:53" x14ac:dyDescent="0.25">
      <c r="A97" t="s">
        <v>190</v>
      </c>
      <c r="B97">
        <v>17375</v>
      </c>
      <c r="C97">
        <v>502123</v>
      </c>
      <c r="D97">
        <v>2635</v>
      </c>
      <c r="E97">
        <v>13507</v>
      </c>
      <c r="F97">
        <v>39659</v>
      </c>
      <c r="G97">
        <v>0</v>
      </c>
      <c r="H97">
        <v>20113</v>
      </c>
      <c r="I97">
        <v>5131</v>
      </c>
      <c r="J97">
        <v>0</v>
      </c>
      <c r="K97">
        <v>6042</v>
      </c>
      <c r="L97">
        <v>4499</v>
      </c>
      <c r="M97">
        <v>52001</v>
      </c>
      <c r="N97">
        <v>8866</v>
      </c>
      <c r="O97">
        <v>104466</v>
      </c>
      <c r="P97">
        <v>48001</v>
      </c>
      <c r="Q97">
        <v>369600</v>
      </c>
      <c r="R97">
        <v>1010</v>
      </c>
      <c r="S97">
        <v>60000</v>
      </c>
      <c r="T97">
        <v>61956</v>
      </c>
      <c r="U97">
        <v>26918</v>
      </c>
      <c r="V97">
        <v>-1</v>
      </c>
      <c r="W97">
        <v>700041</v>
      </c>
      <c r="X97">
        <v>4204</v>
      </c>
      <c r="Y97">
        <v>158261</v>
      </c>
      <c r="Z97">
        <v>-2945616.3625432253</v>
      </c>
      <c r="AA97">
        <v>-2524814.0250370502</v>
      </c>
      <c r="AB97">
        <v>554390</v>
      </c>
      <c r="AC97">
        <v>-34892</v>
      </c>
      <c r="AD97" t="s">
        <v>190</v>
      </c>
      <c r="AE97" s="232">
        <f t="shared" si="11"/>
        <v>8.929222517713345E-2</v>
      </c>
      <c r="AF97" s="232">
        <f t="shared" si="12"/>
        <v>0.56412410130263801</v>
      </c>
      <c r="AG97" s="232">
        <f t="shared" si="13"/>
        <v>7.5946980248299739E-2</v>
      </c>
      <c r="AH97" s="232">
        <f t="shared" si="14"/>
        <v>3.6060745013506354E-2</v>
      </c>
      <c r="AI97" s="232">
        <f t="shared" si="15"/>
        <v>0.54799521742297952</v>
      </c>
      <c r="AJ97" s="232">
        <f t="shared" si="16"/>
        <v>6.0053625430510496E-3</v>
      </c>
      <c r="AK97" s="232">
        <f t="shared" si="17"/>
        <v>-3.6066659310483962E-3</v>
      </c>
      <c r="AL97" s="232">
        <f t="shared" si="18"/>
        <v>-1.2460698730502928E-2</v>
      </c>
      <c r="AM97" s="232">
        <f t="shared" si="19"/>
        <v>0.22690196160136678</v>
      </c>
      <c r="AN97" s="232">
        <v>2.2499999999999999E-2</v>
      </c>
      <c r="AO97" s="232">
        <f t="shared" si="10"/>
        <v>0.11249999999999999</v>
      </c>
      <c r="AT97" t="s">
        <v>420</v>
      </c>
      <c r="AU97">
        <v>2161000</v>
      </c>
      <c r="AV97">
        <v>1324000.0000000002</v>
      </c>
      <c r="AW97">
        <v>7176484.4943074975</v>
      </c>
      <c r="AX97">
        <v>3691484.4943074975</v>
      </c>
      <c r="AY97">
        <v>3691484.4943074975</v>
      </c>
      <c r="AZ97">
        <v>55865000</v>
      </c>
      <c r="BA97">
        <v>6.6078662746039518E-2</v>
      </c>
    </row>
    <row r="98" spans="1:53" x14ac:dyDescent="0.25">
      <c r="A98" t="s">
        <v>225</v>
      </c>
      <c r="B98">
        <v>389</v>
      </c>
      <c r="C98">
        <v>51080</v>
      </c>
      <c r="D98">
        <v>0</v>
      </c>
      <c r="E98">
        <v>0</v>
      </c>
      <c r="F98">
        <v>4003</v>
      </c>
      <c r="G98">
        <v>0</v>
      </c>
      <c r="H98">
        <v>-159</v>
      </c>
      <c r="I98">
        <v>1</v>
      </c>
      <c r="J98">
        <v>0</v>
      </c>
      <c r="K98">
        <v>0</v>
      </c>
      <c r="L98">
        <v>1135</v>
      </c>
      <c r="M98">
        <v>2500</v>
      </c>
      <c r="N98">
        <v>8986</v>
      </c>
      <c r="O98">
        <v>50323</v>
      </c>
      <c r="P98">
        <v>7124</v>
      </c>
      <c r="Q98">
        <v>136</v>
      </c>
      <c r="R98">
        <v>0</v>
      </c>
      <c r="S98">
        <v>0</v>
      </c>
      <c r="T98">
        <v>6528</v>
      </c>
      <c r="U98">
        <v>3824</v>
      </c>
      <c r="V98">
        <v>1</v>
      </c>
      <c r="W98">
        <v>84029</v>
      </c>
      <c r="X98">
        <v>-10937</v>
      </c>
      <c r="Y98">
        <v>32863</v>
      </c>
      <c r="Z98">
        <v>5730340.1429990567</v>
      </c>
      <c r="AA98">
        <v>4911720.1225706199</v>
      </c>
      <c r="AB98">
        <v>49541</v>
      </c>
      <c r="AC98">
        <v>1928</v>
      </c>
      <c r="AD98" t="s">
        <v>225</v>
      </c>
      <c r="AE98" s="232">
        <f t="shared" si="11"/>
        <v>0</v>
      </c>
      <c r="AF98" s="232">
        <f t="shared" si="12"/>
        <v>-7.3022408930250277E-2</v>
      </c>
      <c r="AG98" s="232">
        <f t="shared" si="13"/>
        <v>4.7638315343512358E-2</v>
      </c>
      <c r="AH98" s="232">
        <f t="shared" si="14"/>
        <v>-1.8803032286472527E-3</v>
      </c>
      <c r="AI98" s="232">
        <f t="shared" si="15"/>
        <v>-6.5989598828975718E-2</v>
      </c>
      <c r="AJ98" s="232">
        <f t="shared" si="16"/>
        <v>-0.13015744564376583</v>
      </c>
      <c r="AK98" s="232">
        <f t="shared" si="17"/>
        <v>5.8452678510640614E-2</v>
      </c>
      <c r="AL98" s="232">
        <f t="shared" si="18"/>
        <v>5.7361149127087077E-3</v>
      </c>
      <c r="AM98" s="232">
        <f t="shared" si="19"/>
        <v>0.84561713402517114</v>
      </c>
      <c r="AN98" s="232">
        <v>6.3299999999999995E-2</v>
      </c>
      <c r="AO98" s="232">
        <f t="shared" si="10"/>
        <v>0.3165</v>
      </c>
      <c r="AT98" t="s">
        <v>466</v>
      </c>
      <c r="AU98">
        <v>3771000</v>
      </c>
      <c r="AV98">
        <v>1091000</v>
      </c>
      <c r="AW98">
        <v>7230443.9266965743</v>
      </c>
      <c r="AX98">
        <v>2368443.9266965743</v>
      </c>
      <c r="AY98">
        <v>2368443.9266965743</v>
      </c>
      <c r="AZ98">
        <v>54259000</v>
      </c>
      <c r="BA98">
        <v>4.3650710973231616E-2</v>
      </c>
    </row>
    <row r="99" spans="1:53" x14ac:dyDescent="0.25">
      <c r="A99" t="s">
        <v>226</v>
      </c>
      <c r="B99">
        <v>13003</v>
      </c>
      <c r="C99">
        <v>36347</v>
      </c>
      <c r="D99">
        <v>332</v>
      </c>
      <c r="E99">
        <v>0</v>
      </c>
      <c r="F99">
        <v>3746</v>
      </c>
      <c r="G99">
        <v>0</v>
      </c>
      <c r="H99">
        <v>867</v>
      </c>
      <c r="I99">
        <v>6</v>
      </c>
      <c r="J99">
        <v>0</v>
      </c>
      <c r="K99">
        <v>11558</v>
      </c>
      <c r="L99">
        <v>157</v>
      </c>
      <c r="M99">
        <v>8843</v>
      </c>
      <c r="N99">
        <v>5934</v>
      </c>
      <c r="O99">
        <v>51320</v>
      </c>
      <c r="P99">
        <v>14887</v>
      </c>
      <c r="Q99">
        <v>6850</v>
      </c>
      <c r="R99">
        <v>1</v>
      </c>
      <c r="S99">
        <v>0</v>
      </c>
      <c r="T99">
        <v>2514</v>
      </c>
      <c r="U99">
        <v>5221</v>
      </c>
      <c r="V99">
        <v>-1</v>
      </c>
      <c r="W99">
        <v>70225</v>
      </c>
      <c r="X99">
        <v>-2759</v>
      </c>
      <c r="Y99">
        <v>26793</v>
      </c>
      <c r="Z99">
        <v>3032949.1106534228</v>
      </c>
      <c r="AA99">
        <v>2599670.6662743622</v>
      </c>
      <c r="AB99">
        <v>38648</v>
      </c>
      <c r="AC99">
        <v>10702</v>
      </c>
      <c r="AD99" t="s">
        <v>226</v>
      </c>
      <c r="AE99" s="232">
        <f t="shared" si="11"/>
        <v>0</v>
      </c>
      <c r="AF99" s="232">
        <f t="shared" si="12"/>
        <v>-0.22288358846564613</v>
      </c>
      <c r="AG99" s="232">
        <f t="shared" si="13"/>
        <v>5.3342826628693482E-2</v>
      </c>
      <c r="AH99" s="232">
        <f t="shared" si="14"/>
        <v>1.2431470274118903E-2</v>
      </c>
      <c r="AI99" s="232">
        <f t="shared" si="15"/>
        <v>-0.22518447846208614</v>
      </c>
      <c r="AJ99" s="232">
        <f t="shared" si="16"/>
        <v>-3.9288002847988605E-2</v>
      </c>
      <c r="AK99" s="232">
        <f t="shared" si="17"/>
        <v>3.7019162211098071E-2</v>
      </c>
      <c r="AL99" s="232">
        <f t="shared" si="18"/>
        <v>3.8098967604129584E-2</v>
      </c>
      <c r="AM99" s="232">
        <f t="shared" si="19"/>
        <v>0.81946455757305703</v>
      </c>
      <c r="AN99" s="232">
        <v>4.8300000000000003E-2</v>
      </c>
      <c r="AO99" s="232">
        <f t="shared" si="10"/>
        <v>0.24150000000000002</v>
      </c>
      <c r="AT99" t="s">
        <v>421</v>
      </c>
      <c r="AU99">
        <v>24299000</v>
      </c>
      <c r="AV99">
        <v>27438000</v>
      </c>
      <c r="AW99">
        <v>81697950.441004947</v>
      </c>
      <c r="AX99">
        <v>29960950.441004947</v>
      </c>
      <c r="AY99">
        <v>29960950.441004947</v>
      </c>
      <c r="AZ99">
        <v>837834000</v>
      </c>
      <c r="BA99">
        <v>3.5760007878654895E-2</v>
      </c>
    </row>
    <row r="100" spans="1:53" x14ac:dyDescent="0.25">
      <c r="A100" t="s">
        <v>422</v>
      </c>
      <c r="B100">
        <v>0</v>
      </c>
      <c r="C100">
        <v>109373</v>
      </c>
      <c r="D100">
        <v>201</v>
      </c>
      <c r="E100">
        <v>0</v>
      </c>
      <c r="F100">
        <v>3005</v>
      </c>
      <c r="G100">
        <v>1538</v>
      </c>
      <c r="H100">
        <v>20131</v>
      </c>
      <c r="I100">
        <v>25</v>
      </c>
      <c r="J100">
        <v>0</v>
      </c>
      <c r="K100">
        <v>3500</v>
      </c>
      <c r="L100">
        <v>4092</v>
      </c>
      <c r="M100">
        <v>9617</v>
      </c>
      <c r="N100">
        <v>2799</v>
      </c>
      <c r="O100">
        <v>43331</v>
      </c>
      <c r="P100">
        <v>35098</v>
      </c>
      <c r="Q100">
        <v>60352</v>
      </c>
      <c r="R100">
        <v>442</v>
      </c>
      <c r="S100">
        <v>0</v>
      </c>
      <c r="T100">
        <v>5697</v>
      </c>
      <c r="U100">
        <v>9361</v>
      </c>
      <c r="V100">
        <v>1</v>
      </c>
      <c r="W100">
        <v>112626</v>
      </c>
      <c r="X100">
        <v>-13425</v>
      </c>
      <c r="Y100">
        <v>43532</v>
      </c>
      <c r="Z100">
        <v>5998269.1270570066</v>
      </c>
      <c r="AA100">
        <v>5141373.5374774346</v>
      </c>
      <c r="AB100">
        <v>137515</v>
      </c>
      <c r="AC100">
        <v>-28142</v>
      </c>
      <c r="AD100" t="s">
        <v>422</v>
      </c>
      <c r="AE100" s="232">
        <f t="shared" si="11"/>
        <v>0</v>
      </c>
      <c r="AF100" s="232">
        <f t="shared" si="12"/>
        <v>0.45549873031094062</v>
      </c>
      <c r="AG100" s="232">
        <f t="shared" si="13"/>
        <v>2.6681228135599241E-2</v>
      </c>
      <c r="AH100" s="232">
        <f t="shared" si="14"/>
        <v>0.17896400475911423</v>
      </c>
      <c r="AI100" s="232">
        <f t="shared" si="15"/>
        <v>0.33342567435583259</v>
      </c>
      <c r="AJ100" s="232">
        <f t="shared" si="16"/>
        <v>-0.11919982952426615</v>
      </c>
      <c r="AK100" s="232">
        <f t="shared" si="17"/>
        <v>4.5649970144348857E-2</v>
      </c>
      <c r="AL100" s="232">
        <f t="shared" si="18"/>
        <v>-6.246781382629233E-2</v>
      </c>
      <c r="AM100" s="232">
        <f t="shared" si="19"/>
        <v>0.50835164407801348</v>
      </c>
      <c r="AN100" s="232">
        <v>5.6899999999999999E-2</v>
      </c>
      <c r="AO100" s="232">
        <f t="shared" si="10"/>
        <v>0.28449999999999998</v>
      </c>
      <c r="AT100" t="s">
        <v>224</v>
      </c>
      <c r="AU100">
        <v>2191000</v>
      </c>
      <c r="AV100">
        <v>1447000</v>
      </c>
      <c r="AW100">
        <v>6643048.2929520812</v>
      </c>
      <c r="AX100">
        <v>3005048.2929520812</v>
      </c>
      <c r="AY100">
        <v>3005048.2929520812</v>
      </c>
      <c r="AZ100">
        <v>49828000</v>
      </c>
      <c r="BA100">
        <v>6.0308426847396665E-2</v>
      </c>
    </row>
    <row r="101" spans="1:53" x14ac:dyDescent="0.25">
      <c r="A101" t="s">
        <v>423</v>
      </c>
      <c r="B101">
        <v>152</v>
      </c>
      <c r="C101">
        <v>41125</v>
      </c>
      <c r="D101">
        <v>1055</v>
      </c>
      <c r="E101">
        <v>0</v>
      </c>
      <c r="F101">
        <v>1549</v>
      </c>
      <c r="G101">
        <v>0</v>
      </c>
      <c r="H101">
        <v>2517</v>
      </c>
      <c r="I101">
        <v>2730</v>
      </c>
      <c r="J101">
        <v>0</v>
      </c>
      <c r="K101">
        <v>0</v>
      </c>
      <c r="L101">
        <v>21</v>
      </c>
      <c r="M101">
        <v>2138</v>
      </c>
      <c r="N101">
        <v>4518</v>
      </c>
      <c r="O101">
        <v>14421</v>
      </c>
      <c r="P101">
        <v>8664</v>
      </c>
      <c r="Q101">
        <v>20696</v>
      </c>
      <c r="R101">
        <v>107</v>
      </c>
      <c r="S101">
        <v>2509</v>
      </c>
      <c r="T101">
        <v>5272</v>
      </c>
      <c r="U101">
        <v>4136</v>
      </c>
      <c r="V101">
        <v>0</v>
      </c>
      <c r="W101">
        <v>47097</v>
      </c>
      <c r="X101">
        <v>-728</v>
      </c>
      <c r="Y101">
        <v>21517</v>
      </c>
      <c r="Z101">
        <v>2383956.6446459088</v>
      </c>
      <c r="AA101">
        <v>2043391.4096964933</v>
      </c>
      <c r="AB101">
        <v>40646</v>
      </c>
      <c r="AC101">
        <v>631</v>
      </c>
      <c r="AD101" t="s">
        <v>423</v>
      </c>
      <c r="AE101" s="232">
        <f t="shared" si="11"/>
        <v>4.4960129020697071E-2</v>
      </c>
      <c r="AF101" s="232">
        <f t="shared" si="12"/>
        <v>0.52007558867868442</v>
      </c>
      <c r="AG101" s="232">
        <f t="shared" si="13"/>
        <v>3.2889568337686054E-2</v>
      </c>
      <c r="AH101" s="232">
        <f t="shared" si="14"/>
        <v>0.11140836995987005</v>
      </c>
      <c r="AI101" s="232">
        <f t="shared" si="15"/>
        <v>0.44603647790729772</v>
      </c>
      <c r="AJ101" s="232">
        <f t="shared" si="16"/>
        <v>-1.5457460135465104E-2</v>
      </c>
      <c r="AK101" s="232">
        <f t="shared" si="17"/>
        <v>4.3386869857878277E-2</v>
      </c>
      <c r="AL101" s="232">
        <f t="shared" si="18"/>
        <v>3.3494702422659619E-3</v>
      </c>
      <c r="AM101" s="232">
        <f t="shared" si="19"/>
        <v>0.41367260998118449</v>
      </c>
      <c r="AN101" s="232">
        <v>3.95E-2</v>
      </c>
      <c r="AO101" s="232">
        <f t="shared" si="10"/>
        <v>0.19750000000000001</v>
      </c>
      <c r="AT101" t="s">
        <v>133</v>
      </c>
      <c r="AU101">
        <v>14941000</v>
      </c>
      <c r="AV101">
        <v>10724999.999999998</v>
      </c>
      <c r="AW101">
        <v>24633885.087355256</v>
      </c>
      <c r="AX101">
        <v>-1032114.9126447421</v>
      </c>
      <c r="AY101">
        <v>0</v>
      </c>
      <c r="AZ101">
        <v>477914000</v>
      </c>
      <c r="BA101">
        <v>-2.159624770659035E-3</v>
      </c>
    </row>
    <row r="102" spans="1:53" x14ac:dyDescent="0.25">
      <c r="A102" t="s">
        <v>424</v>
      </c>
      <c r="B102">
        <v>1615</v>
      </c>
      <c r="C102">
        <v>74430</v>
      </c>
      <c r="D102">
        <v>170</v>
      </c>
      <c r="E102">
        <v>0</v>
      </c>
      <c r="F102">
        <v>14704</v>
      </c>
      <c r="G102">
        <v>0</v>
      </c>
      <c r="H102">
        <v>25438</v>
      </c>
      <c r="I102">
        <v>0</v>
      </c>
      <c r="J102">
        <v>0</v>
      </c>
      <c r="K102">
        <v>13</v>
      </c>
      <c r="L102">
        <v>1047</v>
      </c>
      <c r="M102">
        <v>6512</v>
      </c>
      <c r="N102">
        <v>10704</v>
      </c>
      <c r="O102">
        <v>54292</v>
      </c>
      <c r="P102">
        <v>14449</v>
      </c>
      <c r="Q102">
        <v>50930</v>
      </c>
      <c r="R102">
        <v>686</v>
      </c>
      <c r="S102">
        <v>-573</v>
      </c>
      <c r="T102">
        <v>5265</v>
      </c>
      <c r="U102">
        <v>9584</v>
      </c>
      <c r="V102">
        <v>-2</v>
      </c>
      <c r="W102">
        <v>101631</v>
      </c>
      <c r="X102">
        <v>7327</v>
      </c>
      <c r="Y102">
        <v>39252</v>
      </c>
      <c r="Z102">
        <v>6759663.856147293</v>
      </c>
      <c r="AA102">
        <v>5793997.5909833945</v>
      </c>
      <c r="AB102">
        <v>72245</v>
      </c>
      <c r="AC102">
        <v>3800</v>
      </c>
      <c r="AD102" t="s">
        <v>424</v>
      </c>
      <c r="AE102" s="232">
        <f t="shared" si="11"/>
        <v>-4.2560144986741738E-3</v>
      </c>
      <c r="AF102" s="232">
        <f t="shared" si="12"/>
        <v>0.32383819897472227</v>
      </c>
      <c r="AG102" s="232">
        <f t="shared" si="13"/>
        <v>0.14468026487981028</v>
      </c>
      <c r="AH102" s="232">
        <f t="shared" si="14"/>
        <v>0.25029764540346944</v>
      </c>
      <c r="AI102" s="232">
        <f t="shared" si="15"/>
        <v>0.16599147897787092</v>
      </c>
      <c r="AJ102" s="232">
        <f t="shared" si="16"/>
        <v>7.2094144503153559E-2</v>
      </c>
      <c r="AK102" s="232">
        <f t="shared" si="17"/>
        <v>5.70101405179856E-2</v>
      </c>
      <c r="AL102" s="232">
        <f t="shared" si="18"/>
        <v>9.3475415965601043E-3</v>
      </c>
      <c r="AM102" s="232">
        <f t="shared" si="19"/>
        <v>0.51058061545089239</v>
      </c>
      <c r="AN102" s="232">
        <v>4.2799999999999998E-2</v>
      </c>
      <c r="AO102" s="232">
        <f t="shared" si="10"/>
        <v>0.214</v>
      </c>
      <c r="AT102" t="s">
        <v>300</v>
      </c>
      <c r="AU102">
        <v>1659999.9999999998</v>
      </c>
      <c r="AV102">
        <v>1786000</v>
      </c>
      <c r="AW102">
        <v>5122327.9477805905</v>
      </c>
      <c r="AX102">
        <v>1676327.9477805905</v>
      </c>
      <c r="AY102">
        <v>1676327.9477805905</v>
      </c>
      <c r="AZ102">
        <v>52593000</v>
      </c>
      <c r="BA102">
        <v>3.1873594352491597E-2</v>
      </c>
    </row>
    <row r="103" spans="1:53" x14ac:dyDescent="0.25">
      <c r="A103" t="s">
        <v>425</v>
      </c>
      <c r="B103">
        <v>610</v>
      </c>
      <c r="C103">
        <v>82741</v>
      </c>
      <c r="D103">
        <v>197</v>
      </c>
      <c r="E103">
        <v>13574</v>
      </c>
      <c r="F103">
        <v>24364</v>
      </c>
      <c r="G103">
        <v>0</v>
      </c>
      <c r="H103">
        <v>38182</v>
      </c>
      <c r="I103">
        <v>718</v>
      </c>
      <c r="J103">
        <v>0</v>
      </c>
      <c r="K103">
        <v>628</v>
      </c>
      <c r="L103">
        <v>90</v>
      </c>
      <c r="M103">
        <v>7662</v>
      </c>
      <c r="N103">
        <v>76</v>
      </c>
      <c r="O103">
        <v>6272</v>
      </c>
      <c r="P103">
        <v>28375</v>
      </c>
      <c r="Q103">
        <v>117220</v>
      </c>
      <c r="R103">
        <v>28</v>
      </c>
      <c r="S103">
        <v>8276</v>
      </c>
      <c r="T103">
        <v>12088</v>
      </c>
      <c r="U103">
        <v>-3417</v>
      </c>
      <c r="V103">
        <v>0</v>
      </c>
      <c r="W103">
        <v>74987</v>
      </c>
      <c r="X103">
        <v>-16</v>
      </c>
      <c r="Y103">
        <v>30340</v>
      </c>
      <c r="Z103">
        <v>2171544.8550562151</v>
      </c>
      <c r="AA103">
        <v>1861324.1614767557</v>
      </c>
      <c r="AB103">
        <v>86602</v>
      </c>
      <c r="AC103">
        <v>-3251</v>
      </c>
      <c r="AD103" t="s">
        <v>425</v>
      </c>
      <c r="AE103" s="232">
        <f t="shared" si="11"/>
        <v>4.9016240035062365E-2</v>
      </c>
      <c r="AF103" s="232">
        <f t="shared" si="12"/>
        <v>1.1708829530451945</v>
      </c>
      <c r="AG103" s="232">
        <f t="shared" si="13"/>
        <v>0.5059276941336498</v>
      </c>
      <c r="AH103" s="232">
        <f t="shared" si="14"/>
        <v>0.51875658447464223</v>
      </c>
      <c r="AI103" s="232">
        <f t="shared" si="15"/>
        <v>0.86846466720898285</v>
      </c>
      <c r="AJ103" s="232">
        <f t="shared" si="16"/>
        <v>-2.1337031752170375E-4</v>
      </c>
      <c r="AK103" s="232">
        <f t="shared" si="17"/>
        <v>2.4821957959069649E-2</v>
      </c>
      <c r="AL103" s="232">
        <f t="shared" si="18"/>
        <v>-1.0838545347860296E-2</v>
      </c>
      <c r="AM103" s="232">
        <f t="shared" si="19"/>
        <v>0.20520368154842988</v>
      </c>
      <c r="AN103" s="232">
        <v>3.5799999999999998E-2</v>
      </c>
      <c r="AO103" s="232">
        <f t="shared" si="10"/>
        <v>0.17899999999999999</v>
      </c>
      <c r="AT103" t="s">
        <v>190</v>
      </c>
      <c r="AU103">
        <v>18728000</v>
      </c>
      <c r="AV103">
        <v>24308000</v>
      </c>
      <c r="AW103">
        <v>40090383.637456775</v>
      </c>
      <c r="AX103">
        <v>-2945616.3625432253</v>
      </c>
      <c r="AY103">
        <v>0</v>
      </c>
      <c r="AZ103">
        <v>700041000</v>
      </c>
      <c r="BA103">
        <v>-4.2077769195564621E-3</v>
      </c>
    </row>
    <row r="104" spans="1:53" x14ac:dyDescent="0.25">
      <c r="A104" t="s">
        <v>467</v>
      </c>
      <c r="B104">
        <v>450</v>
      </c>
      <c r="C104">
        <v>33026</v>
      </c>
      <c r="D104">
        <v>132</v>
      </c>
      <c r="E104">
        <v>631</v>
      </c>
      <c r="F104">
        <v>0</v>
      </c>
      <c r="G104">
        <v>0</v>
      </c>
      <c r="H104">
        <v>2631</v>
      </c>
      <c r="I104">
        <v>0</v>
      </c>
      <c r="J104">
        <v>0</v>
      </c>
      <c r="K104">
        <v>-2163</v>
      </c>
      <c r="L104">
        <v>10720</v>
      </c>
      <c r="M104">
        <v>3146</v>
      </c>
      <c r="N104">
        <v>6377</v>
      </c>
      <c r="O104">
        <v>18920</v>
      </c>
      <c r="P104">
        <v>8414</v>
      </c>
      <c r="Q104">
        <v>19860</v>
      </c>
      <c r="R104">
        <v>12</v>
      </c>
      <c r="S104">
        <v>0</v>
      </c>
      <c r="T104">
        <v>1069</v>
      </c>
      <c r="U104">
        <v>6675</v>
      </c>
      <c r="V104">
        <v>1</v>
      </c>
      <c r="W104">
        <v>45679</v>
      </c>
      <c r="X104">
        <v>264</v>
      </c>
      <c r="Y104">
        <v>17052</v>
      </c>
      <c r="Z104">
        <v>1967088.123456791</v>
      </c>
      <c r="AA104">
        <v>1686075.5343915352</v>
      </c>
      <c r="AB104">
        <v>34459</v>
      </c>
      <c r="AC104">
        <v>-983</v>
      </c>
      <c r="AD104" t="s">
        <v>467</v>
      </c>
      <c r="AE104" s="232">
        <f t="shared" si="11"/>
        <v>0</v>
      </c>
      <c r="AF104" s="232">
        <f t="shared" si="12"/>
        <v>0.19494734998577026</v>
      </c>
      <c r="AG104" s="232">
        <f t="shared" si="13"/>
        <v>1.381378751723987E-2</v>
      </c>
      <c r="AH104" s="232">
        <f t="shared" si="14"/>
        <v>5.7597583134481926E-2</v>
      </c>
      <c r="AI104" s="232">
        <f t="shared" si="15"/>
        <v>0.1562866962937017</v>
      </c>
      <c r="AJ104" s="232">
        <f t="shared" si="16"/>
        <v>5.7794610214759517E-3</v>
      </c>
      <c r="AK104" s="232">
        <f t="shared" si="17"/>
        <v>3.6911393296515584E-2</v>
      </c>
      <c r="AL104" s="232">
        <f t="shared" si="18"/>
        <v>-5.3799338864686181E-3</v>
      </c>
      <c r="AM104" s="232">
        <f t="shared" si="19"/>
        <v>0.49743403093721567</v>
      </c>
      <c r="AN104" s="232">
        <v>3.9300000000000002E-2</v>
      </c>
      <c r="AO104" s="232">
        <f t="shared" si="10"/>
        <v>0.19650000000000001</v>
      </c>
      <c r="AT104" t="s">
        <v>225</v>
      </c>
      <c r="AU104">
        <v>3920999.9999999995</v>
      </c>
      <c r="AV104">
        <v>1632000</v>
      </c>
      <c r="AW104">
        <v>11283340.14299906</v>
      </c>
      <c r="AX104">
        <v>5730340.1429990605</v>
      </c>
      <c r="AY104">
        <v>5730340.1429990605</v>
      </c>
      <c r="AZ104">
        <v>84029000</v>
      </c>
      <c r="BA104">
        <v>6.8194791595747428E-2</v>
      </c>
    </row>
    <row r="105" spans="1:53" x14ac:dyDescent="0.25">
      <c r="A105" t="s">
        <v>426</v>
      </c>
      <c r="B105">
        <v>4065</v>
      </c>
      <c r="C105">
        <v>43879</v>
      </c>
      <c r="D105">
        <v>129</v>
      </c>
      <c r="E105">
        <v>139</v>
      </c>
      <c r="F105">
        <v>8986</v>
      </c>
      <c r="G105">
        <v>0</v>
      </c>
      <c r="H105">
        <v>21692</v>
      </c>
      <c r="I105">
        <v>0</v>
      </c>
      <c r="J105">
        <v>0</v>
      </c>
      <c r="K105">
        <v>0</v>
      </c>
      <c r="L105">
        <v>22</v>
      </c>
      <c r="M105">
        <v>10677</v>
      </c>
      <c r="N105">
        <v>2308</v>
      </c>
      <c r="O105">
        <v>24439</v>
      </c>
      <c r="P105">
        <v>10916</v>
      </c>
      <c r="Q105">
        <v>21128</v>
      </c>
      <c r="R105">
        <v>55</v>
      </c>
      <c r="S105">
        <v>27489</v>
      </c>
      <c r="T105">
        <v>4420</v>
      </c>
      <c r="U105">
        <v>3450</v>
      </c>
      <c r="V105">
        <v>1</v>
      </c>
      <c r="W105">
        <v>58385</v>
      </c>
      <c r="X105">
        <v>-1962</v>
      </c>
      <c r="Y105">
        <v>26313</v>
      </c>
      <c r="Z105">
        <v>3640181.0369118061</v>
      </c>
      <c r="AA105">
        <v>3120155.1744958335</v>
      </c>
      <c r="AB105">
        <v>47464</v>
      </c>
      <c r="AC105">
        <v>480</v>
      </c>
      <c r="AD105" t="s">
        <v>426</v>
      </c>
      <c r="AE105" s="232">
        <f t="shared" si="11"/>
        <v>0.29912837198167513</v>
      </c>
      <c r="AF105" s="232">
        <f t="shared" si="12"/>
        <v>0.58936370643144642</v>
      </c>
      <c r="AG105" s="232">
        <f t="shared" si="13"/>
        <v>0.15629014301618566</v>
      </c>
      <c r="AH105" s="232">
        <f t="shared" si="14"/>
        <v>0.37153378436242185</v>
      </c>
      <c r="AI105" s="232">
        <f t="shared" si="15"/>
        <v>0.34804487453969341</v>
      </c>
      <c r="AJ105" s="232">
        <f t="shared" si="16"/>
        <v>-3.3604521709343152E-2</v>
      </c>
      <c r="AK105" s="232">
        <f t="shared" si="17"/>
        <v>5.3441040926536496E-2</v>
      </c>
      <c r="AL105" s="232">
        <f t="shared" si="18"/>
        <v>2.055322428706003E-3</v>
      </c>
      <c r="AM105" s="232">
        <f t="shared" si="19"/>
        <v>0.3847242020958247</v>
      </c>
      <c r="AN105" s="232">
        <v>3.5099999999999999E-2</v>
      </c>
      <c r="AO105" s="232">
        <f t="shared" si="10"/>
        <v>0.17549999999999999</v>
      </c>
      <c r="AT105" t="s">
        <v>226</v>
      </c>
      <c r="AU105">
        <v>3049000</v>
      </c>
      <c r="AV105">
        <v>3321000</v>
      </c>
      <c r="AW105">
        <v>9402949.1106534209</v>
      </c>
      <c r="AX105">
        <v>3032949.1106534209</v>
      </c>
      <c r="AY105">
        <v>3032949.1106534209</v>
      </c>
      <c r="AZ105">
        <v>70225000</v>
      </c>
      <c r="BA105">
        <v>4.3189022579614399E-2</v>
      </c>
    </row>
    <row r="106" spans="1:53" x14ac:dyDescent="0.25">
      <c r="A106" t="s">
        <v>344</v>
      </c>
      <c r="B106">
        <v>118</v>
      </c>
      <c r="C106">
        <v>121896</v>
      </c>
      <c r="D106">
        <v>1371</v>
      </c>
      <c r="E106">
        <v>78</v>
      </c>
      <c r="F106">
        <v>4148</v>
      </c>
      <c r="G106">
        <v>0</v>
      </c>
      <c r="H106">
        <v>100</v>
      </c>
      <c r="I106">
        <v>2393</v>
      </c>
      <c r="J106">
        <v>0</v>
      </c>
      <c r="K106">
        <v>2314</v>
      </c>
      <c r="L106">
        <v>407</v>
      </c>
      <c r="M106">
        <v>5570</v>
      </c>
      <c r="N106">
        <v>8365</v>
      </c>
      <c r="O106">
        <v>37757</v>
      </c>
      <c r="P106">
        <v>29982</v>
      </c>
      <c r="Q106">
        <v>55376</v>
      </c>
      <c r="R106">
        <v>2</v>
      </c>
      <c r="S106">
        <v>4960</v>
      </c>
      <c r="T106">
        <v>6782</v>
      </c>
      <c r="U106">
        <v>11901</v>
      </c>
      <c r="V106">
        <v>0</v>
      </c>
      <c r="W106">
        <v>116424</v>
      </c>
      <c r="X106">
        <v>155</v>
      </c>
      <c r="Y106">
        <v>49129</v>
      </c>
      <c r="Z106">
        <v>8327259.4882439505</v>
      </c>
      <c r="AA106">
        <v>7137650.9899233859</v>
      </c>
      <c r="AB106">
        <v>129696</v>
      </c>
      <c r="AC106">
        <v>-7682</v>
      </c>
      <c r="AD106" t="s">
        <v>344</v>
      </c>
      <c r="AE106" s="232">
        <f t="shared" si="11"/>
        <v>3.3796674843281548E-2</v>
      </c>
      <c r="AF106" s="232">
        <f t="shared" si="12"/>
        <v>0.49937298151583864</v>
      </c>
      <c r="AG106" s="232">
        <f t="shared" si="13"/>
        <v>3.6298357726929152E-2</v>
      </c>
      <c r="AH106" s="232">
        <f t="shared" si="14"/>
        <v>2.1413110698824983E-2</v>
      </c>
      <c r="AI106" s="232">
        <f t="shared" si="15"/>
        <v>0.48873960695389262</v>
      </c>
      <c r="AJ106" s="232">
        <f t="shared" si="16"/>
        <v>1.3313406170549027E-3</v>
      </c>
      <c r="AK106" s="232">
        <f t="shared" si="17"/>
        <v>6.1307384988691212E-2</v>
      </c>
      <c r="AL106" s="232">
        <f t="shared" si="18"/>
        <v>-1.6495739710025423E-2</v>
      </c>
      <c r="AM106" s="232">
        <f t="shared" si="19"/>
        <v>0.46156309621150177</v>
      </c>
      <c r="AN106" s="232">
        <v>3.3099999999999997E-2</v>
      </c>
      <c r="AO106" s="232">
        <f t="shared" si="10"/>
        <v>0.16549999999999998</v>
      </c>
      <c r="AT106" t="s">
        <v>422</v>
      </c>
      <c r="AU106">
        <v>4692000</v>
      </c>
      <c r="AV106">
        <v>3536000.0000000005</v>
      </c>
      <c r="AW106">
        <v>14226269.127057008</v>
      </c>
      <c r="AX106">
        <v>5998269.1270570084</v>
      </c>
      <c r="AY106">
        <v>5998269.1270570084</v>
      </c>
      <c r="AZ106">
        <v>112626000</v>
      </c>
      <c r="BA106">
        <v>5.3258298501740346E-2</v>
      </c>
    </row>
    <row r="107" spans="1:53" x14ac:dyDescent="0.25">
      <c r="A107" t="s">
        <v>390</v>
      </c>
      <c r="B107">
        <v>308</v>
      </c>
      <c r="C107">
        <v>151614</v>
      </c>
      <c r="D107">
        <v>5296</v>
      </c>
      <c r="E107">
        <v>1642</v>
      </c>
      <c r="F107">
        <v>25443</v>
      </c>
      <c r="G107">
        <v>0</v>
      </c>
      <c r="H107">
        <v>15205</v>
      </c>
      <c r="I107">
        <v>0</v>
      </c>
      <c r="J107">
        <v>0</v>
      </c>
      <c r="K107">
        <v>0</v>
      </c>
      <c r="L107">
        <v>683</v>
      </c>
      <c r="M107">
        <v>5147</v>
      </c>
      <c r="N107">
        <v>13168</v>
      </c>
      <c r="O107">
        <v>56445</v>
      </c>
      <c r="P107">
        <v>9180</v>
      </c>
      <c r="Q107">
        <v>122058</v>
      </c>
      <c r="R107">
        <v>0</v>
      </c>
      <c r="S107">
        <v>9457</v>
      </c>
      <c r="T107">
        <v>7866</v>
      </c>
      <c r="U107">
        <v>13500</v>
      </c>
      <c r="V107">
        <v>1</v>
      </c>
      <c r="W107">
        <v>126724</v>
      </c>
      <c r="X107">
        <v>8616</v>
      </c>
      <c r="Y107">
        <v>37636</v>
      </c>
      <c r="Z107">
        <v>3303052.0800134502</v>
      </c>
      <c r="AA107">
        <v>2831187.4971543858</v>
      </c>
      <c r="AB107">
        <v>162758</v>
      </c>
      <c r="AC107">
        <v>-10836</v>
      </c>
      <c r="AD107" t="s">
        <v>390</v>
      </c>
      <c r="AE107" s="232">
        <f t="shared" si="11"/>
        <v>4.3280276056492727E-2</v>
      </c>
      <c r="AF107" s="232">
        <f t="shared" si="12"/>
        <v>0.84276064518165461</v>
      </c>
      <c r="AG107" s="232">
        <f t="shared" si="13"/>
        <v>0.21373220542280863</v>
      </c>
      <c r="AH107" s="232">
        <f t="shared" si="14"/>
        <v>0.11998516460970297</v>
      </c>
      <c r="AI107" s="232">
        <f t="shared" si="15"/>
        <v>0.78441889460559955</v>
      </c>
      <c r="AJ107" s="232">
        <f t="shared" si="16"/>
        <v>6.7990278084656422E-2</v>
      </c>
      <c r="AK107" s="232">
        <f t="shared" si="17"/>
        <v>2.2341367832094835E-2</v>
      </c>
      <c r="AL107" s="232">
        <f t="shared" si="18"/>
        <v>-2.1377166124806668E-2</v>
      </c>
      <c r="AM107" s="232">
        <f t="shared" si="19"/>
        <v>0.30033500224250137</v>
      </c>
      <c r="AN107" s="232">
        <v>0.03</v>
      </c>
      <c r="AO107" s="232">
        <f t="shared" si="10"/>
        <v>0.15</v>
      </c>
      <c r="AT107" t="s">
        <v>169</v>
      </c>
      <c r="AU107">
        <v>1032000</v>
      </c>
      <c r="AV107">
        <v>714000.00000000023</v>
      </c>
      <c r="AW107">
        <v>1949045.8512896323</v>
      </c>
      <c r="AX107">
        <v>203045.85128963203</v>
      </c>
      <c r="AY107">
        <v>203045.85128963203</v>
      </c>
      <c r="AZ107">
        <v>23808000</v>
      </c>
      <c r="BA107">
        <v>8.5284715763454307E-3</v>
      </c>
    </row>
    <row r="108" spans="1:53" x14ac:dyDescent="0.25">
      <c r="A108" t="s">
        <v>427</v>
      </c>
      <c r="B108">
        <v>5</v>
      </c>
      <c r="C108">
        <v>60492</v>
      </c>
      <c r="D108">
        <v>245</v>
      </c>
      <c r="E108">
        <v>0</v>
      </c>
      <c r="F108">
        <v>3024</v>
      </c>
      <c r="G108">
        <v>0</v>
      </c>
      <c r="H108">
        <v>-4294</v>
      </c>
      <c r="I108">
        <v>0</v>
      </c>
      <c r="J108">
        <v>0</v>
      </c>
      <c r="K108">
        <v>6526</v>
      </c>
      <c r="L108">
        <v>438</v>
      </c>
      <c r="M108">
        <v>6737</v>
      </c>
      <c r="N108">
        <v>463</v>
      </c>
      <c r="O108">
        <v>35187</v>
      </c>
      <c r="P108">
        <v>3440</v>
      </c>
      <c r="Q108">
        <v>28147</v>
      </c>
      <c r="R108">
        <v>0</v>
      </c>
      <c r="S108">
        <v>0</v>
      </c>
      <c r="T108">
        <v>3961</v>
      </c>
      <c r="U108">
        <v>2901</v>
      </c>
      <c r="V108">
        <v>2</v>
      </c>
      <c r="W108">
        <v>59132</v>
      </c>
      <c r="X108">
        <v>942</v>
      </c>
      <c r="Y108">
        <v>23554</v>
      </c>
      <c r="Z108">
        <v>2721960.7020845264</v>
      </c>
      <c r="AA108">
        <v>2333109.1732153082</v>
      </c>
      <c r="AB108">
        <v>60206</v>
      </c>
      <c r="AC108">
        <v>291</v>
      </c>
      <c r="AD108" t="s">
        <v>427</v>
      </c>
      <c r="AE108" s="232">
        <f t="shared" si="11"/>
        <v>0</v>
      </c>
      <c r="AF108" s="232">
        <f t="shared" si="12"/>
        <v>0.30137658120814448</v>
      </c>
      <c r="AG108" s="232">
        <f t="shared" si="13"/>
        <v>5.1139822769397283E-2</v>
      </c>
      <c r="AH108" s="232">
        <f t="shared" si="14"/>
        <v>-7.261719542717987E-2</v>
      </c>
      <c r="AI108" s="232">
        <f t="shared" si="15"/>
        <v>0.35834539673949806</v>
      </c>
      <c r="AJ108" s="232">
        <f t="shared" si="16"/>
        <v>1.5930460664276534E-2</v>
      </c>
      <c r="AK108" s="232">
        <f t="shared" si="17"/>
        <v>3.945594894837496E-2</v>
      </c>
      <c r="AL108" s="232">
        <f t="shared" si="18"/>
        <v>1.2302983156328214E-3</v>
      </c>
      <c r="AM108" s="232">
        <f t="shared" si="19"/>
        <v>0.52456678798413814</v>
      </c>
      <c r="AN108" s="232">
        <v>4.1500000000000002E-2</v>
      </c>
      <c r="AO108" s="232">
        <f t="shared" si="10"/>
        <v>0.20750000000000002</v>
      </c>
      <c r="AT108" t="s">
        <v>170</v>
      </c>
      <c r="AU108">
        <v>2085000</v>
      </c>
      <c r="AV108">
        <v>1230000</v>
      </c>
      <c r="AW108">
        <v>4414209.0355816726</v>
      </c>
      <c r="AX108">
        <v>1099209.0355816726</v>
      </c>
      <c r="AY108">
        <v>1099209.0355816726</v>
      </c>
      <c r="AZ108">
        <v>54490000</v>
      </c>
      <c r="BA108">
        <v>2.0172674538111078E-2</v>
      </c>
    </row>
    <row r="109" spans="1:53" x14ac:dyDescent="0.25">
      <c r="A109" t="s">
        <v>563</v>
      </c>
      <c r="B109">
        <v>0</v>
      </c>
      <c r="C109">
        <v>161502</v>
      </c>
      <c r="D109">
        <v>252</v>
      </c>
      <c r="E109">
        <v>0</v>
      </c>
      <c r="F109">
        <v>25227</v>
      </c>
      <c r="G109">
        <v>0</v>
      </c>
      <c r="H109">
        <v>1766</v>
      </c>
      <c r="I109">
        <v>9</v>
      </c>
      <c r="J109">
        <v>0</v>
      </c>
      <c r="K109">
        <v>0</v>
      </c>
      <c r="L109">
        <v>-1877</v>
      </c>
      <c r="M109">
        <v>13414</v>
      </c>
      <c r="N109">
        <v>6810</v>
      </c>
      <c r="O109">
        <v>52470</v>
      </c>
      <c r="P109">
        <v>23762</v>
      </c>
      <c r="Q109">
        <v>103377</v>
      </c>
      <c r="R109">
        <v>63</v>
      </c>
      <c r="S109">
        <v>0</v>
      </c>
      <c r="T109">
        <v>7097</v>
      </c>
      <c r="U109">
        <v>20334</v>
      </c>
      <c r="V109">
        <v>1</v>
      </c>
      <c r="W109">
        <v>135893</v>
      </c>
      <c r="X109">
        <v>-4808</v>
      </c>
      <c r="Y109">
        <v>57337</v>
      </c>
      <c r="Z109">
        <v>14405375.599938579</v>
      </c>
      <c r="AA109">
        <v>12347464.799947353</v>
      </c>
      <c r="AB109">
        <v>152126</v>
      </c>
      <c r="AC109">
        <v>9376</v>
      </c>
      <c r="AD109" t="s">
        <v>563</v>
      </c>
      <c r="AE109" s="232">
        <f t="shared" si="11"/>
        <v>0</v>
      </c>
      <c r="AF109" s="232">
        <f t="shared" si="12"/>
        <v>0.64239511968975593</v>
      </c>
      <c r="AG109" s="232">
        <f t="shared" si="13"/>
        <v>0.18563870103684516</v>
      </c>
      <c r="AH109" s="232">
        <f t="shared" si="14"/>
        <v>1.3061747109858492E-2</v>
      </c>
      <c r="AI109" s="232">
        <f t="shared" si="15"/>
        <v>0.65552854083727641</v>
      </c>
      <c r="AJ109" s="232">
        <f t="shared" si="16"/>
        <v>-3.5380777523492751E-2</v>
      </c>
      <c r="AK109" s="232">
        <f t="shared" si="17"/>
        <v>9.0861669106924961E-2</v>
      </c>
      <c r="AL109" s="232">
        <f t="shared" si="18"/>
        <v>1.7248864915779327E-2</v>
      </c>
      <c r="AM109" s="232">
        <f t="shared" si="19"/>
        <v>0.36808737681250392</v>
      </c>
      <c r="AN109" s="232">
        <v>3.4299999999999997E-2</v>
      </c>
      <c r="AO109" s="232">
        <f t="shared" si="10"/>
        <v>0.17149999999999999</v>
      </c>
      <c r="AT109" t="s">
        <v>423</v>
      </c>
      <c r="AU109">
        <v>2369999.9999999995</v>
      </c>
      <c r="AV109">
        <v>2996000</v>
      </c>
      <c r="AW109">
        <v>7749956.6446459088</v>
      </c>
      <c r="AX109">
        <v>2383956.6446459088</v>
      </c>
      <c r="AY109">
        <v>2383956.6446459088</v>
      </c>
      <c r="AZ109">
        <v>47097000</v>
      </c>
      <c r="BA109">
        <v>5.0618014834191323E-2</v>
      </c>
    </row>
    <row r="110" spans="1:53" x14ac:dyDescent="0.25">
      <c r="A110" t="s">
        <v>345</v>
      </c>
      <c r="B110">
        <v>1104</v>
      </c>
      <c r="C110">
        <v>163759</v>
      </c>
      <c r="D110">
        <v>2187</v>
      </c>
      <c r="E110">
        <v>252</v>
      </c>
      <c r="F110">
        <v>850</v>
      </c>
      <c r="G110">
        <v>0</v>
      </c>
      <c r="H110">
        <v>68047</v>
      </c>
      <c r="I110">
        <v>2</v>
      </c>
      <c r="J110">
        <v>0</v>
      </c>
      <c r="K110">
        <v>0</v>
      </c>
      <c r="L110">
        <v>379</v>
      </c>
      <c r="M110">
        <v>9810</v>
      </c>
      <c r="N110">
        <v>6467</v>
      </c>
      <c r="O110">
        <v>60000</v>
      </c>
      <c r="P110">
        <v>37476</v>
      </c>
      <c r="Q110">
        <v>139604</v>
      </c>
      <c r="R110">
        <v>0</v>
      </c>
      <c r="S110">
        <v>4824</v>
      </c>
      <c r="T110">
        <v>5331</v>
      </c>
      <c r="U110">
        <v>5622</v>
      </c>
      <c r="V110">
        <v>1</v>
      </c>
      <c r="W110">
        <v>138706</v>
      </c>
      <c r="X110">
        <v>-657</v>
      </c>
      <c r="Y110">
        <v>36284</v>
      </c>
      <c r="Z110">
        <v>1937585.8950979821</v>
      </c>
      <c r="AA110">
        <v>1660787.9100839847</v>
      </c>
      <c r="AB110">
        <v>225202</v>
      </c>
      <c r="AC110">
        <v>-60339</v>
      </c>
      <c r="AD110" t="s">
        <v>345</v>
      </c>
      <c r="AE110" s="232">
        <f t="shared" si="11"/>
        <v>1.9077976880212927E-2</v>
      </c>
      <c r="AF110" s="232">
        <f t="shared" si="12"/>
        <v>0.99219211858174849</v>
      </c>
      <c r="AG110" s="232">
        <f t="shared" si="13"/>
        <v>7.9448617940103532E-3</v>
      </c>
      <c r="AH110" s="232">
        <f t="shared" si="14"/>
        <v>0.49059882052686976</v>
      </c>
      <c r="AI110" s="232">
        <f t="shared" si="15"/>
        <v>0.64972632762822102</v>
      </c>
      <c r="AJ110" s="232">
        <f t="shared" si="16"/>
        <v>-4.7366372038700564E-3</v>
      </c>
      <c r="AK110" s="232">
        <f t="shared" si="17"/>
        <v>1.1973439577840791E-2</v>
      </c>
      <c r="AL110" s="232">
        <f t="shared" si="18"/>
        <v>-0.10875340648566031</v>
      </c>
      <c r="AM110" s="232">
        <f t="shared" si="19"/>
        <v>0.38549852288052139</v>
      </c>
      <c r="AN110" s="232">
        <v>3.3700000000000001E-2</v>
      </c>
      <c r="AO110" s="232">
        <f t="shared" si="10"/>
        <v>0.16850000000000001</v>
      </c>
      <c r="AT110" t="s">
        <v>227</v>
      </c>
      <c r="AU110">
        <v>4013000</v>
      </c>
      <c r="AV110">
        <v>3397000</v>
      </c>
      <c r="AW110">
        <v>8708012.5439875461</v>
      </c>
      <c r="AX110">
        <v>1298012.5439875461</v>
      </c>
      <c r="AY110">
        <v>1298012.5439875461</v>
      </c>
      <c r="AZ110">
        <v>69852000</v>
      </c>
      <c r="BA110">
        <v>1.8582324686301697E-2</v>
      </c>
    </row>
    <row r="111" spans="1:53" x14ac:dyDescent="0.25">
      <c r="A111" t="s">
        <v>346</v>
      </c>
      <c r="B111">
        <v>15133</v>
      </c>
      <c r="C111">
        <v>348110</v>
      </c>
      <c r="D111">
        <v>1940</v>
      </c>
      <c r="E111">
        <v>0</v>
      </c>
      <c r="F111">
        <v>10532</v>
      </c>
      <c r="G111">
        <v>0</v>
      </c>
      <c r="H111">
        <v>8421</v>
      </c>
      <c r="I111">
        <v>13</v>
      </c>
      <c r="J111">
        <v>9000</v>
      </c>
      <c r="K111">
        <v>0</v>
      </c>
      <c r="L111">
        <v>41</v>
      </c>
      <c r="M111">
        <v>18810</v>
      </c>
      <c r="N111">
        <v>14715</v>
      </c>
      <c r="O111">
        <v>54147</v>
      </c>
      <c r="P111">
        <v>24832</v>
      </c>
      <c r="Q111">
        <v>286469</v>
      </c>
      <c r="R111">
        <v>0</v>
      </c>
      <c r="S111">
        <v>4301</v>
      </c>
      <c r="T111">
        <v>16201</v>
      </c>
      <c r="U111">
        <v>40765</v>
      </c>
      <c r="V111">
        <v>0</v>
      </c>
      <c r="W111">
        <v>256260</v>
      </c>
      <c r="X111">
        <v>8107</v>
      </c>
      <c r="Y111">
        <v>72700</v>
      </c>
      <c r="Z111">
        <v>3059211.3528502174</v>
      </c>
      <c r="AA111">
        <v>2622181.1595859006</v>
      </c>
      <c r="AB111">
        <v>351492</v>
      </c>
      <c r="AC111">
        <v>11751</v>
      </c>
      <c r="AD111" t="s">
        <v>346</v>
      </c>
      <c r="AE111" s="232">
        <f t="shared" si="11"/>
        <v>1.0079326951243804E-2</v>
      </c>
      <c r="AF111" s="232">
        <f t="shared" si="12"/>
        <v>1.1497619605088583</v>
      </c>
      <c r="AG111" s="232">
        <f t="shared" si="13"/>
        <v>4.109888394599235E-2</v>
      </c>
      <c r="AH111" s="232">
        <f t="shared" si="14"/>
        <v>3.2911886365410127E-2</v>
      </c>
      <c r="AI111" s="232">
        <f t="shared" si="15"/>
        <v>1.1316555061265903</v>
      </c>
      <c r="AJ111" s="232">
        <f t="shared" si="16"/>
        <v>3.1635838601420434E-2</v>
      </c>
      <c r="AK111" s="232">
        <f t="shared" si="17"/>
        <v>1.023250276900765E-2</v>
      </c>
      <c r="AL111" s="232">
        <f t="shared" si="18"/>
        <v>1.1463942870522126E-2</v>
      </c>
      <c r="AM111" s="232">
        <f t="shared" si="19"/>
        <v>0.18508606446925935</v>
      </c>
      <c r="AN111" s="232">
        <v>1.2200000000000001E-2</v>
      </c>
      <c r="AO111" s="232">
        <f t="shared" si="10"/>
        <v>6.1000000000000006E-2</v>
      </c>
      <c r="AT111" t="s">
        <v>424</v>
      </c>
      <c r="AU111">
        <v>3292000</v>
      </c>
      <c r="AV111">
        <v>1731999.9999999995</v>
      </c>
      <c r="AW111">
        <v>11783663.856147295</v>
      </c>
      <c r="AX111">
        <v>6759663.8561472949</v>
      </c>
      <c r="AY111">
        <v>6759663.8561472949</v>
      </c>
      <c r="AZ111">
        <v>101631000</v>
      </c>
      <c r="BA111">
        <v>6.6511830604316549E-2</v>
      </c>
    </row>
    <row r="112" spans="1:53" x14ac:dyDescent="0.25">
      <c r="A112" t="s">
        <v>428</v>
      </c>
      <c r="B112">
        <v>327</v>
      </c>
      <c r="C112">
        <v>35293</v>
      </c>
      <c r="D112">
        <v>0</v>
      </c>
      <c r="E112">
        <v>1390</v>
      </c>
      <c r="F112">
        <v>166</v>
      </c>
      <c r="G112">
        <v>0</v>
      </c>
      <c r="H112">
        <v>643</v>
      </c>
      <c r="I112">
        <v>0</v>
      </c>
      <c r="J112">
        <v>0</v>
      </c>
      <c r="K112">
        <v>407</v>
      </c>
      <c r="L112">
        <v>178</v>
      </c>
      <c r="M112">
        <v>10280</v>
      </c>
      <c r="N112">
        <v>311</v>
      </c>
      <c r="O112">
        <v>18990</v>
      </c>
      <c r="P112">
        <v>8685</v>
      </c>
      <c r="Q112">
        <v>9358</v>
      </c>
      <c r="R112">
        <v>32</v>
      </c>
      <c r="S112">
        <v>7500</v>
      </c>
      <c r="T112">
        <v>3719</v>
      </c>
      <c r="U112">
        <v>711</v>
      </c>
      <c r="V112">
        <v>1</v>
      </c>
      <c r="W112">
        <v>27690</v>
      </c>
      <c r="X112">
        <v>-732</v>
      </c>
      <c r="Y112">
        <v>12419</v>
      </c>
      <c r="Z112">
        <v>899046.6265405044</v>
      </c>
      <c r="AA112">
        <v>770611.39417757525</v>
      </c>
      <c r="AB112">
        <v>28453</v>
      </c>
      <c r="AC112">
        <v>7167</v>
      </c>
      <c r="AD112" t="s">
        <v>428</v>
      </c>
      <c r="AE112" s="232">
        <f t="shared" si="11"/>
        <v>0.15307684457597714</v>
      </c>
      <c r="AF112" s="232">
        <f t="shared" si="12"/>
        <v>0.31014806789454674</v>
      </c>
      <c r="AG112" s="232">
        <f t="shared" si="13"/>
        <v>5.6193571686529435E-2</v>
      </c>
      <c r="AH112" s="232">
        <f t="shared" si="14"/>
        <v>2.3221379559407729E-2</v>
      </c>
      <c r="AI112" s="232">
        <f t="shared" si="15"/>
        <v>0.30063633080534485</v>
      </c>
      <c r="AJ112" s="232">
        <f t="shared" si="16"/>
        <v>-2.6435536294691225E-2</v>
      </c>
      <c r="AK112" s="232">
        <f t="shared" si="17"/>
        <v>2.7829952841371443E-2</v>
      </c>
      <c r="AL112" s="232">
        <f t="shared" si="18"/>
        <v>6.470747562296858E-2</v>
      </c>
      <c r="AM112" s="232">
        <f t="shared" si="19"/>
        <v>0.56485355648535562</v>
      </c>
      <c r="AN112" s="232">
        <v>5.0799999999999998E-2</v>
      </c>
      <c r="AO112" s="232">
        <f t="shared" si="10"/>
        <v>0.254</v>
      </c>
      <c r="AT112" t="s">
        <v>425</v>
      </c>
      <c r="AU112">
        <v>4820000</v>
      </c>
      <c r="AV112">
        <v>2817000</v>
      </c>
      <c r="AW112">
        <v>9808544.8550562151</v>
      </c>
      <c r="AX112">
        <v>2171544.8550562151</v>
      </c>
      <c r="AY112">
        <v>2171544.8550562151</v>
      </c>
      <c r="AZ112">
        <v>74987000</v>
      </c>
      <c r="BA112">
        <v>2.8958950952247924E-2</v>
      </c>
    </row>
    <row r="113" spans="1:53" x14ac:dyDescent="0.25">
      <c r="A113" t="s">
        <v>148</v>
      </c>
      <c r="B113">
        <v>14972</v>
      </c>
      <c r="C113">
        <v>1209329</v>
      </c>
      <c r="D113">
        <v>13372</v>
      </c>
      <c r="E113">
        <v>345454</v>
      </c>
      <c r="F113">
        <v>15303</v>
      </c>
      <c r="G113">
        <v>0</v>
      </c>
      <c r="H113">
        <v>95991</v>
      </c>
      <c r="I113">
        <v>2826</v>
      </c>
      <c r="J113">
        <v>53500</v>
      </c>
      <c r="K113">
        <v>10000</v>
      </c>
      <c r="L113">
        <v>950</v>
      </c>
      <c r="M113">
        <v>114147</v>
      </c>
      <c r="N113">
        <v>71398</v>
      </c>
      <c r="O113">
        <v>287868</v>
      </c>
      <c r="P113">
        <v>43597</v>
      </c>
      <c r="Q113">
        <v>1312436</v>
      </c>
      <c r="R113">
        <v>790</v>
      </c>
      <c r="S113">
        <v>142732</v>
      </c>
      <c r="T113">
        <v>112025</v>
      </c>
      <c r="U113">
        <v>47794</v>
      </c>
      <c r="V113">
        <v>-13</v>
      </c>
      <c r="W113">
        <v>1009969</v>
      </c>
      <c r="X113">
        <v>-18554</v>
      </c>
      <c r="Y113">
        <v>229962</v>
      </c>
      <c r="Z113">
        <v>-13401345.934128616</v>
      </c>
      <c r="AA113">
        <v>-11486867.943538815</v>
      </c>
      <c r="AB113">
        <v>926885</v>
      </c>
      <c r="AC113">
        <v>297416</v>
      </c>
      <c r="AD113" t="s">
        <v>148</v>
      </c>
      <c r="AE113" s="232">
        <f t="shared" si="11"/>
        <v>7.3299569339609558E-2</v>
      </c>
      <c r="AF113" s="232">
        <f t="shared" si="12"/>
        <v>0.99510480024634418</v>
      </c>
      <c r="AG113" s="232">
        <f t="shared" si="13"/>
        <v>0.35719611195987205</v>
      </c>
      <c r="AH113" s="232">
        <f t="shared" si="14"/>
        <v>9.7841616920915392E-2</v>
      </c>
      <c r="AI113" s="232">
        <f t="shared" si="15"/>
        <v>0.96947920183688807</v>
      </c>
      <c r="AJ113" s="232">
        <f t="shared" si="16"/>
        <v>-1.8370860887809429E-2</v>
      </c>
      <c r="AK113" s="232">
        <f t="shared" si="17"/>
        <v>-1.1373485664944978E-2</v>
      </c>
      <c r="AL113" s="232">
        <f t="shared" si="18"/>
        <v>7.3620081408439272E-2</v>
      </c>
      <c r="AM113" s="232">
        <f t="shared" si="19"/>
        <v>0.17022280743739093</v>
      </c>
      <c r="AN113" s="232">
        <v>3.5000000000000003E-2</v>
      </c>
      <c r="AO113" s="232">
        <f t="shared" si="10"/>
        <v>0.17500000000000002</v>
      </c>
      <c r="AT113" t="s">
        <v>467</v>
      </c>
      <c r="AU113">
        <v>1865000</v>
      </c>
      <c r="AV113">
        <v>1273999.9999999998</v>
      </c>
      <c r="AW113">
        <v>5106088.123456791</v>
      </c>
      <c r="AX113">
        <v>1967088.1234567913</v>
      </c>
      <c r="AY113">
        <v>1967088.1234567913</v>
      </c>
      <c r="AZ113">
        <v>45679000</v>
      </c>
      <c r="BA113">
        <v>4.306329217926818E-2</v>
      </c>
    </row>
    <row r="114" spans="1:53" x14ac:dyDescent="0.25">
      <c r="A114" t="s">
        <v>468</v>
      </c>
      <c r="B114">
        <v>95</v>
      </c>
      <c r="C114">
        <v>35505</v>
      </c>
      <c r="D114">
        <v>484</v>
      </c>
      <c r="E114">
        <v>7270</v>
      </c>
      <c r="F114">
        <v>0</v>
      </c>
      <c r="G114">
        <v>0</v>
      </c>
      <c r="H114">
        <v>656</v>
      </c>
      <c r="I114">
        <v>62</v>
      </c>
      <c r="J114">
        <v>0</v>
      </c>
      <c r="K114">
        <v>6</v>
      </c>
      <c r="L114">
        <v>-1088</v>
      </c>
      <c r="M114">
        <v>1341</v>
      </c>
      <c r="N114">
        <v>217</v>
      </c>
      <c r="O114">
        <v>14557</v>
      </c>
      <c r="P114">
        <v>2082</v>
      </c>
      <c r="Q114">
        <v>19655</v>
      </c>
      <c r="R114">
        <v>0</v>
      </c>
      <c r="S114">
        <v>8000</v>
      </c>
      <c r="T114">
        <v>79</v>
      </c>
      <c r="U114">
        <v>175</v>
      </c>
      <c r="V114">
        <v>2</v>
      </c>
      <c r="W114">
        <v>37543</v>
      </c>
      <c r="X114">
        <v>-154</v>
      </c>
      <c r="Y114">
        <v>14196</v>
      </c>
      <c r="Z114">
        <v>458525.1802939428</v>
      </c>
      <c r="AA114">
        <v>393021.58310909383</v>
      </c>
      <c r="AB114">
        <v>30555</v>
      </c>
      <c r="AC114">
        <v>5045</v>
      </c>
      <c r="AD114" t="s">
        <v>468</v>
      </c>
      <c r="AE114" s="232">
        <f t="shared" si="11"/>
        <v>0.17958157493041213</v>
      </c>
      <c r="AF114" s="232">
        <f t="shared" si="12"/>
        <v>0.53706416642250221</v>
      </c>
      <c r="AG114" s="232">
        <f t="shared" si="13"/>
        <v>0.19364462083477613</v>
      </c>
      <c r="AH114" s="232">
        <f t="shared" si="14"/>
        <v>1.9124736968276376E-2</v>
      </c>
      <c r="AI114" s="232">
        <f t="shared" si="15"/>
        <v>0.54691420504488186</v>
      </c>
      <c r="AJ114" s="232">
        <f t="shared" si="16"/>
        <v>-4.1019630823322592E-3</v>
      </c>
      <c r="AK114" s="232">
        <f t="shared" si="17"/>
        <v>1.0468571587488849E-2</v>
      </c>
      <c r="AL114" s="232">
        <f t="shared" si="18"/>
        <v>3.359481128306209E-2</v>
      </c>
      <c r="AM114" s="232">
        <f t="shared" si="19"/>
        <v>0.37350722815839094</v>
      </c>
      <c r="AN114" s="232">
        <v>3.4799999999999998E-2</v>
      </c>
      <c r="AO114" s="232">
        <f t="shared" si="10"/>
        <v>0.17399999999999999</v>
      </c>
      <c r="AT114" t="s">
        <v>343</v>
      </c>
      <c r="AU114">
        <v>1838000</v>
      </c>
      <c r="AV114">
        <v>965000.00000000012</v>
      </c>
      <c r="AW114">
        <v>4968196.1198516116</v>
      </c>
      <c r="AX114">
        <v>2165196.1198516116</v>
      </c>
      <c r="AY114">
        <v>2165196.1198516116</v>
      </c>
      <c r="AZ114">
        <v>29259000</v>
      </c>
      <c r="BA114">
        <v>7.4001029421771475E-2</v>
      </c>
    </row>
    <row r="115" spans="1:53" x14ac:dyDescent="0.25">
      <c r="A115" t="s">
        <v>191</v>
      </c>
      <c r="B115">
        <v>2138</v>
      </c>
      <c r="C115">
        <v>50083</v>
      </c>
      <c r="D115">
        <v>233</v>
      </c>
      <c r="E115">
        <v>612</v>
      </c>
      <c r="F115">
        <v>8981</v>
      </c>
      <c r="G115">
        <v>4620</v>
      </c>
      <c r="H115">
        <v>3893</v>
      </c>
      <c r="I115">
        <v>0</v>
      </c>
      <c r="J115">
        <v>0</v>
      </c>
      <c r="K115">
        <v>0</v>
      </c>
      <c r="L115">
        <v>322</v>
      </c>
      <c r="M115">
        <v>5700</v>
      </c>
      <c r="N115">
        <v>964</v>
      </c>
      <c r="O115">
        <v>2516</v>
      </c>
      <c r="P115">
        <v>7329</v>
      </c>
      <c r="Q115">
        <v>56336</v>
      </c>
      <c r="R115">
        <v>0</v>
      </c>
      <c r="S115">
        <v>2387</v>
      </c>
      <c r="T115">
        <v>5566</v>
      </c>
      <c r="U115">
        <v>3412</v>
      </c>
      <c r="V115">
        <v>1</v>
      </c>
      <c r="W115">
        <v>60433</v>
      </c>
      <c r="X115">
        <v>2685</v>
      </c>
      <c r="Y115">
        <v>24291</v>
      </c>
      <c r="Z115">
        <v>1783104.2155299122</v>
      </c>
      <c r="AA115">
        <v>1528375.041882782</v>
      </c>
      <c r="AB115">
        <v>68288</v>
      </c>
      <c r="AC115">
        <v>-16067</v>
      </c>
      <c r="AD115" t="s">
        <v>191</v>
      </c>
      <c r="AE115" s="232">
        <f t="shared" si="11"/>
        <v>3.0781729554071133E-2</v>
      </c>
      <c r="AF115" s="232">
        <f t="shared" si="12"/>
        <v>0.76948025085632021</v>
      </c>
      <c r="AG115" s="232">
        <f t="shared" si="13"/>
        <v>0.15873777571856437</v>
      </c>
      <c r="AH115" s="232">
        <f t="shared" si="14"/>
        <v>6.4418446875051716E-2</v>
      </c>
      <c r="AI115" s="232">
        <f t="shared" si="15"/>
        <v>0.74343587113001164</v>
      </c>
      <c r="AJ115" s="232">
        <f t="shared" si="16"/>
        <v>4.442936806049675E-2</v>
      </c>
      <c r="AK115" s="232">
        <f t="shared" si="17"/>
        <v>2.5290404942378865E-2</v>
      </c>
      <c r="AL115" s="232">
        <f t="shared" si="18"/>
        <v>-6.6466169145996387E-2</v>
      </c>
      <c r="AM115" s="232">
        <f t="shared" si="19"/>
        <v>0.12695690299950996</v>
      </c>
      <c r="AN115" s="232">
        <v>2.2000000000000001E-3</v>
      </c>
      <c r="AO115" s="232">
        <f t="shared" si="10"/>
        <v>1.1000000000000001E-2</v>
      </c>
      <c r="AT115" t="s">
        <v>426</v>
      </c>
      <c r="AU115">
        <v>2531999.9999999995</v>
      </c>
      <c r="AV115">
        <v>3165000</v>
      </c>
      <c r="AW115">
        <v>9337181.0369118061</v>
      </c>
      <c r="AX115">
        <v>3640181.0369118061</v>
      </c>
      <c r="AY115">
        <v>3640181.0369118061</v>
      </c>
      <c r="AZ115">
        <v>58385000</v>
      </c>
      <c r="BA115">
        <v>6.2347881080959254E-2</v>
      </c>
    </row>
    <row r="116" spans="1:53" x14ac:dyDescent="0.25">
      <c r="A116" t="s">
        <v>429</v>
      </c>
      <c r="B116">
        <v>1322</v>
      </c>
      <c r="C116">
        <v>21393</v>
      </c>
      <c r="D116">
        <v>29</v>
      </c>
      <c r="E116">
        <v>0</v>
      </c>
      <c r="F116">
        <v>2823</v>
      </c>
      <c r="G116">
        <v>0</v>
      </c>
      <c r="H116">
        <v>7867</v>
      </c>
      <c r="I116">
        <v>3</v>
      </c>
      <c r="J116">
        <v>0</v>
      </c>
      <c r="K116">
        <v>759</v>
      </c>
      <c r="L116">
        <v>920</v>
      </c>
      <c r="M116">
        <v>5981</v>
      </c>
      <c r="N116">
        <v>-314</v>
      </c>
      <c r="O116">
        <v>21172</v>
      </c>
      <c r="P116">
        <v>12421</v>
      </c>
      <c r="Q116">
        <v>3772</v>
      </c>
      <c r="R116">
        <v>14</v>
      </c>
      <c r="S116">
        <v>0</v>
      </c>
      <c r="T116">
        <v>2721</v>
      </c>
      <c r="U116">
        <v>683</v>
      </c>
      <c r="V116">
        <v>-5</v>
      </c>
      <c r="W116">
        <v>31824</v>
      </c>
      <c r="X116">
        <v>222</v>
      </c>
      <c r="Y116">
        <v>14103</v>
      </c>
      <c r="Z116">
        <v>1803171.9964157445</v>
      </c>
      <c r="AA116">
        <v>1545575.996927781</v>
      </c>
      <c r="AB116">
        <v>13977</v>
      </c>
      <c r="AC116">
        <v>8738</v>
      </c>
      <c r="AD116" t="s">
        <v>429</v>
      </c>
      <c r="AE116" s="232">
        <f t="shared" si="11"/>
        <v>0</v>
      </c>
      <c r="AF116" s="232">
        <f t="shared" si="12"/>
        <v>-9.3608597285067874E-2</v>
      </c>
      <c r="AG116" s="232">
        <f t="shared" si="13"/>
        <v>8.8706636500754152E-2</v>
      </c>
      <c r="AH116" s="232">
        <f t="shared" si="14"/>
        <v>0.24729763700351937</v>
      </c>
      <c r="AI116" s="232">
        <f t="shared" si="15"/>
        <v>-0.25607214680744095</v>
      </c>
      <c r="AJ116" s="232">
        <f t="shared" si="16"/>
        <v>6.9758672699849174E-3</v>
      </c>
      <c r="AK116" s="232">
        <f t="shared" si="17"/>
        <v>4.8566364911003676E-2</v>
      </c>
      <c r="AL116" s="232">
        <f t="shared" si="18"/>
        <v>6.8643162393162399E-2</v>
      </c>
      <c r="AM116" s="232">
        <f t="shared" si="19"/>
        <v>0.82370105190888365</v>
      </c>
      <c r="AN116" s="232">
        <v>5.5800000000000002E-2</v>
      </c>
      <c r="AO116" s="232">
        <f t="shared" si="10"/>
        <v>0.27900000000000003</v>
      </c>
      <c r="AT116" t="s">
        <v>344</v>
      </c>
      <c r="AU116">
        <v>5728000</v>
      </c>
      <c r="AV116">
        <v>2499000</v>
      </c>
      <c r="AW116">
        <v>16554259.488243956</v>
      </c>
      <c r="AX116">
        <v>8327259.4882439561</v>
      </c>
      <c r="AY116">
        <v>8327259.4882439561</v>
      </c>
      <c r="AZ116">
        <v>116424000</v>
      </c>
      <c r="BA116">
        <v>7.1525282486806466E-2</v>
      </c>
    </row>
    <row r="117" spans="1:53" x14ac:dyDescent="0.25">
      <c r="A117" t="s">
        <v>301</v>
      </c>
      <c r="B117">
        <v>10086</v>
      </c>
      <c r="C117">
        <v>600470</v>
      </c>
      <c r="D117">
        <v>12461</v>
      </c>
      <c r="E117">
        <v>1332</v>
      </c>
      <c r="F117">
        <v>10033</v>
      </c>
      <c r="G117">
        <v>0</v>
      </c>
      <c r="H117">
        <v>18940</v>
      </c>
      <c r="I117">
        <v>0</v>
      </c>
      <c r="J117">
        <v>0</v>
      </c>
      <c r="K117">
        <v>0</v>
      </c>
      <c r="L117">
        <v>311</v>
      </c>
      <c r="M117">
        <v>39316</v>
      </c>
      <c r="N117">
        <v>14811</v>
      </c>
      <c r="O117">
        <v>126902</v>
      </c>
      <c r="P117">
        <v>17068</v>
      </c>
      <c r="Q117">
        <v>474825</v>
      </c>
      <c r="R117">
        <v>169</v>
      </c>
      <c r="S117">
        <v>31316</v>
      </c>
      <c r="T117">
        <v>27098</v>
      </c>
      <c r="U117">
        <v>30382</v>
      </c>
      <c r="V117">
        <v>2</v>
      </c>
      <c r="W117">
        <v>533238</v>
      </c>
      <c r="X117">
        <v>25210</v>
      </c>
      <c r="Y117">
        <v>159709</v>
      </c>
      <c r="Z117">
        <v>17456120.290807024</v>
      </c>
      <c r="AA117">
        <v>14962388.820691735</v>
      </c>
      <c r="AB117">
        <v>627810</v>
      </c>
      <c r="AC117">
        <v>-17254</v>
      </c>
      <c r="AD117" t="s">
        <v>301</v>
      </c>
      <c r="AE117" s="232">
        <f t="shared" si="11"/>
        <v>4.4246637278173392E-2</v>
      </c>
      <c r="AF117" s="232">
        <f t="shared" si="12"/>
        <v>0.93389255829479523</v>
      </c>
      <c r="AG117" s="232">
        <f t="shared" si="13"/>
        <v>2.1313184731770803E-2</v>
      </c>
      <c r="AH117" s="232">
        <f t="shared" si="14"/>
        <v>3.5518848994257723E-2</v>
      </c>
      <c r="AI117" s="232">
        <f t="shared" si="15"/>
        <v>0.91158694616662739</v>
      </c>
      <c r="AJ117" s="232">
        <f t="shared" si="16"/>
        <v>4.7277200799642934E-2</v>
      </c>
      <c r="AK117" s="232">
        <f t="shared" si="17"/>
        <v>2.8059494673469885E-2</v>
      </c>
      <c r="AL117" s="232">
        <f t="shared" si="18"/>
        <v>-8.0892584549488219E-3</v>
      </c>
      <c r="AM117" s="232">
        <f t="shared" si="19"/>
        <v>0.20341641234316718</v>
      </c>
      <c r="AN117" s="232">
        <v>1.7999999999999999E-2</v>
      </c>
      <c r="AO117" s="232">
        <f t="shared" si="10"/>
        <v>0.09</v>
      </c>
      <c r="AT117" t="s">
        <v>390</v>
      </c>
      <c r="AU117">
        <v>4694000</v>
      </c>
      <c r="AV117">
        <v>5077000</v>
      </c>
      <c r="AW117">
        <v>13074052.08001345</v>
      </c>
      <c r="AX117">
        <v>3303052.0800134502</v>
      </c>
      <c r="AY117">
        <v>3303052.0800134502</v>
      </c>
      <c r="AZ117">
        <v>126724000</v>
      </c>
      <c r="BA117">
        <v>2.6064929137443973E-2</v>
      </c>
    </row>
    <row r="118" spans="1:53" x14ac:dyDescent="0.25">
      <c r="A118" t="s">
        <v>302</v>
      </c>
      <c r="B118">
        <v>44646</v>
      </c>
      <c r="C118">
        <v>574035</v>
      </c>
      <c r="D118">
        <v>33378</v>
      </c>
      <c r="E118">
        <v>63510</v>
      </c>
      <c r="F118">
        <v>2115</v>
      </c>
      <c r="G118">
        <v>0</v>
      </c>
      <c r="H118">
        <v>174432</v>
      </c>
      <c r="I118">
        <v>3204</v>
      </c>
      <c r="J118">
        <v>0</v>
      </c>
      <c r="K118">
        <v>290</v>
      </c>
      <c r="L118">
        <v>352</v>
      </c>
      <c r="M118">
        <v>53838</v>
      </c>
      <c r="N118">
        <v>26879</v>
      </c>
      <c r="O118">
        <v>305011</v>
      </c>
      <c r="P118">
        <v>97109</v>
      </c>
      <c r="Q118">
        <v>446282</v>
      </c>
      <c r="R118">
        <v>1</v>
      </c>
      <c r="S118">
        <v>17138</v>
      </c>
      <c r="T118">
        <v>23027</v>
      </c>
      <c r="U118">
        <v>88049</v>
      </c>
      <c r="V118">
        <v>31</v>
      </c>
      <c r="W118">
        <v>451652</v>
      </c>
      <c r="X118">
        <v>31503</v>
      </c>
      <c r="Y118">
        <v>153149</v>
      </c>
      <c r="Z118">
        <v>8734133.5795188993</v>
      </c>
      <c r="AA118">
        <v>7486400.2110161986</v>
      </c>
      <c r="AB118">
        <v>484685</v>
      </c>
      <c r="AC118">
        <v>133996</v>
      </c>
      <c r="AD118" t="s">
        <v>302</v>
      </c>
      <c r="AE118" s="232">
        <f t="shared" si="11"/>
        <v>1.7548332662650764E-2</v>
      </c>
      <c r="AF118" s="232">
        <f t="shared" si="12"/>
        <v>0.94655398404081015</v>
      </c>
      <c r="AG118" s="232">
        <f t="shared" si="13"/>
        <v>0.14529992117825227</v>
      </c>
      <c r="AH118" s="232">
        <f t="shared" si="14"/>
        <v>0.39330280835687653</v>
      </c>
      <c r="AI118" s="232">
        <f t="shared" si="15"/>
        <v>0.68867800873238683</v>
      </c>
      <c r="AJ118" s="232">
        <f t="shared" si="16"/>
        <v>6.9750604447672102E-2</v>
      </c>
      <c r="AK118" s="232">
        <f t="shared" si="17"/>
        <v>1.6575594065821028E-2</v>
      </c>
      <c r="AL118" s="232">
        <f t="shared" si="18"/>
        <v>7.416993614552797E-2</v>
      </c>
      <c r="AM118" s="232">
        <f t="shared" si="19"/>
        <v>0.41174790117313131</v>
      </c>
      <c r="AN118" s="232">
        <v>6.0000000000000001E-3</v>
      </c>
      <c r="AO118" s="232">
        <f t="shared" si="10"/>
        <v>0.03</v>
      </c>
      <c r="AT118" t="s">
        <v>427</v>
      </c>
      <c r="AU118">
        <v>2962000</v>
      </c>
      <c r="AV118">
        <v>1520000</v>
      </c>
      <c r="AW118">
        <v>7203960.7020845264</v>
      </c>
      <c r="AX118">
        <v>2721960.7020845264</v>
      </c>
      <c r="AY118">
        <v>2721960.7020845264</v>
      </c>
      <c r="AZ118">
        <v>59132000</v>
      </c>
      <c r="BA118">
        <v>4.603194043977079E-2</v>
      </c>
    </row>
    <row r="119" spans="1:53" x14ac:dyDescent="0.25">
      <c r="A119" t="s">
        <v>430</v>
      </c>
      <c r="B119">
        <v>517</v>
      </c>
      <c r="C119">
        <v>66613</v>
      </c>
      <c r="D119">
        <v>1366</v>
      </c>
      <c r="E119">
        <v>7</v>
      </c>
      <c r="F119">
        <v>5785</v>
      </c>
      <c r="G119">
        <v>0</v>
      </c>
      <c r="H119">
        <v>7857</v>
      </c>
      <c r="I119">
        <v>17</v>
      </c>
      <c r="J119">
        <v>0</v>
      </c>
      <c r="K119">
        <v>0</v>
      </c>
      <c r="L119">
        <v>464</v>
      </c>
      <c r="M119">
        <v>10715</v>
      </c>
      <c r="N119">
        <v>3425</v>
      </c>
      <c r="O119">
        <v>17681</v>
      </c>
      <c r="P119">
        <v>1778</v>
      </c>
      <c r="Q119">
        <v>64551</v>
      </c>
      <c r="R119">
        <v>0</v>
      </c>
      <c r="S119">
        <v>5000</v>
      </c>
      <c r="T119">
        <v>4437</v>
      </c>
      <c r="U119">
        <v>3319</v>
      </c>
      <c r="V119">
        <v>-1</v>
      </c>
      <c r="W119">
        <v>69687</v>
      </c>
      <c r="X119">
        <v>834</v>
      </c>
      <c r="Y119">
        <v>29888</v>
      </c>
      <c r="Z119">
        <v>3661336.9620223343</v>
      </c>
      <c r="AA119">
        <v>3138288.8245905722</v>
      </c>
      <c r="AB119">
        <v>51186</v>
      </c>
      <c r="AC119">
        <v>15944</v>
      </c>
      <c r="AD119" t="s">
        <v>430</v>
      </c>
      <c r="AE119" s="232">
        <f t="shared" si="11"/>
        <v>5.1671041481512102E-2</v>
      </c>
      <c r="AF119" s="232">
        <f t="shared" si="12"/>
        <v>0.8166659491727295</v>
      </c>
      <c r="AG119" s="232">
        <f t="shared" si="13"/>
        <v>8.3114497682494584E-2</v>
      </c>
      <c r="AH119" s="232">
        <f t="shared" si="14"/>
        <v>0.11299094522651283</v>
      </c>
      <c r="AI119" s="232">
        <f t="shared" si="15"/>
        <v>0.74754602723606978</v>
      </c>
      <c r="AJ119" s="232">
        <f t="shared" si="16"/>
        <v>1.1967798872099531E-2</v>
      </c>
      <c r="AK119" s="232">
        <f t="shared" si="17"/>
        <v>4.5034064095033105E-2</v>
      </c>
      <c r="AL119" s="232">
        <f t="shared" si="18"/>
        <v>5.7198616671689122E-2</v>
      </c>
      <c r="AM119" s="232">
        <f t="shared" si="19"/>
        <v>0.20109335923774879</v>
      </c>
      <c r="AN119" s="232">
        <v>4.5999999999999999E-2</v>
      </c>
      <c r="AO119" s="232">
        <f t="shared" si="10"/>
        <v>0.22999999999999998</v>
      </c>
      <c r="AT119" t="s">
        <v>563</v>
      </c>
      <c r="AU119">
        <v>7852000</v>
      </c>
      <c r="AV119">
        <v>2533000</v>
      </c>
      <c r="AW119">
        <v>24790375.599938583</v>
      </c>
      <c r="AX119">
        <v>14405375.599938583</v>
      </c>
      <c r="AY119">
        <v>14405375.599938583</v>
      </c>
      <c r="AZ119">
        <v>135893000</v>
      </c>
      <c r="BA119">
        <v>0.10600528062474582</v>
      </c>
    </row>
    <row r="120" spans="1:53" x14ac:dyDescent="0.25">
      <c r="A120" t="s">
        <v>192</v>
      </c>
      <c r="B120">
        <v>5710</v>
      </c>
      <c r="C120">
        <v>175792</v>
      </c>
      <c r="D120">
        <v>14898</v>
      </c>
      <c r="E120">
        <v>150</v>
      </c>
      <c r="F120">
        <v>7636</v>
      </c>
      <c r="G120">
        <v>0</v>
      </c>
      <c r="H120">
        <v>39497</v>
      </c>
      <c r="I120">
        <v>0</v>
      </c>
      <c r="J120">
        <v>0</v>
      </c>
      <c r="K120">
        <v>0</v>
      </c>
      <c r="L120">
        <v>-1138</v>
      </c>
      <c r="M120">
        <v>17729</v>
      </c>
      <c r="N120">
        <v>4152</v>
      </c>
      <c r="O120">
        <v>78378</v>
      </c>
      <c r="P120">
        <v>23108</v>
      </c>
      <c r="Q120">
        <v>144583</v>
      </c>
      <c r="R120">
        <v>694</v>
      </c>
      <c r="S120">
        <v>0</v>
      </c>
      <c r="T120">
        <v>11266</v>
      </c>
      <c r="U120">
        <v>6397</v>
      </c>
      <c r="V120">
        <v>1</v>
      </c>
      <c r="W120">
        <v>162868</v>
      </c>
      <c r="X120">
        <v>10869</v>
      </c>
      <c r="Y120">
        <v>60539</v>
      </c>
      <c r="Z120">
        <v>2960441.0209695958</v>
      </c>
      <c r="AA120">
        <v>2537520.8751167962</v>
      </c>
      <c r="AB120">
        <v>206144</v>
      </c>
      <c r="AC120">
        <v>-24642</v>
      </c>
      <c r="AD120" t="s">
        <v>192</v>
      </c>
      <c r="AE120" s="232">
        <f t="shared" si="11"/>
        <v>0</v>
      </c>
      <c r="AF120" s="232">
        <f t="shared" si="12"/>
        <v>0.82527568337549428</v>
      </c>
      <c r="AG120" s="232">
        <f t="shared" si="13"/>
        <v>4.7805584890831837E-2</v>
      </c>
      <c r="AH120" s="232">
        <f t="shared" si="14"/>
        <v>0.24250927131173711</v>
      </c>
      <c r="AI120" s="232">
        <f t="shared" si="15"/>
        <v>0.6612558636441781</v>
      </c>
      <c r="AJ120" s="232">
        <f t="shared" si="16"/>
        <v>6.6735024682565022E-2</v>
      </c>
      <c r="AK120" s="232">
        <f t="shared" si="17"/>
        <v>1.5580229849428962E-2</v>
      </c>
      <c r="AL120" s="232">
        <f t="shared" si="18"/>
        <v>-3.7825109904953705E-2</v>
      </c>
      <c r="AM120" s="232">
        <f t="shared" si="19"/>
        <v>0.38379735729466846</v>
      </c>
      <c r="AN120" s="232">
        <v>1.11E-2</v>
      </c>
      <c r="AO120" s="232">
        <f t="shared" si="10"/>
        <v>5.5500000000000001E-2</v>
      </c>
      <c r="AT120" t="s">
        <v>345</v>
      </c>
      <c r="AU120">
        <v>4230000</v>
      </c>
      <c r="AV120">
        <v>5036000</v>
      </c>
      <c r="AW120">
        <v>11203585.895097984</v>
      </c>
      <c r="AX120">
        <v>1937585.895097984</v>
      </c>
      <c r="AY120">
        <v>1937585.895097984</v>
      </c>
      <c r="AZ120">
        <v>138706000</v>
      </c>
      <c r="BA120">
        <v>1.3969012840814268E-2</v>
      </c>
    </row>
    <row r="121" spans="1:53" x14ac:dyDescent="0.25">
      <c r="A121" t="s">
        <v>228</v>
      </c>
      <c r="B121">
        <v>3408</v>
      </c>
      <c r="C121">
        <v>211320</v>
      </c>
      <c r="D121">
        <v>2918</v>
      </c>
      <c r="E121">
        <v>254</v>
      </c>
      <c r="F121">
        <v>78</v>
      </c>
      <c r="G121">
        <v>0</v>
      </c>
      <c r="H121">
        <v>10426</v>
      </c>
      <c r="I121">
        <v>4160</v>
      </c>
      <c r="J121">
        <v>0</v>
      </c>
      <c r="K121">
        <v>912</v>
      </c>
      <c r="L121">
        <v>46351</v>
      </c>
      <c r="M121">
        <v>18076</v>
      </c>
      <c r="N121">
        <v>42</v>
      </c>
      <c r="O121">
        <v>94314</v>
      </c>
      <c r="P121">
        <v>85801</v>
      </c>
      <c r="Q121">
        <v>102667</v>
      </c>
      <c r="R121">
        <v>304</v>
      </c>
      <c r="S121">
        <v>0</v>
      </c>
      <c r="T121">
        <v>9380</v>
      </c>
      <c r="U121">
        <v>5479</v>
      </c>
      <c r="V121">
        <v>14</v>
      </c>
      <c r="W121">
        <v>138256</v>
      </c>
      <c r="X121">
        <v>-3961</v>
      </c>
      <c r="Y121">
        <v>46832</v>
      </c>
      <c r="Z121">
        <v>4271563.1809001807</v>
      </c>
      <c r="AA121">
        <v>3661339.8693430121</v>
      </c>
      <c r="AB121">
        <v>184602</v>
      </c>
      <c r="AC121">
        <v>30126</v>
      </c>
      <c r="AD121" t="s">
        <v>228</v>
      </c>
      <c r="AE121" s="232">
        <f t="shared" si="11"/>
        <v>0</v>
      </c>
      <c r="AF121" s="232">
        <f t="shared" si="12"/>
        <v>0.37696013192917488</v>
      </c>
      <c r="AG121" s="232">
        <f t="shared" si="13"/>
        <v>2.4013424372179145E-3</v>
      </c>
      <c r="AH121" s="232">
        <f t="shared" si="14"/>
        <v>0.10549994213632681</v>
      </c>
      <c r="AI121" s="232">
        <f t="shared" si="15"/>
        <v>0.30339833352621226</v>
      </c>
      <c r="AJ121" s="232">
        <f t="shared" si="16"/>
        <v>-2.8649751186205299E-2</v>
      </c>
      <c r="AK121" s="232">
        <f t="shared" si="17"/>
        <v>2.6482321702805029E-2</v>
      </c>
      <c r="AL121" s="232">
        <f t="shared" si="18"/>
        <v>5.4475031825020254E-2</v>
      </c>
      <c r="AM121" s="232">
        <f t="shared" si="19"/>
        <v>0.60452432495930453</v>
      </c>
      <c r="AN121" s="232">
        <v>3.0099999999999998E-2</v>
      </c>
      <c r="AO121" s="232">
        <f t="shared" si="10"/>
        <v>0.15049999999999999</v>
      </c>
      <c r="AT121" t="s">
        <v>346</v>
      </c>
      <c r="AU121">
        <v>8448000</v>
      </c>
      <c r="AV121">
        <v>8401999.9999999981</v>
      </c>
      <c r="AW121">
        <v>19909211.352850225</v>
      </c>
      <c r="AX121">
        <v>3059211.3528502267</v>
      </c>
      <c r="AY121">
        <v>3059211.3528502267</v>
      </c>
      <c r="AZ121">
        <v>256260000</v>
      </c>
      <c r="BA121">
        <v>1.1937919897175629E-2</v>
      </c>
    </row>
    <row r="122" spans="1:53" x14ac:dyDescent="0.25">
      <c r="A122" t="s">
        <v>347</v>
      </c>
      <c r="B122">
        <v>3334</v>
      </c>
      <c r="C122">
        <v>45478</v>
      </c>
      <c r="D122">
        <v>954</v>
      </c>
      <c r="E122">
        <v>1166</v>
      </c>
      <c r="F122">
        <v>0</v>
      </c>
      <c r="G122">
        <v>0</v>
      </c>
      <c r="H122">
        <v>0</v>
      </c>
      <c r="I122">
        <v>2255</v>
      </c>
      <c r="J122">
        <v>0</v>
      </c>
      <c r="K122">
        <v>1055</v>
      </c>
      <c r="L122">
        <v>298</v>
      </c>
      <c r="M122">
        <v>3175</v>
      </c>
      <c r="N122">
        <v>4638</v>
      </c>
      <c r="O122">
        <v>17214</v>
      </c>
      <c r="P122">
        <v>4295</v>
      </c>
      <c r="Q122">
        <v>32533</v>
      </c>
      <c r="R122">
        <v>0</v>
      </c>
      <c r="S122">
        <v>1600</v>
      </c>
      <c r="T122">
        <v>3494</v>
      </c>
      <c r="U122">
        <v>3217</v>
      </c>
      <c r="V122">
        <v>0</v>
      </c>
      <c r="W122">
        <v>42458</v>
      </c>
      <c r="X122">
        <v>-273</v>
      </c>
      <c r="Y122">
        <v>17958</v>
      </c>
      <c r="Z122">
        <v>1689151.3556328993</v>
      </c>
      <c r="AA122">
        <v>1447844.0191139136</v>
      </c>
      <c r="AB122">
        <v>48524</v>
      </c>
      <c r="AC122">
        <v>288</v>
      </c>
      <c r="AD122" t="s">
        <v>347</v>
      </c>
      <c r="AE122" s="232">
        <f t="shared" si="11"/>
        <v>2.5660353150610236E-2</v>
      </c>
      <c r="AF122" s="232">
        <f t="shared" si="12"/>
        <v>0.71863959677799238</v>
      </c>
      <c r="AG122" s="232">
        <f t="shared" si="13"/>
        <v>2.7462433463658203E-2</v>
      </c>
      <c r="AH122" s="232">
        <f t="shared" si="14"/>
        <v>5.3111310000471056E-2</v>
      </c>
      <c r="AI122" s="232">
        <f t="shared" si="15"/>
        <v>0.68475717179330164</v>
      </c>
      <c r="AJ122" s="232">
        <f t="shared" si="16"/>
        <v>-6.4298836497244339E-3</v>
      </c>
      <c r="AK122" s="232">
        <f t="shared" si="17"/>
        <v>3.410061753059291E-2</v>
      </c>
      <c r="AL122" s="232">
        <f t="shared" si="18"/>
        <v>1.6957934900372132E-3</v>
      </c>
      <c r="AM122" s="232">
        <f t="shared" si="19"/>
        <v>0.34495533494779723</v>
      </c>
      <c r="AN122" s="232">
        <v>3.6799999999999999E-2</v>
      </c>
      <c r="AO122" s="232">
        <f t="shared" ref="AO122:AO181" si="20">5*AN122</f>
        <v>0.184</v>
      </c>
      <c r="AT122" t="s">
        <v>428</v>
      </c>
      <c r="AU122">
        <v>1627999.9999999998</v>
      </c>
      <c r="AV122">
        <v>836999.99999999988</v>
      </c>
      <c r="AW122">
        <v>3364046.6265405044</v>
      </c>
      <c r="AX122">
        <v>899046.62654050475</v>
      </c>
      <c r="AY122">
        <v>899046.62654050475</v>
      </c>
      <c r="AZ122">
        <v>27690000</v>
      </c>
      <c r="BA122">
        <v>3.246827831493336E-2</v>
      </c>
    </row>
    <row r="123" spans="1:53" x14ac:dyDescent="0.25">
      <c r="A123" s="101" t="s">
        <v>171</v>
      </c>
      <c r="B123">
        <v>1257</v>
      </c>
      <c r="C123">
        <v>67803</v>
      </c>
      <c r="D123">
        <v>616</v>
      </c>
      <c r="E123">
        <v>0</v>
      </c>
      <c r="F123">
        <v>1088</v>
      </c>
      <c r="G123">
        <v>0</v>
      </c>
      <c r="H123">
        <v>2575</v>
      </c>
      <c r="I123">
        <v>2</v>
      </c>
      <c r="J123">
        <v>0</v>
      </c>
      <c r="K123">
        <v>2466</v>
      </c>
      <c r="L123">
        <v>409</v>
      </c>
      <c r="M123">
        <v>7215</v>
      </c>
      <c r="N123">
        <v>1138</v>
      </c>
      <c r="O123">
        <v>34116</v>
      </c>
      <c r="P123">
        <v>15973</v>
      </c>
      <c r="Q123">
        <v>28450</v>
      </c>
      <c r="R123">
        <v>25</v>
      </c>
      <c r="S123">
        <v>0</v>
      </c>
      <c r="T123">
        <v>2396</v>
      </c>
      <c r="U123">
        <v>3609</v>
      </c>
      <c r="V123">
        <v>0</v>
      </c>
      <c r="W123">
        <v>64591</v>
      </c>
      <c r="X123">
        <v>2471</v>
      </c>
      <c r="Y123">
        <v>15783</v>
      </c>
      <c r="Z123">
        <v>675452.6850399226</v>
      </c>
      <c r="AA123">
        <v>578959.44431993365</v>
      </c>
      <c r="AB123">
        <v>68513</v>
      </c>
      <c r="AC123">
        <v>547</v>
      </c>
      <c r="AD123" t="s">
        <v>171</v>
      </c>
      <c r="AE123" s="232">
        <f t="shared" si="11"/>
        <v>0</v>
      </c>
      <c r="AF123" s="232">
        <f t="shared" si="12"/>
        <v>0.34314378164140513</v>
      </c>
      <c r="AG123" s="232">
        <f t="shared" si="13"/>
        <v>1.6844452013438406E-2</v>
      </c>
      <c r="AH123" s="232">
        <f t="shared" si="14"/>
        <v>3.9897199300212106E-2</v>
      </c>
      <c r="AI123" s="232">
        <f t="shared" si="15"/>
        <v>0.31723707637286924</v>
      </c>
      <c r="AJ123" s="232">
        <f t="shared" si="16"/>
        <v>3.8256103791549909E-2</v>
      </c>
      <c r="AK123" s="232">
        <f t="shared" si="17"/>
        <v>8.963469280858536E-3</v>
      </c>
      <c r="AL123" s="232">
        <f t="shared" si="18"/>
        <v>2.1171680265052407E-3</v>
      </c>
      <c r="AM123" s="232">
        <f t="shared" si="19"/>
        <v>0.5922855892821246</v>
      </c>
      <c r="AN123" s="232">
        <v>2.1700000000000001E-2</v>
      </c>
      <c r="AO123" s="232">
        <f t="shared" si="20"/>
        <v>0.1085</v>
      </c>
      <c r="AT123" t="s">
        <v>148</v>
      </c>
      <c r="AU123">
        <v>25239000</v>
      </c>
      <c r="AV123">
        <v>46719000</v>
      </c>
      <c r="AW123">
        <v>56984809.402079254</v>
      </c>
      <c r="AX123">
        <v>-14973190.597920746</v>
      </c>
      <c r="AY123">
        <v>0</v>
      </c>
      <c r="AZ123">
        <v>932693000</v>
      </c>
      <c r="BA123">
        <v>-1.6053718209443776E-2</v>
      </c>
    </row>
    <row r="124" spans="1:53" x14ac:dyDescent="0.25">
      <c r="A124" t="s">
        <v>229</v>
      </c>
      <c r="B124">
        <v>685</v>
      </c>
      <c r="C124">
        <v>24157</v>
      </c>
      <c r="D124">
        <v>1697</v>
      </c>
      <c r="E124">
        <v>491</v>
      </c>
      <c r="F124">
        <v>8668</v>
      </c>
      <c r="G124">
        <v>0</v>
      </c>
      <c r="H124">
        <v>1442</v>
      </c>
      <c r="I124">
        <v>0</v>
      </c>
      <c r="J124">
        <v>0</v>
      </c>
      <c r="K124">
        <v>0</v>
      </c>
      <c r="L124">
        <v>-357</v>
      </c>
      <c r="M124">
        <v>2659</v>
      </c>
      <c r="N124">
        <v>2861</v>
      </c>
      <c r="O124">
        <v>11178</v>
      </c>
      <c r="P124">
        <v>2142</v>
      </c>
      <c r="Q124">
        <v>23683</v>
      </c>
      <c r="R124">
        <v>0</v>
      </c>
      <c r="S124">
        <v>0</v>
      </c>
      <c r="T124">
        <v>2505</v>
      </c>
      <c r="U124">
        <v>2795</v>
      </c>
      <c r="V124">
        <v>0</v>
      </c>
      <c r="W124">
        <v>33105</v>
      </c>
      <c r="X124">
        <v>816</v>
      </c>
      <c r="Y124">
        <v>12154</v>
      </c>
      <c r="Z124">
        <v>832759.54975505779</v>
      </c>
      <c r="AA124">
        <v>713793.89979004953</v>
      </c>
      <c r="AB124">
        <v>20764</v>
      </c>
      <c r="AC124">
        <v>4078</v>
      </c>
      <c r="AD124" t="s">
        <v>229</v>
      </c>
      <c r="AE124" s="232">
        <f t="shared" si="11"/>
        <v>0</v>
      </c>
      <c r="AF124" s="232">
        <f t="shared" si="12"/>
        <v>0.44286361576801087</v>
      </c>
      <c r="AG124" s="232">
        <f t="shared" si="13"/>
        <v>0.27666515632079747</v>
      </c>
      <c r="AH124" s="232">
        <f t="shared" si="14"/>
        <v>4.3558374867844737E-2</v>
      </c>
      <c r="AI124" s="232">
        <f t="shared" si="15"/>
        <v>0.44557257211901524</v>
      </c>
      <c r="AJ124" s="232">
        <f t="shared" si="16"/>
        <v>2.464884458541006E-2</v>
      </c>
      <c r="AK124" s="232">
        <f t="shared" si="17"/>
        <v>2.1561513360218987E-2</v>
      </c>
      <c r="AL124" s="232">
        <f t="shared" si="18"/>
        <v>3.0795952273070533E-2</v>
      </c>
      <c r="AM124" s="232">
        <f t="shared" si="19"/>
        <v>0.31487128572441669</v>
      </c>
      <c r="AN124" s="232">
        <v>2.8500000000000001E-2</v>
      </c>
      <c r="AO124" s="232">
        <f t="shared" si="20"/>
        <v>0.14250000000000002</v>
      </c>
      <c r="AT124" t="s">
        <v>149</v>
      </c>
      <c r="AU124">
        <v>1203000.0000000002</v>
      </c>
      <c r="AV124">
        <v>713000</v>
      </c>
      <c r="AW124">
        <v>2822362.062605042</v>
      </c>
      <c r="AX124">
        <v>906362.06260504178</v>
      </c>
      <c r="AY124">
        <v>906362.06260504178</v>
      </c>
      <c r="AZ124">
        <v>30109000</v>
      </c>
      <c r="BA124">
        <v>3.0102695626060039E-2</v>
      </c>
    </row>
    <row r="125" spans="1:53" x14ac:dyDescent="0.25">
      <c r="A125" s="101" t="s">
        <v>303</v>
      </c>
      <c r="B125">
        <v>0</v>
      </c>
      <c r="C125">
        <v>82685</v>
      </c>
      <c r="D125">
        <v>0</v>
      </c>
      <c r="E125">
        <v>92</v>
      </c>
      <c r="F125">
        <v>2751</v>
      </c>
      <c r="G125">
        <v>0</v>
      </c>
      <c r="H125">
        <v>-1769</v>
      </c>
      <c r="I125">
        <v>2269</v>
      </c>
      <c r="J125">
        <v>9953</v>
      </c>
      <c r="K125">
        <v>0</v>
      </c>
      <c r="L125">
        <v>579</v>
      </c>
      <c r="M125">
        <v>1079</v>
      </c>
      <c r="N125">
        <v>5309</v>
      </c>
      <c r="O125">
        <v>56498</v>
      </c>
      <c r="P125">
        <v>6032</v>
      </c>
      <c r="Q125">
        <v>31587</v>
      </c>
      <c r="R125">
        <v>97</v>
      </c>
      <c r="S125">
        <v>2797</v>
      </c>
      <c r="T125">
        <v>84</v>
      </c>
      <c r="U125">
        <v>5853</v>
      </c>
      <c r="V125">
        <v>-1</v>
      </c>
      <c r="W125">
        <v>100690</v>
      </c>
      <c r="X125">
        <v>9902</v>
      </c>
      <c r="Y125">
        <v>39146</v>
      </c>
      <c r="Z125">
        <v>4905595.706829058</v>
      </c>
      <c r="AA125">
        <v>4204796.320139193</v>
      </c>
      <c r="AB125">
        <v>88320</v>
      </c>
      <c r="AC125">
        <v>-5635</v>
      </c>
      <c r="AD125" t="s">
        <v>303</v>
      </c>
      <c r="AE125" s="232">
        <f t="shared" si="11"/>
        <v>2.7169056222558961E-2</v>
      </c>
      <c r="AF125" s="232">
        <f t="shared" si="12"/>
        <v>0.20513457145694708</v>
      </c>
      <c r="AG125" s="232">
        <f t="shared" si="13"/>
        <v>2.8235177276790147E-2</v>
      </c>
      <c r="AH125" s="232">
        <f t="shared" si="14"/>
        <v>4.9657364187108951E-3</v>
      </c>
      <c r="AI125" s="232">
        <f t="shared" si="15"/>
        <v>0.20504677723706427</v>
      </c>
      <c r="AJ125" s="232">
        <f t="shared" si="16"/>
        <v>9.8341444036150555E-2</v>
      </c>
      <c r="AK125" s="232">
        <f t="shared" si="17"/>
        <v>4.1759820440353493E-2</v>
      </c>
      <c r="AL125" s="232">
        <f t="shared" si="18"/>
        <v>-1.3990962359717946E-2</v>
      </c>
      <c r="AM125" s="232">
        <f t="shared" si="19"/>
        <v>0.60739402416754085</v>
      </c>
      <c r="AN125" s="232">
        <v>1.6299999999999999E-2</v>
      </c>
      <c r="AO125" s="232">
        <f t="shared" si="20"/>
        <v>8.1499999999999989E-2</v>
      </c>
      <c r="AT125" t="s">
        <v>468</v>
      </c>
      <c r="AU125">
        <v>2303000</v>
      </c>
      <c r="AV125">
        <v>1452000.0000000002</v>
      </c>
      <c r="AW125">
        <v>4213525.1802939428</v>
      </c>
      <c r="AX125">
        <v>458525.18029394257</v>
      </c>
      <c r="AY125">
        <v>458525.18029394257</v>
      </c>
      <c r="AZ125">
        <v>37543000</v>
      </c>
      <c r="BA125">
        <v>1.2213333518736984E-2</v>
      </c>
    </row>
    <row r="126" spans="1:53" x14ac:dyDescent="0.25">
      <c r="A126" t="s">
        <v>304</v>
      </c>
      <c r="B126">
        <v>0</v>
      </c>
      <c r="C126">
        <v>56085</v>
      </c>
      <c r="D126">
        <v>1817</v>
      </c>
      <c r="E126">
        <v>147</v>
      </c>
      <c r="F126">
        <v>315</v>
      </c>
      <c r="G126">
        <v>0</v>
      </c>
      <c r="H126">
        <v>0</v>
      </c>
      <c r="I126">
        <v>0</v>
      </c>
      <c r="J126">
        <v>0</v>
      </c>
      <c r="K126">
        <v>1</v>
      </c>
      <c r="L126">
        <v>-4798</v>
      </c>
      <c r="M126">
        <v>6020</v>
      </c>
      <c r="N126">
        <v>1826</v>
      </c>
      <c r="O126">
        <v>22372</v>
      </c>
      <c r="P126">
        <v>9013</v>
      </c>
      <c r="Q126">
        <v>23280</v>
      </c>
      <c r="R126">
        <v>166</v>
      </c>
      <c r="S126">
        <v>0</v>
      </c>
      <c r="T126">
        <v>3237</v>
      </c>
      <c r="U126">
        <v>3345</v>
      </c>
      <c r="V126">
        <v>0</v>
      </c>
      <c r="W126">
        <v>55206</v>
      </c>
      <c r="X126">
        <v>2308</v>
      </c>
      <c r="Y126">
        <v>27080</v>
      </c>
      <c r="Z126">
        <v>6430367.0184928421</v>
      </c>
      <c r="AA126">
        <v>5511743.1587081505</v>
      </c>
      <c r="AB126">
        <v>60364</v>
      </c>
      <c r="AC126">
        <v>-4279</v>
      </c>
      <c r="AD126" t="s">
        <v>304</v>
      </c>
      <c r="AE126" s="232">
        <f t="shared" si="11"/>
        <v>0</v>
      </c>
      <c r="AF126" s="232">
        <f t="shared" si="12"/>
        <v>0.48032822519291379</v>
      </c>
      <c r="AG126" s="232">
        <f t="shared" si="13"/>
        <v>8.3686555809151172E-3</v>
      </c>
      <c r="AH126" s="232">
        <f t="shared" si="14"/>
        <v>0</v>
      </c>
      <c r="AI126" s="232">
        <f t="shared" si="15"/>
        <v>0.48133246386262363</v>
      </c>
      <c r="AJ126" s="232">
        <f t="shared" si="16"/>
        <v>4.1807049958337859E-2</v>
      </c>
      <c r="AK126" s="232">
        <f t="shared" si="17"/>
        <v>9.9839567414921393E-2</v>
      </c>
      <c r="AL126" s="232">
        <f t="shared" si="18"/>
        <v>-1.9377422743904648E-2</v>
      </c>
      <c r="AM126" s="232">
        <f t="shared" si="19"/>
        <v>0.51104814941461907</v>
      </c>
      <c r="AN126" s="232">
        <v>2.2599999999999999E-2</v>
      </c>
      <c r="AO126" s="232">
        <f t="shared" si="20"/>
        <v>0.11299999999999999</v>
      </c>
      <c r="AT126" t="s">
        <v>191</v>
      </c>
      <c r="AU126">
        <v>3010000</v>
      </c>
      <c r="AV126">
        <v>2231000</v>
      </c>
      <c r="AW126">
        <v>7024104.2155299131</v>
      </c>
      <c r="AX126">
        <v>1783104.2155299131</v>
      </c>
      <c r="AY126">
        <v>1783104.2155299131</v>
      </c>
      <c r="AZ126">
        <v>60433000</v>
      </c>
      <c r="BA126">
        <v>2.9505472432775355E-2</v>
      </c>
    </row>
    <row r="127" spans="1:53" x14ac:dyDescent="0.25">
      <c r="A127" t="s">
        <v>230</v>
      </c>
      <c r="B127">
        <v>1705</v>
      </c>
      <c r="C127">
        <v>57305</v>
      </c>
      <c r="D127">
        <v>66</v>
      </c>
      <c r="E127">
        <v>761</v>
      </c>
      <c r="F127">
        <v>651</v>
      </c>
      <c r="G127">
        <v>0</v>
      </c>
      <c r="H127">
        <v>5453</v>
      </c>
      <c r="I127">
        <v>0</v>
      </c>
      <c r="J127">
        <v>0</v>
      </c>
      <c r="K127">
        <v>0</v>
      </c>
      <c r="L127">
        <v>9445</v>
      </c>
      <c r="M127">
        <v>6888</v>
      </c>
      <c r="N127">
        <v>1942</v>
      </c>
      <c r="O127">
        <v>18694</v>
      </c>
      <c r="P127">
        <v>6088</v>
      </c>
      <c r="Q127">
        <v>42815</v>
      </c>
      <c r="R127">
        <v>0</v>
      </c>
      <c r="S127">
        <v>10000</v>
      </c>
      <c r="T127">
        <v>3422</v>
      </c>
      <c r="U127">
        <v>3197</v>
      </c>
      <c r="V127">
        <v>2</v>
      </c>
      <c r="W127">
        <v>47221</v>
      </c>
      <c r="X127">
        <v>1667</v>
      </c>
      <c r="Y127">
        <v>18603</v>
      </c>
      <c r="Z127">
        <v>1195219.2894312646</v>
      </c>
      <c r="AA127">
        <v>1024473.6766553696</v>
      </c>
      <c r="AB127">
        <v>43424</v>
      </c>
      <c r="AC127">
        <v>15586</v>
      </c>
      <c r="AD127" t="s">
        <v>230</v>
      </c>
      <c r="AE127" s="232">
        <f t="shared" si="11"/>
        <v>0.11874228175168614</v>
      </c>
      <c r="AF127" s="232">
        <f t="shared" si="12"/>
        <v>0.84172296224137566</v>
      </c>
      <c r="AG127" s="232">
        <f t="shared" si="13"/>
        <v>2.9901950403422205E-2</v>
      </c>
      <c r="AH127" s="232">
        <f t="shared" si="14"/>
        <v>0.11547828296732386</v>
      </c>
      <c r="AI127" s="232">
        <f t="shared" si="15"/>
        <v>0.76447639821265967</v>
      </c>
      <c r="AJ127" s="232">
        <f t="shared" si="16"/>
        <v>3.5302090171745619E-2</v>
      </c>
      <c r="AK127" s="232">
        <f t="shared" si="17"/>
        <v>2.1695298207479077E-2</v>
      </c>
      <c r="AL127" s="232">
        <f t="shared" si="18"/>
        <v>8.2516253361851713E-2</v>
      </c>
      <c r="AM127" s="232">
        <f t="shared" si="19"/>
        <v>0.29426712263702859</v>
      </c>
      <c r="AN127" s="232">
        <v>2.1499999999999998E-2</v>
      </c>
      <c r="AO127" s="232">
        <f t="shared" si="20"/>
        <v>0.10749999999999998</v>
      </c>
      <c r="AT127" t="s">
        <v>429</v>
      </c>
      <c r="AU127">
        <v>2252000</v>
      </c>
      <c r="AV127">
        <v>1178000</v>
      </c>
      <c r="AW127">
        <v>5233171.9964157455</v>
      </c>
      <c r="AX127">
        <v>1803171.9964157455</v>
      </c>
      <c r="AY127">
        <v>1803171.9964157455</v>
      </c>
      <c r="AZ127">
        <v>31824000</v>
      </c>
      <c r="BA127">
        <v>5.666075906283765E-2</v>
      </c>
    </row>
    <row r="128" spans="1:53" x14ac:dyDescent="0.25">
      <c r="A128" t="s">
        <v>172</v>
      </c>
      <c r="B128">
        <v>16099</v>
      </c>
      <c r="C128">
        <v>111226</v>
      </c>
      <c r="D128">
        <v>13781</v>
      </c>
      <c r="E128">
        <v>0</v>
      </c>
      <c r="F128">
        <v>199</v>
      </c>
      <c r="G128">
        <v>0</v>
      </c>
      <c r="H128">
        <v>34211</v>
      </c>
      <c r="I128">
        <v>10</v>
      </c>
      <c r="J128">
        <v>0</v>
      </c>
      <c r="K128">
        <v>20067</v>
      </c>
      <c r="L128">
        <v>87</v>
      </c>
      <c r="M128">
        <v>16119</v>
      </c>
      <c r="N128">
        <v>8363</v>
      </c>
      <c r="O128">
        <v>41065</v>
      </c>
      <c r="P128">
        <v>16678</v>
      </c>
      <c r="Q128">
        <v>134486</v>
      </c>
      <c r="R128">
        <v>0</v>
      </c>
      <c r="S128">
        <v>-1544</v>
      </c>
      <c r="T128">
        <v>9139</v>
      </c>
      <c r="U128">
        <v>20338</v>
      </c>
      <c r="V128">
        <v>-2</v>
      </c>
      <c r="W128">
        <v>159024</v>
      </c>
      <c r="X128">
        <v>4797</v>
      </c>
      <c r="Y128">
        <v>50192</v>
      </c>
      <c r="Z128">
        <v>-474226.49993204884</v>
      </c>
      <c r="AA128">
        <v>-406479.85708461329</v>
      </c>
      <c r="AB128">
        <v>123420.25321025218</v>
      </c>
      <c r="AC128">
        <v>3904.74678974782</v>
      </c>
      <c r="AD128" t="s">
        <v>172</v>
      </c>
      <c r="AE128" s="232">
        <f t="shared" si="11"/>
        <v>-7.0130176869759543E-3</v>
      </c>
      <c r="AF128" s="232">
        <f t="shared" si="12"/>
        <v>0.73941040346111275</v>
      </c>
      <c r="AG128" s="232">
        <f t="shared" si="13"/>
        <v>1.2513834389777643E-3</v>
      </c>
      <c r="AH128" s="232">
        <f t="shared" si="14"/>
        <v>0.21519393299124662</v>
      </c>
      <c r="AI128" s="232">
        <f t="shared" si="15"/>
        <v>0.58892481637991745</v>
      </c>
      <c r="AJ128" s="232">
        <f t="shared" si="16"/>
        <v>3.0165258074252944E-2</v>
      </c>
      <c r="AK128" s="232">
        <f t="shared" si="17"/>
        <v>-2.5560912634860983E-3</v>
      </c>
      <c r="AL128" s="232">
        <f t="shared" si="18"/>
        <v>6.1386123945879551E-3</v>
      </c>
      <c r="AM128" s="232">
        <f t="shared" si="19"/>
        <v>0.26227505200715834</v>
      </c>
      <c r="AN128" s="232">
        <v>1.5299999999999999E-2</v>
      </c>
      <c r="AO128" s="232">
        <f t="shared" si="20"/>
        <v>7.6499999999999999E-2</v>
      </c>
      <c r="AT128" t="s">
        <v>301</v>
      </c>
      <c r="AU128">
        <v>20300999.999999996</v>
      </c>
      <c r="AV128">
        <v>19456000</v>
      </c>
      <c r="AW128">
        <v>57213120.290807024</v>
      </c>
      <c r="AX128">
        <v>17456120.290807024</v>
      </c>
      <c r="AY128">
        <v>17456120.290807024</v>
      </c>
      <c r="AZ128">
        <v>533238000</v>
      </c>
      <c r="BA128">
        <v>3.2736077119048197E-2</v>
      </c>
    </row>
    <row r="129" spans="1:53" x14ac:dyDescent="0.25">
      <c r="A129" t="s">
        <v>305</v>
      </c>
      <c r="B129">
        <v>2385</v>
      </c>
      <c r="C129">
        <v>134568</v>
      </c>
      <c r="D129">
        <v>218</v>
      </c>
      <c r="E129">
        <v>0</v>
      </c>
      <c r="F129">
        <v>1018</v>
      </c>
      <c r="G129">
        <v>0</v>
      </c>
      <c r="H129">
        <v>54236</v>
      </c>
      <c r="I129">
        <v>17</v>
      </c>
      <c r="J129">
        <v>0</v>
      </c>
      <c r="K129">
        <v>5074</v>
      </c>
      <c r="L129">
        <v>822</v>
      </c>
      <c r="M129">
        <v>9354</v>
      </c>
      <c r="N129">
        <v>1819</v>
      </c>
      <c r="O129">
        <v>96678</v>
      </c>
      <c r="P129">
        <v>20417</v>
      </c>
      <c r="Q129">
        <v>68400</v>
      </c>
      <c r="R129">
        <v>271</v>
      </c>
      <c r="S129">
        <v>10000</v>
      </c>
      <c r="T129">
        <v>3871</v>
      </c>
      <c r="U129">
        <v>9874</v>
      </c>
      <c r="V129">
        <v>2</v>
      </c>
      <c r="W129">
        <v>142727</v>
      </c>
      <c r="X129">
        <v>-1879</v>
      </c>
      <c r="Y129">
        <v>55850</v>
      </c>
      <c r="Z129">
        <v>3822360.2983307075</v>
      </c>
      <c r="AA129">
        <v>3276308.8271406065</v>
      </c>
      <c r="AB129">
        <v>148252</v>
      </c>
      <c r="AC129">
        <v>-11299</v>
      </c>
      <c r="AD129" t="s">
        <v>305</v>
      </c>
      <c r="AE129" s="232">
        <f t="shared" si="11"/>
        <v>4.773019077757254E-2</v>
      </c>
      <c r="AF129" s="232">
        <f t="shared" si="12"/>
        <v>0.52077742823712403</v>
      </c>
      <c r="AG129" s="232">
        <f t="shared" si="13"/>
        <v>7.1324977054096281E-3</v>
      </c>
      <c r="AH129" s="232">
        <f t="shared" si="14"/>
        <v>0.3801172868483188</v>
      </c>
      <c r="AI129" s="232">
        <f t="shared" si="15"/>
        <v>0.25555122716795003</v>
      </c>
      <c r="AJ129" s="232">
        <f t="shared" si="16"/>
        <v>-1.3164993308904412E-2</v>
      </c>
      <c r="AK129" s="232">
        <f t="shared" si="17"/>
        <v>2.2955073862272777E-2</v>
      </c>
      <c r="AL129" s="232">
        <f t="shared" si="18"/>
        <v>-1.9791279855948769E-2</v>
      </c>
      <c r="AM129" s="232">
        <f t="shared" si="19"/>
        <v>0.55889666890998568</v>
      </c>
      <c r="AN129" s="232">
        <v>1.6199999999999999E-2</v>
      </c>
      <c r="AO129" s="232">
        <f t="shared" si="20"/>
        <v>8.0999999999999989E-2</v>
      </c>
      <c r="AT129" t="s">
        <v>504</v>
      </c>
      <c r="AU129">
        <v>869000</v>
      </c>
      <c r="AV129">
        <v>1837000</v>
      </c>
      <c r="AW129">
        <v>3695546.4569392502</v>
      </c>
      <c r="AX129">
        <v>989546.45693925023</v>
      </c>
      <c r="AY129">
        <v>989546.45693925023</v>
      </c>
      <c r="AZ129">
        <v>12316000</v>
      </c>
      <c r="BA129">
        <v>8.0346415795652021E-2</v>
      </c>
    </row>
    <row r="130" spans="1:53" x14ac:dyDescent="0.25">
      <c r="A130" t="s">
        <v>469</v>
      </c>
      <c r="B130">
        <v>27132</v>
      </c>
      <c r="C130">
        <v>277969</v>
      </c>
      <c r="D130">
        <v>7322</v>
      </c>
      <c r="E130">
        <v>0</v>
      </c>
      <c r="F130">
        <v>18527</v>
      </c>
      <c r="G130">
        <v>0</v>
      </c>
      <c r="H130">
        <v>4808</v>
      </c>
      <c r="I130">
        <v>77</v>
      </c>
      <c r="J130">
        <v>0</v>
      </c>
      <c r="K130">
        <v>0</v>
      </c>
      <c r="L130">
        <v>-9233</v>
      </c>
      <c r="M130">
        <v>34225</v>
      </c>
      <c r="N130">
        <v>4741</v>
      </c>
      <c r="O130">
        <v>24982</v>
      </c>
      <c r="P130">
        <v>35910</v>
      </c>
      <c r="Q130">
        <v>217431</v>
      </c>
      <c r="R130">
        <v>12</v>
      </c>
      <c r="S130">
        <v>45000</v>
      </c>
      <c r="T130">
        <v>11202</v>
      </c>
      <c r="U130">
        <v>31031</v>
      </c>
      <c r="V130">
        <v>0</v>
      </c>
      <c r="W130">
        <v>415918</v>
      </c>
      <c r="X130">
        <v>-21357</v>
      </c>
      <c r="Y130">
        <v>86762</v>
      </c>
      <c r="Z130">
        <v>1138752.2109264582</v>
      </c>
      <c r="AA130">
        <v>976073.32365124987</v>
      </c>
      <c r="AB130">
        <v>235407</v>
      </c>
      <c r="AC130">
        <v>69694</v>
      </c>
      <c r="AD130" t="s">
        <v>469</v>
      </c>
      <c r="AE130" s="232">
        <f t="shared" si="11"/>
        <v>0.12309611344537816</v>
      </c>
      <c r="AF130" s="232">
        <f t="shared" si="12"/>
        <v>0.61650613822917022</v>
      </c>
      <c r="AG130" s="232">
        <f t="shared" si="13"/>
        <v>4.4544838165215261E-2</v>
      </c>
      <c r="AH130" s="232">
        <f t="shared" si="14"/>
        <v>1.1745103602152347E-2</v>
      </c>
      <c r="AI130" s="232">
        <f t="shared" si="15"/>
        <v>0.61362994628748935</v>
      </c>
      <c r="AJ130" s="232">
        <f t="shared" si="16"/>
        <v>-5.1349063998191953E-2</v>
      </c>
      <c r="AK130" s="232">
        <f t="shared" si="17"/>
        <v>2.3467926938753551E-3</v>
      </c>
      <c r="AL130" s="232">
        <f t="shared" si="18"/>
        <v>4.189167095437081E-2</v>
      </c>
      <c r="AM130" s="232">
        <f t="shared" si="19"/>
        <v>0.16656818977591037</v>
      </c>
      <c r="AN130" s="232">
        <v>5.2400000000000002E-2</v>
      </c>
      <c r="AO130" s="232">
        <f t="shared" si="20"/>
        <v>0.26200000000000001</v>
      </c>
      <c r="AT130" t="s">
        <v>302</v>
      </c>
      <c r="AU130">
        <v>16198000</v>
      </c>
      <c r="AV130">
        <v>49713999.999999993</v>
      </c>
      <c r="AW130">
        <v>72427587.122579664</v>
      </c>
      <c r="AX130">
        <v>6515587.1225796714</v>
      </c>
      <c r="AY130">
        <v>6515587.1225796714</v>
      </c>
      <c r="AZ130">
        <v>439336000</v>
      </c>
      <c r="BA130">
        <v>1.4830533174107452E-2</v>
      </c>
    </row>
    <row r="131" spans="1:53" x14ac:dyDescent="0.25">
      <c r="A131" t="s">
        <v>431</v>
      </c>
      <c r="B131">
        <v>188</v>
      </c>
      <c r="C131">
        <v>18501</v>
      </c>
      <c r="D131">
        <v>42</v>
      </c>
      <c r="E131">
        <v>3056</v>
      </c>
      <c r="F131">
        <v>5846</v>
      </c>
      <c r="G131">
        <v>0</v>
      </c>
      <c r="H131">
        <v>14428</v>
      </c>
      <c r="I131">
        <v>2</v>
      </c>
      <c r="J131">
        <v>0</v>
      </c>
      <c r="K131">
        <v>8375</v>
      </c>
      <c r="L131">
        <v>28</v>
      </c>
      <c r="M131">
        <v>4487</v>
      </c>
      <c r="N131">
        <v>1411</v>
      </c>
      <c r="O131">
        <v>14125</v>
      </c>
      <c r="P131">
        <v>5008</v>
      </c>
      <c r="Q131">
        <v>27957</v>
      </c>
      <c r="R131">
        <v>2057</v>
      </c>
      <c r="S131">
        <v>0</v>
      </c>
      <c r="T131">
        <v>4456</v>
      </c>
      <c r="U131">
        <v>2761</v>
      </c>
      <c r="V131">
        <v>-2</v>
      </c>
      <c r="W131">
        <v>30648</v>
      </c>
      <c r="X131">
        <v>-175</v>
      </c>
      <c r="Y131">
        <v>15886</v>
      </c>
      <c r="Z131">
        <v>2704827.049873204</v>
      </c>
      <c r="AA131">
        <v>2318423.1856056033</v>
      </c>
      <c r="AB131">
        <v>25428</v>
      </c>
      <c r="AC131">
        <v>-6739</v>
      </c>
      <c r="AD131" t="s">
        <v>431</v>
      </c>
      <c r="AE131" s="232">
        <f t="shared" ref="AE131:AE194" si="21">S131/SUM(O131:U131)</f>
        <v>0</v>
      </c>
      <c r="AF131" s="232">
        <f t="shared" ref="AF131:AF194" si="22">SUM(Q131,R131,S131,T131,U131,-E131,-F131,-G131,-J131,-K131,-L131,-M131,-N131)/W131</f>
        <v>0.45771339075959278</v>
      </c>
      <c r="AG131" s="232">
        <f t="shared" ref="AG131:AG194" si="23">SUM(E131,F131)/W131</f>
        <v>0.29045941007569825</v>
      </c>
      <c r="AH131" s="232">
        <f t="shared" ref="AH131:AH194" si="24">SUM(H131,I131)/W131</f>
        <v>0.47083007047768205</v>
      </c>
      <c r="AI131" s="232">
        <f t="shared" ref="AI131:AI194" si="25">SUM(AF131,0.12*AG131,-0.7*AH131)</f>
        <v>0.16298747063429914</v>
      </c>
      <c r="AJ131" s="232">
        <f t="shared" ref="AJ131:AJ194" si="26">X131/W131</f>
        <v>-5.7099973897154791E-3</v>
      </c>
      <c r="AK131" s="232">
        <f t="shared" ref="AK131:AK194" si="27">AA131/(1000*W131)</f>
        <v>7.5646801931793378E-2</v>
      </c>
      <c r="AL131" s="232">
        <f t="shared" ref="AL131:AL194" si="28">(AC131/4)/W131</f>
        <v>-5.4970960584703736E-2</v>
      </c>
      <c r="AM131" s="232">
        <f t="shared" ref="AM131:AM194" si="29">SUM(O131,P131)/SUM(O131,P131,Q131,R131,S131,T131,U131)</f>
        <v>0.33945426158540914</v>
      </c>
      <c r="AN131" s="232">
        <v>4.2799999999999998E-2</v>
      </c>
      <c r="AO131" s="232">
        <f t="shared" si="20"/>
        <v>0.214</v>
      </c>
      <c r="AT131" t="s">
        <v>430</v>
      </c>
      <c r="AU131">
        <v>3347000</v>
      </c>
      <c r="AV131">
        <v>2749000</v>
      </c>
      <c r="AW131">
        <v>9757336.9620223343</v>
      </c>
      <c r="AX131">
        <v>3661336.9620223343</v>
      </c>
      <c r="AY131">
        <v>3661336.9620223343</v>
      </c>
      <c r="AZ131">
        <v>69687000</v>
      </c>
      <c r="BA131">
        <v>5.2539741444205292E-2</v>
      </c>
    </row>
    <row r="132" spans="1:53" x14ac:dyDescent="0.25">
      <c r="A132" t="s">
        <v>306</v>
      </c>
      <c r="B132">
        <v>86</v>
      </c>
      <c r="C132">
        <v>54395</v>
      </c>
      <c r="D132">
        <v>357</v>
      </c>
      <c r="E132">
        <v>0</v>
      </c>
      <c r="F132">
        <v>135</v>
      </c>
      <c r="G132">
        <v>0</v>
      </c>
      <c r="H132">
        <v>16122</v>
      </c>
      <c r="I132">
        <v>0</v>
      </c>
      <c r="J132">
        <v>0</v>
      </c>
      <c r="K132">
        <v>23585</v>
      </c>
      <c r="L132">
        <v>13</v>
      </c>
      <c r="M132">
        <v>4717</v>
      </c>
      <c r="N132">
        <v>3371</v>
      </c>
      <c r="O132">
        <v>24367</v>
      </c>
      <c r="P132">
        <v>2284</v>
      </c>
      <c r="Q132">
        <v>52700</v>
      </c>
      <c r="R132">
        <v>15</v>
      </c>
      <c r="S132">
        <v>21</v>
      </c>
      <c r="T132">
        <v>3711</v>
      </c>
      <c r="U132">
        <v>19683</v>
      </c>
      <c r="V132">
        <v>0</v>
      </c>
      <c r="W132">
        <v>49354</v>
      </c>
      <c r="X132">
        <v>1077</v>
      </c>
      <c r="Y132">
        <v>23099</v>
      </c>
      <c r="Z132">
        <v>4595020.9688388752</v>
      </c>
      <c r="AA132">
        <v>3938589.4018618935</v>
      </c>
      <c r="AB132">
        <v>51968</v>
      </c>
      <c r="AC132">
        <v>2513</v>
      </c>
      <c r="AD132" t="s">
        <v>306</v>
      </c>
      <c r="AE132" s="232">
        <f t="shared" si="21"/>
        <v>2.0431791868146836E-4</v>
      </c>
      <c r="AF132" s="232">
        <f t="shared" si="22"/>
        <v>0.89777930866799038</v>
      </c>
      <c r="AG132" s="232">
        <f t="shared" si="23"/>
        <v>2.7353406005592253E-3</v>
      </c>
      <c r="AH132" s="232">
        <f t="shared" si="24"/>
        <v>0.32666045305345059</v>
      </c>
      <c r="AI132" s="232">
        <f t="shared" si="25"/>
        <v>0.66944523240264209</v>
      </c>
      <c r="AJ132" s="232">
        <f t="shared" si="26"/>
        <v>2.1821939457794707E-2</v>
      </c>
      <c r="AK132" s="232">
        <f t="shared" si="27"/>
        <v>7.9802840739593414E-2</v>
      </c>
      <c r="AL132" s="232">
        <f t="shared" si="28"/>
        <v>1.272946468371358E-2</v>
      </c>
      <c r="AM132" s="232">
        <f t="shared" si="29"/>
        <v>0.25929889765618158</v>
      </c>
      <c r="AN132" s="232">
        <v>2.69E-2</v>
      </c>
      <c r="AO132" s="232">
        <f t="shared" si="20"/>
        <v>0.13450000000000001</v>
      </c>
      <c r="AT132" t="s">
        <v>192</v>
      </c>
      <c r="AU132">
        <v>5920000</v>
      </c>
      <c r="AV132">
        <v>7197000</v>
      </c>
      <c r="AW132">
        <v>16077441.020969596</v>
      </c>
      <c r="AX132">
        <v>2960441.0209695958</v>
      </c>
      <c r="AY132">
        <v>2960441.0209695958</v>
      </c>
      <c r="AZ132">
        <v>162868000</v>
      </c>
      <c r="BA132">
        <v>1.8176934824333791E-2</v>
      </c>
    </row>
    <row r="133" spans="1:53" x14ac:dyDescent="0.25">
      <c r="A133" t="s">
        <v>193</v>
      </c>
      <c r="B133">
        <v>1176</v>
      </c>
      <c r="C133">
        <v>121270</v>
      </c>
      <c r="D133">
        <v>137</v>
      </c>
      <c r="E133">
        <v>-40</v>
      </c>
      <c r="F133">
        <v>9548</v>
      </c>
      <c r="G133">
        <v>0</v>
      </c>
      <c r="H133">
        <v>23427</v>
      </c>
      <c r="I133">
        <v>25</v>
      </c>
      <c r="J133">
        <v>0</v>
      </c>
      <c r="K133">
        <v>5526</v>
      </c>
      <c r="L133">
        <v>537</v>
      </c>
      <c r="M133">
        <v>3828</v>
      </c>
      <c r="N133">
        <v>4242</v>
      </c>
      <c r="O133">
        <v>18748</v>
      </c>
      <c r="P133">
        <v>6216</v>
      </c>
      <c r="Q133">
        <v>132611</v>
      </c>
      <c r="R133">
        <v>0</v>
      </c>
      <c r="S133">
        <v>0</v>
      </c>
      <c r="T133">
        <v>6476</v>
      </c>
      <c r="U133">
        <v>5625</v>
      </c>
      <c r="V133">
        <v>1</v>
      </c>
      <c r="W133">
        <v>87784</v>
      </c>
      <c r="X133">
        <v>-932</v>
      </c>
      <c r="Y133">
        <v>35796</v>
      </c>
      <c r="Z133">
        <v>2198626.3238172829</v>
      </c>
      <c r="AA133">
        <v>1884536.8489862424</v>
      </c>
      <c r="AB133">
        <v>126524</v>
      </c>
      <c r="AC133">
        <v>-4078</v>
      </c>
      <c r="AD133" t="s">
        <v>193</v>
      </c>
      <c r="AE133" s="232">
        <f t="shared" si="21"/>
        <v>0</v>
      </c>
      <c r="AF133" s="232">
        <f t="shared" si="22"/>
        <v>1.3791921079012122</v>
      </c>
      <c r="AG133" s="232">
        <f t="shared" si="23"/>
        <v>0.10831130957805522</v>
      </c>
      <c r="AH133" s="232">
        <f t="shared" si="24"/>
        <v>0.26715574592180807</v>
      </c>
      <c r="AI133" s="232">
        <f t="shared" si="25"/>
        <v>1.2051804429053132</v>
      </c>
      <c r="AJ133" s="232">
        <f t="shared" si="26"/>
        <v>-1.0616968923721862E-2</v>
      </c>
      <c r="AK133" s="232">
        <f t="shared" si="27"/>
        <v>2.1467885366197058E-2</v>
      </c>
      <c r="AL133" s="232">
        <f t="shared" si="28"/>
        <v>-1.1613733710015492E-2</v>
      </c>
      <c r="AM133" s="232">
        <f t="shared" si="29"/>
        <v>0.14712746646549896</v>
      </c>
      <c r="AN133" s="232">
        <v>2.1700000000000001E-2</v>
      </c>
      <c r="AO133" s="232">
        <f t="shared" si="20"/>
        <v>0.1085</v>
      </c>
      <c r="AT133" t="s">
        <v>228</v>
      </c>
      <c r="AU133">
        <v>5805999.9999999991</v>
      </c>
      <c r="AV133">
        <v>3748000</v>
      </c>
      <c r="AW133">
        <v>13825563.180900181</v>
      </c>
      <c r="AX133">
        <v>4271563.1809001816</v>
      </c>
      <c r="AY133">
        <v>4271563.1809001816</v>
      </c>
      <c r="AZ133">
        <v>138256000</v>
      </c>
      <c r="BA133">
        <v>3.0896041986605872E-2</v>
      </c>
    </row>
    <row r="134" spans="1:53" x14ac:dyDescent="0.25">
      <c r="A134" t="s">
        <v>348</v>
      </c>
      <c r="B134">
        <v>5996</v>
      </c>
      <c r="C134">
        <v>89611</v>
      </c>
      <c r="D134">
        <v>2898</v>
      </c>
      <c r="E134">
        <v>0</v>
      </c>
      <c r="F134">
        <v>5878</v>
      </c>
      <c r="G134">
        <v>0</v>
      </c>
      <c r="H134">
        <v>33108</v>
      </c>
      <c r="I134">
        <v>11</v>
      </c>
      <c r="J134">
        <v>0</v>
      </c>
      <c r="K134">
        <v>15408</v>
      </c>
      <c r="L134">
        <v>585</v>
      </c>
      <c r="M134">
        <v>13457</v>
      </c>
      <c r="N134">
        <v>1237</v>
      </c>
      <c r="O134">
        <v>24839</v>
      </c>
      <c r="P134">
        <v>27535</v>
      </c>
      <c r="Q134">
        <v>99897</v>
      </c>
      <c r="R134">
        <v>28</v>
      </c>
      <c r="S134">
        <v>5000</v>
      </c>
      <c r="T134">
        <v>10358</v>
      </c>
      <c r="U134">
        <v>532</v>
      </c>
      <c r="V134">
        <v>6</v>
      </c>
      <c r="W134">
        <v>94095</v>
      </c>
      <c r="X134">
        <v>-2555</v>
      </c>
      <c r="Y134">
        <v>38784</v>
      </c>
      <c r="Z134">
        <v>4766992.1567205116</v>
      </c>
      <c r="AA134">
        <v>4085993.2771890094</v>
      </c>
      <c r="AB134">
        <v>113177</v>
      </c>
      <c r="AC134">
        <v>-17570</v>
      </c>
      <c r="AD134" t="s">
        <v>348</v>
      </c>
      <c r="AE134" s="232">
        <f t="shared" si="21"/>
        <v>2.9728460244130117E-2</v>
      </c>
      <c r="AF134" s="232">
        <f t="shared" si="22"/>
        <v>0.84223391253520374</v>
      </c>
      <c r="AG134" s="232">
        <f t="shared" si="23"/>
        <v>6.2468781550560605E-2</v>
      </c>
      <c r="AH134" s="232">
        <f t="shared" si="24"/>
        <v>0.35197406876029547</v>
      </c>
      <c r="AI134" s="232">
        <f t="shared" si="25"/>
        <v>0.6033483181890642</v>
      </c>
      <c r="AJ134" s="232">
        <f t="shared" si="26"/>
        <v>-2.715340878898985E-2</v>
      </c>
      <c r="AK134" s="232">
        <f t="shared" si="27"/>
        <v>4.3424127500813106E-2</v>
      </c>
      <c r="AL134" s="232">
        <f t="shared" si="28"/>
        <v>-4.6681545246825017E-2</v>
      </c>
      <c r="AM134" s="232">
        <f t="shared" si="29"/>
        <v>0.31139967536521412</v>
      </c>
      <c r="AN134" s="232">
        <v>3.6400000000000002E-2</v>
      </c>
      <c r="AO134" s="232">
        <f t="shared" si="20"/>
        <v>0.182</v>
      </c>
      <c r="AT134" t="s">
        <v>347</v>
      </c>
      <c r="AU134">
        <v>2100000.0000000005</v>
      </c>
      <c r="AV134">
        <v>1434000.0000000002</v>
      </c>
      <c r="AW134">
        <v>5223151.3556328993</v>
      </c>
      <c r="AX134">
        <v>1689151.3556328986</v>
      </c>
      <c r="AY134">
        <v>1689151.3556328986</v>
      </c>
      <c r="AZ134">
        <v>42458000</v>
      </c>
      <c r="BA134">
        <v>3.9784053785691713E-2</v>
      </c>
    </row>
    <row r="135" spans="1:53" x14ac:dyDescent="0.25">
      <c r="A135" t="s">
        <v>432</v>
      </c>
      <c r="B135">
        <v>8790</v>
      </c>
      <c r="C135">
        <v>239213</v>
      </c>
      <c r="D135">
        <v>180</v>
      </c>
      <c r="E135">
        <v>4585</v>
      </c>
      <c r="F135">
        <v>16811</v>
      </c>
      <c r="G135">
        <v>0</v>
      </c>
      <c r="H135">
        <v>155013</v>
      </c>
      <c r="I135">
        <v>446</v>
      </c>
      <c r="J135">
        <v>0</v>
      </c>
      <c r="K135">
        <v>9000</v>
      </c>
      <c r="L135">
        <v>2003</v>
      </c>
      <c r="M135">
        <v>26847</v>
      </c>
      <c r="N135">
        <v>9516</v>
      </c>
      <c r="O135">
        <v>265670</v>
      </c>
      <c r="P135">
        <v>18773</v>
      </c>
      <c r="Q135">
        <v>138661</v>
      </c>
      <c r="R135">
        <v>488</v>
      </c>
      <c r="S135">
        <v>0</v>
      </c>
      <c r="T135">
        <v>13254</v>
      </c>
      <c r="U135">
        <v>35558</v>
      </c>
      <c r="V135">
        <v>0</v>
      </c>
      <c r="W135">
        <v>329817</v>
      </c>
      <c r="X135">
        <v>-2885</v>
      </c>
      <c r="Y135">
        <v>90903</v>
      </c>
      <c r="Z135">
        <v>5472616.6995889172</v>
      </c>
      <c r="AA135">
        <v>4690814.3139333576</v>
      </c>
      <c r="AB135">
        <v>254930</v>
      </c>
      <c r="AC135">
        <v>-6927</v>
      </c>
      <c r="AD135" t="s">
        <v>432</v>
      </c>
      <c r="AE135" s="232">
        <f t="shared" si="21"/>
        <v>0</v>
      </c>
      <c r="AF135" s="232">
        <f t="shared" si="22"/>
        <v>0.36140950890948614</v>
      </c>
      <c r="AG135" s="232">
        <f t="shared" si="23"/>
        <v>6.4872338296691798E-2</v>
      </c>
      <c r="AH135" s="232">
        <f t="shared" si="24"/>
        <v>0.47134926337938915</v>
      </c>
      <c r="AI135" s="232">
        <f t="shared" si="25"/>
        <v>3.9249705139516755E-2</v>
      </c>
      <c r="AJ135" s="232">
        <f t="shared" si="26"/>
        <v>-8.747275004017379E-3</v>
      </c>
      <c r="AK135" s="232">
        <f t="shared" si="27"/>
        <v>1.4222475839430222E-2</v>
      </c>
      <c r="AL135" s="232">
        <f t="shared" si="28"/>
        <v>-5.2506389907130318E-3</v>
      </c>
      <c r="AM135" s="232">
        <f t="shared" si="29"/>
        <v>0.6021181023022667</v>
      </c>
      <c r="AN135" s="232">
        <v>3.7400000000000003E-2</v>
      </c>
      <c r="AO135" s="232">
        <f t="shared" si="20"/>
        <v>0.187</v>
      </c>
      <c r="AT135" t="s">
        <v>150</v>
      </c>
      <c r="AU135">
        <v>3630000</v>
      </c>
      <c r="AV135">
        <v>1467000</v>
      </c>
      <c r="AW135">
        <v>6720331.723675386</v>
      </c>
      <c r="AX135">
        <v>1623331.723675386</v>
      </c>
      <c r="AY135">
        <v>1623331.723675386</v>
      </c>
      <c r="AZ135">
        <v>51580000</v>
      </c>
      <c r="BA135">
        <v>3.1472115619918299E-2</v>
      </c>
    </row>
    <row r="136" spans="1:53" x14ac:dyDescent="0.25">
      <c r="A136" t="s">
        <v>349</v>
      </c>
      <c r="B136">
        <v>5215</v>
      </c>
      <c r="C136">
        <v>68447</v>
      </c>
      <c r="D136">
        <v>663</v>
      </c>
      <c r="E136">
        <v>1733</v>
      </c>
      <c r="F136">
        <v>5443</v>
      </c>
      <c r="G136">
        <v>0</v>
      </c>
      <c r="H136">
        <v>86298</v>
      </c>
      <c r="I136">
        <v>187</v>
      </c>
      <c r="J136">
        <v>0</v>
      </c>
      <c r="K136">
        <v>0</v>
      </c>
      <c r="L136">
        <v>764</v>
      </c>
      <c r="M136">
        <v>5655</v>
      </c>
      <c r="N136">
        <v>3402</v>
      </c>
      <c r="O136">
        <v>31929</v>
      </c>
      <c r="P136">
        <v>4147</v>
      </c>
      <c r="Q136">
        <v>122500</v>
      </c>
      <c r="R136">
        <v>0</v>
      </c>
      <c r="S136">
        <v>10501</v>
      </c>
      <c r="T136">
        <v>1834</v>
      </c>
      <c r="U136">
        <v>6896</v>
      </c>
      <c r="V136">
        <v>1</v>
      </c>
      <c r="W136">
        <v>65882</v>
      </c>
      <c r="X136">
        <v>4103</v>
      </c>
      <c r="Y136">
        <v>30677</v>
      </c>
      <c r="Z136">
        <v>2146849.0449272143</v>
      </c>
      <c r="AA136">
        <v>1840156.3242233265</v>
      </c>
      <c r="AB136">
        <v>69173</v>
      </c>
      <c r="AC136">
        <v>4489</v>
      </c>
      <c r="AD136" t="s">
        <v>349</v>
      </c>
      <c r="AE136" s="232">
        <f t="shared" si="21"/>
        <v>5.9058417272660806E-2</v>
      </c>
      <c r="AF136" s="232">
        <f t="shared" si="22"/>
        <v>1.8932940712182387</v>
      </c>
      <c r="AG136" s="232">
        <f t="shared" si="23"/>
        <v>0.10892201208220759</v>
      </c>
      <c r="AH136" s="232">
        <f t="shared" si="24"/>
        <v>1.3127257824595489</v>
      </c>
      <c r="AI136" s="232">
        <f t="shared" si="25"/>
        <v>0.98745666494641948</v>
      </c>
      <c r="AJ136" s="232">
        <f t="shared" si="26"/>
        <v>6.2278012203636803E-2</v>
      </c>
      <c r="AK136" s="232">
        <f t="shared" si="27"/>
        <v>2.7931093837821053E-2</v>
      </c>
      <c r="AL136" s="232">
        <f t="shared" si="28"/>
        <v>1.7034243040587718E-2</v>
      </c>
      <c r="AM136" s="232">
        <f t="shared" si="29"/>
        <v>0.20289414927421306</v>
      </c>
      <c r="AN136" s="232">
        <v>6.1999999999999998E-3</v>
      </c>
      <c r="AO136" s="232">
        <f t="shared" si="20"/>
        <v>3.1E-2</v>
      </c>
      <c r="AT136" t="s">
        <v>171</v>
      </c>
      <c r="AU136">
        <v>1491000</v>
      </c>
      <c r="AV136">
        <v>1978000</v>
      </c>
      <c r="AW136">
        <v>4144452.6850399226</v>
      </c>
      <c r="AX136">
        <v>675452.6850399226</v>
      </c>
      <c r="AY136">
        <v>675452.6850399226</v>
      </c>
      <c r="AZ136">
        <v>64591000</v>
      </c>
      <c r="BA136">
        <v>1.0457380827668292E-2</v>
      </c>
    </row>
    <row r="137" spans="1:53" x14ac:dyDescent="0.25">
      <c r="A137" t="s">
        <v>512</v>
      </c>
      <c r="B137">
        <v>12200</v>
      </c>
      <c r="C137">
        <v>223138</v>
      </c>
      <c r="D137">
        <v>761</v>
      </c>
      <c r="E137">
        <v>368833</v>
      </c>
      <c r="F137">
        <v>47565</v>
      </c>
      <c r="G137">
        <v>0</v>
      </c>
      <c r="H137">
        <v>89642</v>
      </c>
      <c r="I137">
        <v>20</v>
      </c>
      <c r="J137">
        <v>0</v>
      </c>
      <c r="K137">
        <v>81</v>
      </c>
      <c r="L137">
        <v>170</v>
      </c>
      <c r="M137">
        <v>22632</v>
      </c>
      <c r="N137">
        <v>16018</v>
      </c>
      <c r="O137">
        <v>43592</v>
      </c>
      <c r="P137">
        <v>51282</v>
      </c>
      <c r="Q137">
        <v>621112</v>
      </c>
      <c r="R137">
        <v>81</v>
      </c>
      <c r="S137">
        <v>15000</v>
      </c>
      <c r="T137">
        <v>11389</v>
      </c>
      <c r="U137">
        <v>38604</v>
      </c>
      <c r="V137">
        <v>-1</v>
      </c>
      <c r="W137">
        <v>307765</v>
      </c>
      <c r="X137">
        <v>-832</v>
      </c>
      <c r="Y137">
        <v>80593</v>
      </c>
      <c r="Z137">
        <v>-119981.99217759818</v>
      </c>
      <c r="AA137">
        <v>-102841.70758079844</v>
      </c>
      <c r="AB137">
        <v>213027</v>
      </c>
      <c r="AC137">
        <v>22311</v>
      </c>
      <c r="AD137" t="s">
        <v>512</v>
      </c>
      <c r="AE137" s="232">
        <f t="shared" si="21"/>
        <v>1.9204670575884056E-2</v>
      </c>
      <c r="AF137" s="232">
        <f t="shared" si="22"/>
        <v>0.75020551394732993</v>
      </c>
      <c r="AG137" s="232">
        <f t="shared" si="23"/>
        <v>1.3529738599255925</v>
      </c>
      <c r="AH137" s="232">
        <f t="shared" si="24"/>
        <v>0.29133267265608498</v>
      </c>
      <c r="AI137" s="232">
        <f t="shared" si="25"/>
        <v>0.70862950627914156</v>
      </c>
      <c r="AJ137" s="232">
        <f t="shared" si="26"/>
        <v>-2.7033613308855781E-3</v>
      </c>
      <c r="AK137" s="232">
        <f t="shared" si="27"/>
        <v>-3.3415660513963068E-4</v>
      </c>
      <c r="AL137" s="232">
        <f t="shared" si="28"/>
        <v>1.812340584536903E-2</v>
      </c>
      <c r="AM137" s="232">
        <f t="shared" si="29"/>
        <v>0.12146826108109492</v>
      </c>
      <c r="AN137" s="232">
        <v>2.3400000000000001E-2</v>
      </c>
      <c r="AO137" s="232">
        <f t="shared" si="20"/>
        <v>0.11700000000000001</v>
      </c>
      <c r="AT137" t="s">
        <v>229</v>
      </c>
      <c r="AU137">
        <v>2003999.9999999998</v>
      </c>
      <c r="AV137">
        <v>717000</v>
      </c>
      <c r="AW137">
        <v>3553759.5497550583</v>
      </c>
      <c r="AX137">
        <v>832759.54975505848</v>
      </c>
      <c r="AY137">
        <v>832759.54975505848</v>
      </c>
      <c r="AZ137">
        <v>33105000</v>
      </c>
      <c r="BA137">
        <v>2.5155098920255504E-2</v>
      </c>
    </row>
    <row r="138" spans="1:53" x14ac:dyDescent="0.25">
      <c r="A138" t="s">
        <v>747</v>
      </c>
      <c r="B138">
        <v>125</v>
      </c>
      <c r="C138">
        <v>138893</v>
      </c>
      <c r="D138">
        <v>789</v>
      </c>
      <c r="E138">
        <v>6242</v>
      </c>
      <c r="F138">
        <v>3661</v>
      </c>
      <c r="G138">
        <v>0</v>
      </c>
      <c r="H138">
        <v>8407</v>
      </c>
      <c r="I138">
        <v>2439</v>
      </c>
      <c r="J138">
        <v>0</v>
      </c>
      <c r="K138">
        <v>5730</v>
      </c>
      <c r="L138">
        <v>-2185</v>
      </c>
      <c r="M138">
        <v>33203</v>
      </c>
      <c r="N138">
        <v>12639</v>
      </c>
      <c r="O138">
        <v>62643</v>
      </c>
      <c r="P138">
        <v>21000</v>
      </c>
      <c r="Q138">
        <v>76012</v>
      </c>
      <c r="R138">
        <v>0</v>
      </c>
      <c r="S138">
        <v>14609</v>
      </c>
      <c r="T138">
        <v>23663</v>
      </c>
      <c r="U138">
        <v>12016</v>
      </c>
      <c r="V138">
        <v>236</v>
      </c>
      <c r="W138">
        <v>153339</v>
      </c>
      <c r="X138">
        <v>-10476</v>
      </c>
      <c r="Y138">
        <v>49646</v>
      </c>
      <c r="Z138">
        <v>-3373757.0013428279</v>
      </c>
      <c r="AA138">
        <v>-2891791.7154367096</v>
      </c>
      <c r="AB138">
        <v>147022</v>
      </c>
      <c r="AC138">
        <v>-8004</v>
      </c>
      <c r="AD138" t="s">
        <v>747</v>
      </c>
      <c r="AE138" s="232">
        <f t="shared" si="21"/>
        <v>6.9585554174228237E-2</v>
      </c>
      <c r="AF138" s="232">
        <f t="shared" si="22"/>
        <v>0.43700558892388758</v>
      </c>
      <c r="AG138" s="232">
        <f t="shared" si="23"/>
        <v>6.4582395867978787E-2</v>
      </c>
      <c r="AH138" s="232">
        <f t="shared" si="24"/>
        <v>7.0732168593769365E-2</v>
      </c>
      <c r="AI138" s="232">
        <f t="shared" si="25"/>
        <v>0.39524295841240648</v>
      </c>
      <c r="AJ138" s="232">
        <f t="shared" si="26"/>
        <v>-6.8319214289906671E-2</v>
      </c>
      <c r="AK138" s="232">
        <f t="shared" si="27"/>
        <v>-1.8858814231452595E-2</v>
      </c>
      <c r="AL138" s="232">
        <f t="shared" si="28"/>
        <v>-1.3049517735214133E-2</v>
      </c>
      <c r="AM138" s="232">
        <f t="shared" si="29"/>
        <v>0.39840813935210984</v>
      </c>
      <c r="AN138" s="232">
        <v>0.05</v>
      </c>
      <c r="AO138" s="232">
        <f t="shared" si="20"/>
        <v>0.25</v>
      </c>
      <c r="AT138" t="s">
        <v>303</v>
      </c>
      <c r="AU138">
        <v>4338000</v>
      </c>
      <c r="AV138">
        <v>1416000.0000000002</v>
      </c>
      <c r="AW138">
        <v>10659595.706829056</v>
      </c>
      <c r="AX138">
        <v>4905595.7068290561</v>
      </c>
      <c r="AY138">
        <v>4905595.7068290561</v>
      </c>
      <c r="AZ138">
        <v>100690000</v>
      </c>
      <c r="BA138">
        <v>4.8719790513745719E-2</v>
      </c>
    </row>
    <row r="139" spans="1:53" x14ac:dyDescent="0.25">
      <c r="A139" t="s">
        <v>231</v>
      </c>
      <c r="B139">
        <v>5230</v>
      </c>
      <c r="C139">
        <v>10046</v>
      </c>
      <c r="D139">
        <v>705</v>
      </c>
      <c r="E139">
        <v>6880</v>
      </c>
      <c r="F139">
        <v>6332</v>
      </c>
      <c r="G139">
        <v>0</v>
      </c>
      <c r="H139">
        <v>3006</v>
      </c>
      <c r="I139">
        <v>5</v>
      </c>
      <c r="J139">
        <v>0</v>
      </c>
      <c r="K139">
        <v>2998</v>
      </c>
      <c r="L139">
        <v>32</v>
      </c>
      <c r="M139">
        <v>3967</v>
      </c>
      <c r="N139">
        <v>389</v>
      </c>
      <c r="O139">
        <v>11727</v>
      </c>
      <c r="P139">
        <v>7411</v>
      </c>
      <c r="Q139">
        <v>17027</v>
      </c>
      <c r="R139">
        <v>0</v>
      </c>
      <c r="S139">
        <v>65</v>
      </c>
      <c r="T139">
        <v>1693</v>
      </c>
      <c r="U139">
        <v>1667</v>
      </c>
      <c r="V139">
        <v>0</v>
      </c>
      <c r="W139">
        <v>39042</v>
      </c>
      <c r="X139">
        <v>1401</v>
      </c>
      <c r="Y139">
        <v>16462</v>
      </c>
      <c r="Z139">
        <v>521574.74830763042</v>
      </c>
      <c r="AA139">
        <v>447064.06997796893</v>
      </c>
      <c r="AB139">
        <v>10030</v>
      </c>
      <c r="AC139">
        <v>5246</v>
      </c>
      <c r="AD139" t="s">
        <v>231</v>
      </c>
      <c r="AE139" s="232">
        <f t="shared" si="21"/>
        <v>1.641828744632483E-3</v>
      </c>
      <c r="AF139" s="232">
        <f t="shared" si="22"/>
        <v>-3.7395625224117615E-3</v>
      </c>
      <c r="AG139" s="232">
        <f t="shared" si="23"/>
        <v>0.33840479483633013</v>
      </c>
      <c r="AH139" s="232">
        <f t="shared" si="24"/>
        <v>7.7122073664259008E-2</v>
      </c>
      <c r="AI139" s="232">
        <f t="shared" si="25"/>
        <v>-1.711643870703345E-2</v>
      </c>
      <c r="AJ139" s="232">
        <f t="shared" si="26"/>
        <v>3.5884432149992318E-2</v>
      </c>
      <c r="AK139" s="232">
        <f t="shared" si="27"/>
        <v>1.145084959730467E-2</v>
      </c>
      <c r="AL139" s="232">
        <f t="shared" si="28"/>
        <v>3.3592029096870035E-2</v>
      </c>
      <c r="AM139" s="232">
        <f t="shared" si="29"/>
        <v>0.48340490022733013</v>
      </c>
      <c r="AN139" s="232">
        <v>3.3099999999999997E-2</v>
      </c>
      <c r="AO139" s="232">
        <f t="shared" si="20"/>
        <v>0.16549999999999998</v>
      </c>
      <c r="AT139" t="s">
        <v>304</v>
      </c>
      <c r="AU139">
        <v>4836000</v>
      </c>
      <c r="AV139">
        <v>1497000</v>
      </c>
      <c r="AW139">
        <v>12763367.01849284</v>
      </c>
      <c r="AX139">
        <v>6430367.0184928402</v>
      </c>
      <c r="AY139">
        <v>6430367.0184928402</v>
      </c>
      <c r="AZ139">
        <v>55206000</v>
      </c>
      <c r="BA139">
        <v>0.11647949531740825</v>
      </c>
    </row>
    <row r="140" spans="1:53" x14ac:dyDescent="0.25">
      <c r="A140" t="s">
        <v>433</v>
      </c>
      <c r="B140">
        <v>8968</v>
      </c>
      <c r="C140">
        <v>83791</v>
      </c>
      <c r="D140">
        <v>161</v>
      </c>
      <c r="E140">
        <v>547</v>
      </c>
      <c r="F140">
        <v>6972</v>
      </c>
      <c r="G140">
        <v>0</v>
      </c>
      <c r="H140">
        <v>0</v>
      </c>
      <c r="I140">
        <v>87491</v>
      </c>
      <c r="J140">
        <v>0</v>
      </c>
      <c r="K140">
        <v>12500</v>
      </c>
      <c r="L140">
        <v>8</v>
      </c>
      <c r="M140">
        <v>7498</v>
      </c>
      <c r="N140">
        <v>4516</v>
      </c>
      <c r="O140">
        <v>28843</v>
      </c>
      <c r="P140">
        <v>23936</v>
      </c>
      <c r="Q140">
        <v>139217</v>
      </c>
      <c r="R140">
        <v>298</v>
      </c>
      <c r="S140">
        <v>9499</v>
      </c>
      <c r="T140">
        <v>7571</v>
      </c>
      <c r="U140">
        <v>3088</v>
      </c>
      <c r="V140">
        <v>0</v>
      </c>
      <c r="W140">
        <v>111425</v>
      </c>
      <c r="X140">
        <v>2868</v>
      </c>
      <c r="Y140">
        <v>43723</v>
      </c>
      <c r="Z140">
        <v>5634418.9452658426</v>
      </c>
      <c r="AA140">
        <v>4829501.9530850081</v>
      </c>
      <c r="AB140">
        <v>195802</v>
      </c>
      <c r="AC140">
        <v>-103043</v>
      </c>
      <c r="AD140" t="s">
        <v>433</v>
      </c>
      <c r="AE140" s="232">
        <f t="shared" si="21"/>
        <v>4.4711275958804815E-2</v>
      </c>
      <c r="AF140" s="232">
        <f t="shared" si="22"/>
        <v>1.1454520978236482</v>
      </c>
      <c r="AG140" s="232">
        <f t="shared" si="23"/>
        <v>6.7480367960511559E-2</v>
      </c>
      <c r="AH140" s="232">
        <f t="shared" si="24"/>
        <v>0.78520080771819611</v>
      </c>
      <c r="AI140" s="232">
        <f t="shared" si="25"/>
        <v>0.60390917657617238</v>
      </c>
      <c r="AJ140" s="232">
        <f t="shared" si="26"/>
        <v>2.573928651559345E-2</v>
      </c>
      <c r="AK140" s="232">
        <f t="shared" si="27"/>
        <v>4.3343073395423003E-2</v>
      </c>
      <c r="AL140" s="232">
        <f t="shared" si="28"/>
        <v>-0.23119362800089746</v>
      </c>
      <c r="AM140" s="232">
        <f t="shared" si="29"/>
        <v>0.24842788017999359</v>
      </c>
      <c r="AN140" s="232">
        <v>2.69E-2</v>
      </c>
      <c r="AO140" s="232">
        <f t="shared" si="20"/>
        <v>0.13450000000000001</v>
      </c>
      <c r="AT140" t="s">
        <v>230</v>
      </c>
      <c r="AU140">
        <v>3017000</v>
      </c>
      <c r="AV140">
        <v>1239000.0000000002</v>
      </c>
      <c r="AW140">
        <v>5451219.2894312646</v>
      </c>
      <c r="AX140">
        <v>1195219.2894312644</v>
      </c>
      <c r="AY140">
        <v>1195219.2894312644</v>
      </c>
      <c r="AZ140">
        <v>47221000</v>
      </c>
      <c r="BA140">
        <v>2.5311181242058924E-2</v>
      </c>
    </row>
    <row r="141" spans="1:53" x14ac:dyDescent="0.25">
      <c r="A141" t="s">
        <v>350</v>
      </c>
      <c r="B141">
        <v>3264</v>
      </c>
      <c r="C141">
        <v>52986</v>
      </c>
      <c r="D141">
        <v>0</v>
      </c>
      <c r="E141">
        <v>0</v>
      </c>
      <c r="F141">
        <v>9982</v>
      </c>
      <c r="G141">
        <v>0</v>
      </c>
      <c r="H141">
        <v>1416</v>
      </c>
      <c r="I141">
        <v>0</v>
      </c>
      <c r="J141">
        <v>0</v>
      </c>
      <c r="K141">
        <v>2683</v>
      </c>
      <c r="L141">
        <v>1353</v>
      </c>
      <c r="M141">
        <v>6608</v>
      </c>
      <c r="N141">
        <v>361</v>
      </c>
      <c r="O141">
        <v>63335</v>
      </c>
      <c r="P141">
        <v>3704</v>
      </c>
      <c r="Q141">
        <v>0</v>
      </c>
      <c r="R141">
        <v>10</v>
      </c>
      <c r="S141">
        <v>3500</v>
      </c>
      <c r="T141">
        <v>3292</v>
      </c>
      <c r="U141">
        <v>4812</v>
      </c>
      <c r="V141">
        <v>-2</v>
      </c>
      <c r="W141">
        <v>45530</v>
      </c>
      <c r="X141">
        <v>-254</v>
      </c>
      <c r="Y141">
        <v>21812</v>
      </c>
      <c r="Z141">
        <v>3148860.764791552</v>
      </c>
      <c r="AA141">
        <v>2699023.5126784733</v>
      </c>
      <c r="AB141">
        <v>45146</v>
      </c>
      <c r="AC141">
        <v>11104</v>
      </c>
      <c r="AD141" t="s">
        <v>350</v>
      </c>
      <c r="AE141" s="232">
        <f t="shared" si="21"/>
        <v>4.4499256226717354E-2</v>
      </c>
      <c r="AF141" s="232">
        <f t="shared" si="22"/>
        <v>-0.20586426531956953</v>
      </c>
      <c r="AG141" s="232">
        <f t="shared" si="23"/>
        <v>0.21924006149791347</v>
      </c>
      <c r="AH141" s="232">
        <f t="shared" si="24"/>
        <v>3.1100373380188888E-2</v>
      </c>
      <c r="AI141" s="232">
        <f t="shared" si="25"/>
        <v>-0.20132571930595214</v>
      </c>
      <c r="AJ141" s="232">
        <f t="shared" si="26"/>
        <v>-5.5787392927739952E-3</v>
      </c>
      <c r="AK141" s="232">
        <f t="shared" si="27"/>
        <v>5.928011229252083E-2</v>
      </c>
      <c r="AL141" s="232">
        <f t="shared" si="28"/>
        <v>6.0970788491104766E-2</v>
      </c>
      <c r="AM141" s="232">
        <f t="shared" si="29"/>
        <v>0.85233875376654422</v>
      </c>
      <c r="AN141" s="232">
        <v>4.5499999999999999E-2</v>
      </c>
      <c r="AO141" s="232">
        <f t="shared" si="20"/>
        <v>0.22749999999999998</v>
      </c>
      <c r="AT141" t="s">
        <v>172</v>
      </c>
      <c r="AU141">
        <v>7170000</v>
      </c>
      <c r="AV141">
        <v>7981999.9999999981</v>
      </c>
      <c r="AW141">
        <v>14677773.500067951</v>
      </c>
      <c r="AX141">
        <v>-474226.49993204698</v>
      </c>
      <c r="AY141">
        <v>0</v>
      </c>
      <c r="AZ141">
        <v>159024000</v>
      </c>
      <c r="BA141">
        <v>-2.9821064740671028E-3</v>
      </c>
    </row>
    <row r="142" spans="1:53" x14ac:dyDescent="0.25">
      <c r="A142" t="s">
        <v>434</v>
      </c>
      <c r="B142">
        <v>941</v>
      </c>
      <c r="C142">
        <v>29804</v>
      </c>
      <c r="D142">
        <v>184</v>
      </c>
      <c r="E142">
        <v>2267</v>
      </c>
      <c r="F142">
        <v>1425</v>
      </c>
      <c r="G142">
        <v>0</v>
      </c>
      <c r="H142">
        <v>6174</v>
      </c>
      <c r="I142">
        <v>0</v>
      </c>
      <c r="J142">
        <v>666</v>
      </c>
      <c r="K142">
        <v>4332</v>
      </c>
      <c r="L142">
        <v>157</v>
      </c>
      <c r="M142">
        <v>4545</v>
      </c>
      <c r="N142">
        <v>1107</v>
      </c>
      <c r="O142">
        <v>18714</v>
      </c>
      <c r="P142">
        <v>11546</v>
      </c>
      <c r="Q142">
        <v>15712</v>
      </c>
      <c r="R142">
        <v>0</v>
      </c>
      <c r="S142">
        <v>1121</v>
      </c>
      <c r="T142">
        <v>2941</v>
      </c>
      <c r="U142">
        <v>1568</v>
      </c>
      <c r="V142">
        <v>0</v>
      </c>
      <c r="W142">
        <v>35910</v>
      </c>
      <c r="X142">
        <v>3111</v>
      </c>
      <c r="Y142">
        <v>15366</v>
      </c>
      <c r="Z142">
        <v>1728345.3000000007</v>
      </c>
      <c r="AA142">
        <v>1481438.8285714292</v>
      </c>
      <c r="AB142">
        <v>28838</v>
      </c>
      <c r="AC142">
        <v>1907</v>
      </c>
      <c r="AD142" t="s">
        <v>434</v>
      </c>
      <c r="AE142" s="232">
        <f t="shared" si="21"/>
        <v>2.1723964187434594E-2</v>
      </c>
      <c r="AF142" s="232">
        <f t="shared" si="22"/>
        <v>0.19055973266499582</v>
      </c>
      <c r="AG142" s="232">
        <f t="shared" si="23"/>
        <v>0.10281258702311334</v>
      </c>
      <c r="AH142" s="232">
        <f t="shared" si="24"/>
        <v>0.17192982456140352</v>
      </c>
      <c r="AI142" s="232">
        <f t="shared" si="25"/>
        <v>8.2546365914786951E-2</v>
      </c>
      <c r="AJ142" s="232">
        <f t="shared" si="26"/>
        <v>8.6633249791144534E-2</v>
      </c>
      <c r="AK142" s="232">
        <f t="shared" si="27"/>
        <v>4.1254214106695331E-2</v>
      </c>
      <c r="AL142" s="232">
        <f t="shared" si="28"/>
        <v>1.3276246170983013E-2</v>
      </c>
      <c r="AM142" s="232">
        <f t="shared" si="29"/>
        <v>0.58641137940389909</v>
      </c>
      <c r="AN142" s="232">
        <v>2.7E-2</v>
      </c>
      <c r="AO142" s="232">
        <f t="shared" si="20"/>
        <v>0.13500000000000001</v>
      </c>
      <c r="AT142" t="s">
        <v>305</v>
      </c>
      <c r="AU142">
        <v>5568000</v>
      </c>
      <c r="AV142">
        <v>6143000.0000000009</v>
      </c>
      <c r="AW142">
        <v>15533360.298330707</v>
      </c>
      <c r="AX142">
        <v>3822360.2983307065</v>
      </c>
      <c r="AY142">
        <v>3822360.2983307065</v>
      </c>
      <c r="AZ142">
        <v>142727000</v>
      </c>
      <c r="BA142">
        <v>2.6780919505984897E-2</v>
      </c>
    </row>
    <row r="143" spans="1:53" x14ac:dyDescent="0.25">
      <c r="A143" t="s">
        <v>307</v>
      </c>
      <c r="B143">
        <v>2789</v>
      </c>
      <c r="C143">
        <v>308051</v>
      </c>
      <c r="D143">
        <v>0</v>
      </c>
      <c r="E143">
        <v>0</v>
      </c>
      <c r="F143">
        <v>1075</v>
      </c>
      <c r="G143">
        <v>0</v>
      </c>
      <c r="H143">
        <v>12906</v>
      </c>
      <c r="I143">
        <v>16119</v>
      </c>
      <c r="J143">
        <v>0</v>
      </c>
      <c r="K143">
        <v>0</v>
      </c>
      <c r="L143">
        <v>21</v>
      </c>
      <c r="M143">
        <v>28142</v>
      </c>
      <c r="N143">
        <v>2026</v>
      </c>
      <c r="O143">
        <v>96047</v>
      </c>
      <c r="P143">
        <v>48317</v>
      </c>
      <c r="Q143">
        <v>171805</v>
      </c>
      <c r="R143">
        <v>429</v>
      </c>
      <c r="S143">
        <v>23480</v>
      </c>
      <c r="T143">
        <v>26056</v>
      </c>
      <c r="U143">
        <v>4995</v>
      </c>
      <c r="V143">
        <v>1</v>
      </c>
      <c r="W143">
        <v>250133</v>
      </c>
      <c r="X143">
        <v>-2053</v>
      </c>
      <c r="Y143">
        <v>89521</v>
      </c>
      <c r="Z143">
        <v>15324893.539961502</v>
      </c>
      <c r="AA143">
        <v>13135623.034252714</v>
      </c>
      <c r="AB143">
        <v>291750</v>
      </c>
      <c r="AC143">
        <v>19090</v>
      </c>
      <c r="AD143" t="s">
        <v>307</v>
      </c>
      <c r="AE143" s="232">
        <f t="shared" si="21"/>
        <v>6.3266411409509907E-2</v>
      </c>
      <c r="AF143" s="232">
        <f t="shared" si="22"/>
        <v>0.78158819508021737</v>
      </c>
      <c r="AG143" s="232">
        <f t="shared" si="23"/>
        <v>4.2977136163560989E-3</v>
      </c>
      <c r="AH143" s="232">
        <f t="shared" si="24"/>
        <v>0.11603826764161466</v>
      </c>
      <c r="AI143" s="232">
        <f t="shared" si="25"/>
        <v>0.70087713336504986</v>
      </c>
      <c r="AJ143" s="232">
        <f t="shared" si="26"/>
        <v>-8.2076335389572753E-3</v>
      </c>
      <c r="AK143" s="232">
        <f t="shared" si="27"/>
        <v>5.251455439407321E-2</v>
      </c>
      <c r="AL143" s="232">
        <f t="shared" si="28"/>
        <v>1.9079849520055332E-2</v>
      </c>
      <c r="AM143" s="232">
        <f t="shared" si="29"/>
        <v>0.3889860398944841</v>
      </c>
      <c r="AN143" s="232">
        <v>3.4099999999999998E-2</v>
      </c>
      <c r="AO143" s="232">
        <f t="shared" si="20"/>
        <v>0.17049999999999998</v>
      </c>
      <c r="AT143" t="s">
        <v>469</v>
      </c>
      <c r="AU143">
        <v>11270000</v>
      </c>
      <c r="AV143">
        <v>11099000</v>
      </c>
      <c r="AW143">
        <v>23507752.210926462</v>
      </c>
      <c r="AX143">
        <v>1138752.210926462</v>
      </c>
      <c r="AY143">
        <v>1138752.210926462</v>
      </c>
      <c r="AZ143">
        <v>415918000</v>
      </c>
      <c r="BA143">
        <v>2.7379248095212565E-3</v>
      </c>
    </row>
    <row r="144" spans="1:53" x14ac:dyDescent="0.25">
      <c r="A144" t="s">
        <v>748</v>
      </c>
      <c r="B144">
        <v>623</v>
      </c>
      <c r="C144">
        <v>153261</v>
      </c>
      <c r="D144">
        <v>10497</v>
      </c>
      <c r="E144">
        <v>12101</v>
      </c>
      <c r="F144">
        <v>3436</v>
      </c>
      <c r="G144">
        <v>0</v>
      </c>
      <c r="H144">
        <v>10521</v>
      </c>
      <c r="I144">
        <v>444</v>
      </c>
      <c r="J144">
        <v>0</v>
      </c>
      <c r="K144">
        <v>5603</v>
      </c>
      <c r="L144">
        <v>-6866</v>
      </c>
      <c r="M144">
        <v>11508</v>
      </c>
      <c r="N144">
        <v>9508</v>
      </c>
      <c r="O144">
        <v>113067</v>
      </c>
      <c r="P144">
        <v>24460</v>
      </c>
      <c r="Q144">
        <v>54890</v>
      </c>
      <c r="R144">
        <v>5</v>
      </c>
      <c r="S144">
        <v>1369</v>
      </c>
      <c r="T144">
        <v>11844</v>
      </c>
      <c r="U144">
        <v>5001</v>
      </c>
      <c r="V144">
        <v>7</v>
      </c>
      <c r="W144">
        <v>169793</v>
      </c>
      <c r="X144">
        <v>5589</v>
      </c>
      <c r="Y144">
        <v>86115</v>
      </c>
      <c r="Z144">
        <v>8425041.3369632941</v>
      </c>
      <c r="AA144">
        <v>7221464.0031113941</v>
      </c>
      <c r="AB144">
        <v>154191</v>
      </c>
      <c r="AC144">
        <v>-307</v>
      </c>
      <c r="AD144" t="s">
        <v>748</v>
      </c>
      <c r="AE144" s="232">
        <f t="shared" si="21"/>
        <v>6.4993638314438176E-3</v>
      </c>
      <c r="AF144" s="232">
        <f t="shared" si="22"/>
        <v>0.22273591961977232</v>
      </c>
      <c r="AG144" s="232">
        <f t="shared" si="23"/>
        <v>9.1505539097607086E-2</v>
      </c>
      <c r="AH144" s="232">
        <f t="shared" si="24"/>
        <v>6.4578633983733133E-2</v>
      </c>
      <c r="AI144" s="232">
        <f t="shared" si="25"/>
        <v>0.188511540522872</v>
      </c>
      <c r="AJ144" s="232">
        <f t="shared" si="26"/>
        <v>3.2916551330149063E-2</v>
      </c>
      <c r="AK144" s="232">
        <f t="shared" si="27"/>
        <v>4.2530987750445511E-2</v>
      </c>
      <c r="AL144" s="232">
        <f t="shared" si="28"/>
        <v>-4.5202099026461632E-4</v>
      </c>
      <c r="AM144" s="232">
        <f t="shared" si="29"/>
        <v>0.65291308228412992</v>
      </c>
      <c r="AN144" s="232">
        <v>3.7999999999999999E-2</v>
      </c>
      <c r="AO144" s="232">
        <f t="shared" si="20"/>
        <v>0.19</v>
      </c>
      <c r="AT144" t="s">
        <v>431</v>
      </c>
      <c r="AU144">
        <v>2416000</v>
      </c>
      <c r="AV144">
        <v>1286000</v>
      </c>
      <c r="AW144">
        <v>6406827.0498732049</v>
      </c>
      <c r="AX144">
        <v>2704827.0498732049</v>
      </c>
      <c r="AY144">
        <v>2704827.0498732049</v>
      </c>
      <c r="AZ144">
        <v>30648000</v>
      </c>
      <c r="BA144">
        <v>8.8254602253758974E-2</v>
      </c>
    </row>
    <row r="145" spans="1:53" x14ac:dyDescent="0.25">
      <c r="A145" t="s">
        <v>194</v>
      </c>
      <c r="B145">
        <v>14669</v>
      </c>
      <c r="C145">
        <v>96151</v>
      </c>
      <c r="D145">
        <v>1423</v>
      </c>
      <c r="E145">
        <v>983</v>
      </c>
      <c r="F145">
        <v>2496</v>
      </c>
      <c r="G145">
        <v>75</v>
      </c>
      <c r="H145">
        <v>5423</v>
      </c>
      <c r="I145">
        <v>0</v>
      </c>
      <c r="J145">
        <v>0</v>
      </c>
      <c r="K145">
        <v>4261</v>
      </c>
      <c r="L145">
        <v>858</v>
      </c>
      <c r="M145">
        <v>6254</v>
      </c>
      <c r="N145">
        <v>2364</v>
      </c>
      <c r="O145">
        <v>93074</v>
      </c>
      <c r="P145">
        <v>5128</v>
      </c>
      <c r="Q145">
        <v>27318</v>
      </c>
      <c r="R145">
        <v>0</v>
      </c>
      <c r="S145">
        <v>721</v>
      </c>
      <c r="T145">
        <v>5065</v>
      </c>
      <c r="U145">
        <v>3651</v>
      </c>
      <c r="V145">
        <v>1</v>
      </c>
      <c r="W145">
        <v>81269</v>
      </c>
      <c r="X145">
        <v>1289</v>
      </c>
      <c r="Y145">
        <v>34930</v>
      </c>
      <c r="Z145">
        <v>3980604.1048432458</v>
      </c>
      <c r="AA145">
        <v>3411946.3755799253</v>
      </c>
      <c r="AB145">
        <v>101962</v>
      </c>
      <c r="AC145">
        <v>8858</v>
      </c>
      <c r="AD145" t="s">
        <v>194</v>
      </c>
      <c r="AE145" s="232">
        <f t="shared" si="21"/>
        <v>5.3424424075816743E-3</v>
      </c>
      <c r="AF145" s="232">
        <f t="shared" si="22"/>
        <v>0.23950091670870813</v>
      </c>
      <c r="AG145" s="232">
        <f t="shared" si="23"/>
        <v>4.2808450946855502E-2</v>
      </c>
      <c r="AH145" s="232">
        <f t="shared" si="24"/>
        <v>6.6729011062028568E-2</v>
      </c>
      <c r="AI145" s="232">
        <f t="shared" si="25"/>
        <v>0.19792762307891079</v>
      </c>
      <c r="AJ145" s="232">
        <f t="shared" si="26"/>
        <v>1.5860906372663623E-2</v>
      </c>
      <c r="AK145" s="232">
        <f t="shared" si="27"/>
        <v>4.198336851173172E-2</v>
      </c>
      <c r="AL145" s="232">
        <f t="shared" si="28"/>
        <v>2.7249012538606357E-2</v>
      </c>
      <c r="AM145" s="232">
        <f t="shared" si="29"/>
        <v>0.72765399349422411</v>
      </c>
      <c r="AN145" s="232">
        <v>3.3799999999999997E-2</v>
      </c>
      <c r="AO145" s="232">
        <f t="shared" si="20"/>
        <v>0.16899999999999998</v>
      </c>
      <c r="AT145" t="s">
        <v>306</v>
      </c>
      <c r="AU145">
        <v>2714000</v>
      </c>
      <c r="AV145">
        <v>887000</v>
      </c>
      <c r="AW145">
        <v>8196020.9688388752</v>
      </c>
      <c r="AX145">
        <v>4595020.9688388752</v>
      </c>
      <c r="AY145">
        <v>4595020.9688388752</v>
      </c>
      <c r="AZ145">
        <v>49354000</v>
      </c>
      <c r="BA145">
        <v>9.3103314196192305E-2</v>
      </c>
    </row>
    <row r="146" spans="1:53" x14ac:dyDescent="0.25">
      <c r="A146" t="s">
        <v>308</v>
      </c>
      <c r="B146">
        <v>6994</v>
      </c>
      <c r="C146">
        <v>98006</v>
      </c>
      <c r="D146">
        <v>284</v>
      </c>
      <c r="E146">
        <v>5593</v>
      </c>
      <c r="F146">
        <v>1756</v>
      </c>
      <c r="G146">
        <v>0</v>
      </c>
      <c r="H146">
        <v>10521</v>
      </c>
      <c r="I146">
        <v>0</v>
      </c>
      <c r="J146">
        <v>0</v>
      </c>
      <c r="K146">
        <v>11</v>
      </c>
      <c r="L146">
        <v>-16522</v>
      </c>
      <c r="M146">
        <v>3578</v>
      </c>
      <c r="N146">
        <v>10251</v>
      </c>
      <c r="O146">
        <v>50181</v>
      </c>
      <c r="P146">
        <v>22467</v>
      </c>
      <c r="Q146">
        <v>37736</v>
      </c>
      <c r="R146">
        <v>0</v>
      </c>
      <c r="S146">
        <v>0</v>
      </c>
      <c r="T146">
        <v>4248</v>
      </c>
      <c r="U146">
        <v>5840</v>
      </c>
      <c r="V146">
        <v>0</v>
      </c>
      <c r="W146">
        <v>100769</v>
      </c>
      <c r="X146">
        <v>-4067</v>
      </c>
      <c r="Y146">
        <v>47681</v>
      </c>
      <c r="Z146">
        <v>5689643.0976430979</v>
      </c>
      <c r="AA146">
        <v>4876836.9408369409</v>
      </c>
      <c r="AB146">
        <v>93324</v>
      </c>
      <c r="AC146">
        <v>11676</v>
      </c>
      <c r="AD146" t="s">
        <v>308</v>
      </c>
      <c r="AE146" s="232">
        <f t="shared" si="21"/>
        <v>0</v>
      </c>
      <c r="AF146" s="232">
        <f t="shared" si="22"/>
        <v>0.42827655330508391</v>
      </c>
      <c r="AG146" s="232">
        <f t="shared" si="23"/>
        <v>7.2929174646964842E-2</v>
      </c>
      <c r="AH146" s="232">
        <f t="shared" si="24"/>
        <v>0.10440710932925801</v>
      </c>
      <c r="AI146" s="232">
        <f t="shared" si="25"/>
        <v>0.36394307773223911</v>
      </c>
      <c r="AJ146" s="232">
        <f t="shared" si="26"/>
        <v>-4.0359634411376515E-2</v>
      </c>
      <c r="AK146" s="232">
        <f t="shared" si="27"/>
        <v>4.8396202610296229E-2</v>
      </c>
      <c r="AL146" s="232">
        <f t="shared" si="28"/>
        <v>2.8967241909714298E-2</v>
      </c>
      <c r="AM146" s="232">
        <f t="shared" si="29"/>
        <v>0.60302808951457598</v>
      </c>
      <c r="AN146" s="232">
        <v>5.0200000000000002E-2</v>
      </c>
      <c r="AO146" s="232">
        <f t="shared" si="20"/>
        <v>0.251</v>
      </c>
      <c r="AT146" t="s">
        <v>193</v>
      </c>
      <c r="AU146">
        <v>4817000</v>
      </c>
      <c r="AV146">
        <v>3361000</v>
      </c>
      <c r="AW146">
        <v>10376626.323817281</v>
      </c>
      <c r="AX146">
        <v>2198626.3238172811</v>
      </c>
      <c r="AY146">
        <v>2198626.3238172811</v>
      </c>
      <c r="AZ146">
        <v>87784000</v>
      </c>
      <c r="BA146">
        <v>2.5045866260563213E-2</v>
      </c>
    </row>
    <row r="147" spans="1:53" x14ac:dyDescent="0.25">
      <c r="A147" t="s">
        <v>134</v>
      </c>
      <c r="B147">
        <v>10387</v>
      </c>
      <c r="C147">
        <v>126892</v>
      </c>
      <c r="D147">
        <v>1039</v>
      </c>
      <c r="E147">
        <v>10070</v>
      </c>
      <c r="F147">
        <v>3190</v>
      </c>
      <c r="G147">
        <v>0</v>
      </c>
      <c r="H147">
        <v>37962</v>
      </c>
      <c r="I147">
        <v>2491</v>
      </c>
      <c r="J147">
        <v>0</v>
      </c>
      <c r="K147">
        <v>11312</v>
      </c>
      <c r="L147">
        <v>517</v>
      </c>
      <c r="M147">
        <v>16652</v>
      </c>
      <c r="N147">
        <v>4435</v>
      </c>
      <c r="O147">
        <v>32782</v>
      </c>
      <c r="P147">
        <v>35971</v>
      </c>
      <c r="Q147">
        <v>115940</v>
      </c>
      <c r="R147">
        <v>0</v>
      </c>
      <c r="S147">
        <v>20000</v>
      </c>
      <c r="T147">
        <v>11407</v>
      </c>
      <c r="U147">
        <v>8847</v>
      </c>
      <c r="V147">
        <v>5</v>
      </c>
      <c r="W147">
        <v>197755</v>
      </c>
      <c r="X147">
        <v>-3440</v>
      </c>
      <c r="Y147">
        <v>55677</v>
      </c>
      <c r="Z147">
        <v>2291722.6035855655</v>
      </c>
      <c r="AA147">
        <v>1964333.660216199</v>
      </c>
      <c r="AB147">
        <v>113179</v>
      </c>
      <c r="AC147">
        <v>24100</v>
      </c>
      <c r="AD147" t="s">
        <v>134</v>
      </c>
      <c r="AE147" s="232">
        <f t="shared" si="21"/>
        <v>8.8909832093782087E-2</v>
      </c>
      <c r="AF147" s="232">
        <f t="shared" si="22"/>
        <v>0.55633485878991684</v>
      </c>
      <c r="AG147" s="232">
        <f t="shared" si="23"/>
        <v>6.7052666177846332E-2</v>
      </c>
      <c r="AH147" s="232">
        <f t="shared" si="24"/>
        <v>0.20456119946398321</v>
      </c>
      <c r="AI147" s="232">
        <f t="shared" si="25"/>
        <v>0.42118833910647013</v>
      </c>
      <c r="AJ147" s="232">
        <f t="shared" si="26"/>
        <v>-1.7395261813860585E-2</v>
      </c>
      <c r="AK147" s="232">
        <f t="shared" si="27"/>
        <v>9.9331681131511161E-3</v>
      </c>
      <c r="AL147" s="232">
        <f t="shared" si="28"/>
        <v>3.0466991985031985E-2</v>
      </c>
      <c r="AM147" s="232">
        <f t="shared" si="29"/>
        <v>0.30564088429719</v>
      </c>
      <c r="AN147" s="232">
        <v>4.8000000000000001E-2</v>
      </c>
      <c r="AO147" s="232">
        <f t="shared" si="20"/>
        <v>0.24</v>
      </c>
      <c r="AT147" t="s">
        <v>348</v>
      </c>
      <c r="AU147">
        <v>3387999.9999999995</v>
      </c>
      <c r="AV147">
        <v>1719000</v>
      </c>
      <c r="AW147">
        <v>9873992.1567205135</v>
      </c>
      <c r="AX147">
        <v>4766992.1567205135</v>
      </c>
      <c r="AY147">
        <v>4766992.1567205135</v>
      </c>
      <c r="AZ147">
        <v>94095000</v>
      </c>
      <c r="BA147">
        <v>5.0661482084281985E-2</v>
      </c>
    </row>
    <row r="148" spans="1:53" x14ac:dyDescent="0.25">
      <c r="A148" t="s">
        <v>309</v>
      </c>
      <c r="B148">
        <v>18467</v>
      </c>
      <c r="C148">
        <v>178809</v>
      </c>
      <c r="D148">
        <v>245</v>
      </c>
      <c r="E148">
        <v>37544</v>
      </c>
      <c r="F148">
        <v>9200</v>
      </c>
      <c r="G148">
        <v>0</v>
      </c>
      <c r="H148">
        <v>8359</v>
      </c>
      <c r="I148">
        <v>0</v>
      </c>
      <c r="J148">
        <v>0</v>
      </c>
      <c r="K148">
        <v>12562</v>
      </c>
      <c r="L148">
        <v>1685</v>
      </c>
      <c r="M148">
        <v>17324</v>
      </c>
      <c r="N148">
        <v>4376</v>
      </c>
      <c r="O148">
        <v>72140</v>
      </c>
      <c r="P148">
        <v>17479</v>
      </c>
      <c r="Q148">
        <v>153147</v>
      </c>
      <c r="R148">
        <v>35</v>
      </c>
      <c r="S148">
        <v>21922</v>
      </c>
      <c r="T148">
        <v>12626</v>
      </c>
      <c r="U148">
        <v>11222</v>
      </c>
      <c r="V148">
        <v>0</v>
      </c>
      <c r="W148">
        <v>213941</v>
      </c>
      <c r="X148">
        <v>-2257</v>
      </c>
      <c r="Y148">
        <v>72806</v>
      </c>
      <c r="Z148">
        <v>8537125.369326856</v>
      </c>
      <c r="AA148">
        <v>7317536.0308515904</v>
      </c>
      <c r="AB148">
        <v>168757</v>
      </c>
      <c r="AC148">
        <v>28519</v>
      </c>
      <c r="AD148" t="s">
        <v>309</v>
      </c>
      <c r="AE148" s="232">
        <f t="shared" si="21"/>
        <v>7.5967439555603297E-2</v>
      </c>
      <c r="AF148" s="232">
        <f t="shared" si="22"/>
        <v>0.54342552385938181</v>
      </c>
      <c r="AG148" s="232">
        <f t="shared" si="23"/>
        <v>0.21849014447908535</v>
      </c>
      <c r="AH148" s="232">
        <f t="shared" si="24"/>
        <v>3.9071519718053109E-2</v>
      </c>
      <c r="AI148" s="232">
        <f t="shared" si="25"/>
        <v>0.54229427739423486</v>
      </c>
      <c r="AJ148" s="232">
        <f t="shared" si="26"/>
        <v>-1.0549637516885497E-2</v>
      </c>
      <c r="AK148" s="232">
        <f t="shared" si="27"/>
        <v>3.4203523545517645E-2</v>
      </c>
      <c r="AL148" s="232">
        <f t="shared" si="28"/>
        <v>3.3325776732837556E-2</v>
      </c>
      <c r="AM148" s="232">
        <f t="shared" si="29"/>
        <v>0.31056135231884008</v>
      </c>
      <c r="AN148" s="232">
        <v>3.44E-2</v>
      </c>
      <c r="AO148" s="232">
        <f t="shared" si="20"/>
        <v>0.17199999999999999</v>
      </c>
      <c r="AT148" t="s">
        <v>432</v>
      </c>
      <c r="AU148">
        <v>12917000</v>
      </c>
      <c r="AV148">
        <v>8326999.9999999991</v>
      </c>
      <c r="AW148">
        <v>26716616.699588917</v>
      </c>
      <c r="AX148">
        <v>5472616.6995889181</v>
      </c>
      <c r="AY148">
        <v>5472616.6995889181</v>
      </c>
      <c r="AZ148">
        <v>329817000</v>
      </c>
      <c r="BA148">
        <v>1.6592888479335263E-2</v>
      </c>
    </row>
    <row r="149" spans="1:53" x14ac:dyDescent="0.25">
      <c r="A149" t="s">
        <v>470</v>
      </c>
      <c r="B149">
        <v>22153</v>
      </c>
      <c r="C149">
        <v>86580</v>
      </c>
      <c r="D149">
        <v>4402</v>
      </c>
      <c r="E149">
        <v>8687</v>
      </c>
      <c r="F149">
        <v>3650</v>
      </c>
      <c r="G149">
        <v>0</v>
      </c>
      <c r="H149">
        <v>11131</v>
      </c>
      <c r="I149">
        <v>56</v>
      </c>
      <c r="J149">
        <v>0</v>
      </c>
      <c r="K149">
        <v>11792</v>
      </c>
      <c r="L149">
        <v>1260</v>
      </c>
      <c r="M149">
        <v>13405</v>
      </c>
      <c r="N149">
        <v>6</v>
      </c>
      <c r="O149">
        <v>54017</v>
      </c>
      <c r="P149">
        <v>13823</v>
      </c>
      <c r="Q149">
        <v>64402</v>
      </c>
      <c r="R149">
        <v>13</v>
      </c>
      <c r="S149">
        <v>18000</v>
      </c>
      <c r="T149">
        <v>5178</v>
      </c>
      <c r="U149">
        <v>7689</v>
      </c>
      <c r="V149">
        <v>3</v>
      </c>
      <c r="W149">
        <v>107341</v>
      </c>
      <c r="X149">
        <v>3771</v>
      </c>
      <c r="Y149">
        <v>42271</v>
      </c>
      <c r="Z149">
        <v>3139623.1843857225</v>
      </c>
      <c r="AA149">
        <v>2691105.5866163336</v>
      </c>
      <c r="AB149">
        <v>95641</v>
      </c>
      <c r="AC149">
        <v>13092</v>
      </c>
      <c r="AD149" t="s">
        <v>470</v>
      </c>
      <c r="AE149" s="232">
        <f t="shared" si="21"/>
        <v>0.11034685695369111</v>
      </c>
      <c r="AF149" s="232">
        <f t="shared" si="22"/>
        <v>0.52619222850541736</v>
      </c>
      <c r="AG149" s="232">
        <f t="shared" si="23"/>
        <v>0.11493278430422672</v>
      </c>
      <c r="AH149" s="232">
        <f t="shared" si="24"/>
        <v>0.10421926384140263</v>
      </c>
      <c r="AI149" s="232">
        <f t="shared" si="25"/>
        <v>0.46703067793294278</v>
      </c>
      <c r="AJ149" s="232">
        <f t="shared" si="26"/>
        <v>3.5131031013312712E-2</v>
      </c>
      <c r="AK149" s="232">
        <f t="shared" si="27"/>
        <v>2.5070621538986346E-2</v>
      </c>
      <c r="AL149" s="232">
        <f t="shared" si="28"/>
        <v>3.0491610847672372E-2</v>
      </c>
      <c r="AM149" s="232">
        <f t="shared" si="29"/>
        <v>0.41588504309657803</v>
      </c>
      <c r="AN149" s="232">
        <v>3.2500000000000001E-2</v>
      </c>
      <c r="AO149" s="232">
        <f t="shared" si="20"/>
        <v>0.16250000000000001</v>
      </c>
      <c r="AT149" t="s">
        <v>349</v>
      </c>
      <c r="AU149">
        <v>3628999.9999999995</v>
      </c>
      <c r="AV149">
        <v>1629000</v>
      </c>
      <c r="AW149">
        <v>7404849.0449272152</v>
      </c>
      <c r="AX149">
        <v>2146849.0449272157</v>
      </c>
      <c r="AY149">
        <v>2146849.0449272157</v>
      </c>
      <c r="AZ149">
        <v>65882000</v>
      </c>
      <c r="BA149">
        <v>3.2586276144124585E-2</v>
      </c>
    </row>
    <row r="150" spans="1:53" x14ac:dyDescent="0.25">
      <c r="A150" t="s">
        <v>269</v>
      </c>
      <c r="B150">
        <v>96</v>
      </c>
      <c r="C150">
        <v>127191</v>
      </c>
      <c r="D150">
        <v>18</v>
      </c>
      <c r="E150">
        <v>250</v>
      </c>
      <c r="F150">
        <v>7013</v>
      </c>
      <c r="G150">
        <v>0</v>
      </c>
      <c r="H150">
        <v>34298</v>
      </c>
      <c r="I150">
        <v>19</v>
      </c>
      <c r="J150">
        <v>0</v>
      </c>
      <c r="K150">
        <v>0</v>
      </c>
      <c r="L150">
        <v>58</v>
      </c>
      <c r="M150">
        <v>7573</v>
      </c>
      <c r="N150">
        <v>4590</v>
      </c>
      <c r="O150">
        <v>50339</v>
      </c>
      <c r="P150">
        <v>11606</v>
      </c>
      <c r="Q150">
        <v>85723</v>
      </c>
      <c r="R150">
        <v>41</v>
      </c>
      <c r="S150">
        <v>17258</v>
      </c>
      <c r="T150">
        <v>6868</v>
      </c>
      <c r="U150">
        <v>9271</v>
      </c>
      <c r="V150">
        <v>2</v>
      </c>
      <c r="W150">
        <v>98624</v>
      </c>
      <c r="X150">
        <v>-4346</v>
      </c>
      <c r="Y150">
        <v>49579</v>
      </c>
      <c r="Z150">
        <v>3514196.1688693967</v>
      </c>
      <c r="AA150">
        <v>3012168.1447451971</v>
      </c>
      <c r="AB150">
        <v>133985</v>
      </c>
      <c r="AC150">
        <v>-6698</v>
      </c>
      <c r="AD150" t="s">
        <v>269</v>
      </c>
      <c r="AE150" s="232">
        <f t="shared" si="21"/>
        <v>9.5292259781564387E-2</v>
      </c>
      <c r="AF150" s="232">
        <f t="shared" si="22"/>
        <v>1.0106769143413368</v>
      </c>
      <c r="AG150" s="232">
        <f t="shared" si="23"/>
        <v>7.3643332251784557E-2</v>
      </c>
      <c r="AH150" s="232">
        <f t="shared" si="24"/>
        <v>0.34795790071382221</v>
      </c>
      <c r="AI150" s="232">
        <f t="shared" si="25"/>
        <v>0.77594358371187533</v>
      </c>
      <c r="AJ150" s="232">
        <f t="shared" si="26"/>
        <v>-4.4066353017521091E-2</v>
      </c>
      <c r="AK150" s="232">
        <f t="shared" si="27"/>
        <v>3.0541938521507921E-2</v>
      </c>
      <c r="AL150" s="232">
        <f t="shared" si="28"/>
        <v>-1.6978625892277742E-2</v>
      </c>
      <c r="AM150" s="232">
        <f t="shared" si="29"/>
        <v>0.34203725994721323</v>
      </c>
      <c r="AN150" s="232">
        <v>3.6200000000000003E-2</v>
      </c>
      <c r="AO150" s="232">
        <f t="shared" si="20"/>
        <v>0.18100000000000002</v>
      </c>
      <c r="AT150" t="s">
        <v>512</v>
      </c>
      <c r="AU150">
        <v>9808000</v>
      </c>
      <c r="AV150">
        <v>13278000</v>
      </c>
      <c r="AW150">
        <v>22966018.007822402</v>
      </c>
      <c r="AX150">
        <v>-119981.99217759818</v>
      </c>
      <c r="AY150">
        <v>0</v>
      </c>
      <c r="AZ150">
        <v>307765000</v>
      </c>
      <c r="BA150">
        <v>-3.8984937266290249E-4</v>
      </c>
    </row>
    <row r="151" spans="1:53" x14ac:dyDescent="0.25">
      <c r="A151" t="s">
        <v>310</v>
      </c>
      <c r="B151">
        <v>15342</v>
      </c>
      <c r="C151">
        <v>57837</v>
      </c>
      <c r="D151">
        <v>215</v>
      </c>
      <c r="E151">
        <v>0</v>
      </c>
      <c r="F151">
        <v>35781</v>
      </c>
      <c r="G151">
        <v>5000</v>
      </c>
      <c r="H151">
        <v>2751</v>
      </c>
      <c r="I151">
        <v>0</v>
      </c>
      <c r="J151">
        <v>0</v>
      </c>
      <c r="K151">
        <v>16464</v>
      </c>
      <c r="L151">
        <v>515</v>
      </c>
      <c r="M151">
        <v>8645</v>
      </c>
      <c r="N151">
        <v>4953</v>
      </c>
      <c r="O151">
        <v>109885</v>
      </c>
      <c r="P151">
        <v>24723</v>
      </c>
      <c r="Q151">
        <v>0</v>
      </c>
      <c r="R151">
        <v>44</v>
      </c>
      <c r="S151">
        <v>0</v>
      </c>
      <c r="T151">
        <v>9607</v>
      </c>
      <c r="U151">
        <v>3244</v>
      </c>
      <c r="V151">
        <v>2</v>
      </c>
      <c r="W151">
        <v>85754</v>
      </c>
      <c r="X151">
        <v>-5154</v>
      </c>
      <c r="Y151">
        <v>41369</v>
      </c>
      <c r="Z151">
        <v>9527060.0167044513</v>
      </c>
      <c r="AA151">
        <v>8166051.4428895302</v>
      </c>
      <c r="AB151">
        <v>63870</v>
      </c>
      <c r="AC151">
        <v>9309</v>
      </c>
      <c r="AD151" t="s">
        <v>310</v>
      </c>
      <c r="AE151" s="232">
        <f t="shared" si="21"/>
        <v>0</v>
      </c>
      <c r="AF151" s="232">
        <f t="shared" si="22"/>
        <v>-0.68175245469599088</v>
      </c>
      <c r="AG151" s="232">
        <f t="shared" si="23"/>
        <v>0.41725167339132868</v>
      </c>
      <c r="AH151" s="232">
        <f t="shared" si="24"/>
        <v>3.2080136203559019E-2</v>
      </c>
      <c r="AI151" s="232">
        <f t="shared" si="25"/>
        <v>-0.6541383492315227</v>
      </c>
      <c r="AJ151" s="232">
        <f t="shared" si="26"/>
        <v>-6.0102152669263241E-2</v>
      </c>
      <c r="AK151" s="232">
        <f t="shared" si="27"/>
        <v>9.5226478565309261E-2</v>
      </c>
      <c r="AL151" s="232">
        <f t="shared" si="28"/>
        <v>2.7138675746903936E-2</v>
      </c>
      <c r="AM151" s="232">
        <f t="shared" si="29"/>
        <v>0.91257804926001507</v>
      </c>
      <c r="AN151" s="232">
        <v>5.3900000000000003E-2</v>
      </c>
      <c r="AO151" s="232">
        <f t="shared" si="20"/>
        <v>0.26950000000000002</v>
      </c>
      <c r="AT151" t="s">
        <v>505</v>
      </c>
      <c r="AU151">
        <v>1300000</v>
      </c>
      <c r="AV151">
        <v>672000</v>
      </c>
      <c r="AW151">
        <v>2276751.3236037828</v>
      </c>
      <c r="AX151">
        <v>304751.3236037828</v>
      </c>
      <c r="AY151">
        <v>304751.3236037828</v>
      </c>
      <c r="AZ151">
        <v>28919000</v>
      </c>
      <c r="BA151">
        <v>1.0538100335550428E-2</v>
      </c>
    </row>
    <row r="152" spans="1:53" x14ac:dyDescent="0.25">
      <c r="A152" t="s">
        <v>391</v>
      </c>
      <c r="B152">
        <v>133</v>
      </c>
      <c r="C152">
        <v>55006</v>
      </c>
      <c r="D152">
        <v>1296</v>
      </c>
      <c r="E152">
        <v>0</v>
      </c>
      <c r="F152">
        <v>945</v>
      </c>
      <c r="G152">
        <v>0</v>
      </c>
      <c r="H152">
        <v>6721</v>
      </c>
      <c r="I152">
        <v>0</v>
      </c>
      <c r="J152">
        <v>0</v>
      </c>
      <c r="K152">
        <v>0</v>
      </c>
      <c r="L152">
        <v>50</v>
      </c>
      <c r="M152">
        <v>5355</v>
      </c>
      <c r="N152">
        <v>83</v>
      </c>
      <c r="O152">
        <v>16422</v>
      </c>
      <c r="P152">
        <v>8937</v>
      </c>
      <c r="Q152">
        <v>34287</v>
      </c>
      <c r="R152">
        <v>1</v>
      </c>
      <c r="S152">
        <v>2337</v>
      </c>
      <c r="T152">
        <v>6386</v>
      </c>
      <c r="U152">
        <v>1219</v>
      </c>
      <c r="V152">
        <v>2</v>
      </c>
      <c r="W152">
        <v>62098</v>
      </c>
      <c r="X152">
        <v>313</v>
      </c>
      <c r="Y152">
        <v>27472</v>
      </c>
      <c r="Z152">
        <v>3236062.4951941576</v>
      </c>
      <c r="AA152">
        <v>2773767.8530235635</v>
      </c>
      <c r="AB152">
        <v>54400</v>
      </c>
      <c r="AC152">
        <v>739</v>
      </c>
      <c r="AD152" t="s">
        <v>391</v>
      </c>
      <c r="AE152" s="232">
        <f t="shared" si="21"/>
        <v>3.3582893848165658E-2</v>
      </c>
      <c r="AF152" s="232">
        <f t="shared" si="22"/>
        <v>0.60866694579535574</v>
      </c>
      <c r="AG152" s="232">
        <f t="shared" si="23"/>
        <v>1.5217881413250024E-2</v>
      </c>
      <c r="AH152" s="232">
        <f t="shared" si="24"/>
        <v>0.10823214918354858</v>
      </c>
      <c r="AI152" s="232">
        <f t="shared" si="25"/>
        <v>0.53473058713646171</v>
      </c>
      <c r="AJ152" s="232">
        <f t="shared" si="26"/>
        <v>5.0404199813198491E-3</v>
      </c>
      <c r="AK152" s="232">
        <f t="shared" si="27"/>
        <v>4.4667587571637787E-2</v>
      </c>
      <c r="AL152" s="232">
        <f t="shared" si="28"/>
        <v>2.9751360752359175E-3</v>
      </c>
      <c r="AM152" s="232">
        <f t="shared" si="29"/>
        <v>0.36441104197502477</v>
      </c>
      <c r="AN152" s="232">
        <v>4.02E-2</v>
      </c>
      <c r="AO152" s="232">
        <f t="shared" si="20"/>
        <v>0.20100000000000001</v>
      </c>
      <c r="AT152" t="s">
        <v>231</v>
      </c>
      <c r="AU152">
        <v>3376000</v>
      </c>
      <c r="AV152">
        <v>1338000</v>
      </c>
      <c r="AW152">
        <v>5235574.7483076304</v>
      </c>
      <c r="AX152">
        <v>521574.74830763042</v>
      </c>
      <c r="AY152">
        <v>521574.74830763042</v>
      </c>
      <c r="AZ152">
        <v>39042000</v>
      </c>
      <c r="BA152">
        <v>1.3359324530188782E-2</v>
      </c>
    </row>
    <row r="153" spans="1:53" x14ac:dyDescent="0.25">
      <c r="A153" t="s">
        <v>270</v>
      </c>
      <c r="B153">
        <v>85</v>
      </c>
      <c r="C153">
        <v>62133</v>
      </c>
      <c r="D153">
        <v>161</v>
      </c>
      <c r="E153">
        <v>16832</v>
      </c>
      <c r="F153">
        <v>1376</v>
      </c>
      <c r="G153">
        <v>0</v>
      </c>
      <c r="H153">
        <v>4465</v>
      </c>
      <c r="I153">
        <v>0</v>
      </c>
      <c r="J153">
        <v>0</v>
      </c>
      <c r="K153">
        <v>0</v>
      </c>
      <c r="L153">
        <v>13341</v>
      </c>
      <c r="M153">
        <v>3063</v>
      </c>
      <c r="N153">
        <v>10171</v>
      </c>
      <c r="O153">
        <v>43876</v>
      </c>
      <c r="P153">
        <v>22223</v>
      </c>
      <c r="Q153">
        <v>35889</v>
      </c>
      <c r="R153">
        <v>4</v>
      </c>
      <c r="S153">
        <v>0</v>
      </c>
      <c r="T153">
        <v>2566</v>
      </c>
      <c r="U153">
        <v>7069</v>
      </c>
      <c r="V153">
        <v>2</v>
      </c>
      <c r="W153">
        <v>76020</v>
      </c>
      <c r="X153">
        <v>-395</v>
      </c>
      <c r="Y153">
        <v>34302</v>
      </c>
      <c r="Z153">
        <v>4544393.7137859724</v>
      </c>
      <c r="AA153">
        <v>3895194.6118165478</v>
      </c>
      <c r="AB153">
        <v>65178</v>
      </c>
      <c r="AC153">
        <v>-2960</v>
      </c>
      <c r="AD153" t="s">
        <v>270</v>
      </c>
      <c r="AE153" s="232">
        <f t="shared" si="21"/>
        <v>0</v>
      </c>
      <c r="AF153" s="232">
        <f t="shared" si="22"/>
        <v>9.8000526177321762E-3</v>
      </c>
      <c r="AG153" s="232">
        <f t="shared" si="23"/>
        <v>0.23951591686398316</v>
      </c>
      <c r="AH153" s="232">
        <f t="shared" si="24"/>
        <v>5.8734543541173377E-2</v>
      </c>
      <c r="AI153" s="232">
        <f t="shared" si="25"/>
        <v>-2.5722178374112115E-3</v>
      </c>
      <c r="AJ153" s="232">
        <f t="shared" si="26"/>
        <v>-5.1960010523546436E-3</v>
      </c>
      <c r="AK153" s="232">
        <f t="shared" si="27"/>
        <v>5.12390767142403E-2</v>
      </c>
      <c r="AL153" s="232">
        <f t="shared" si="28"/>
        <v>-9.7342804525124959E-3</v>
      </c>
      <c r="AM153" s="232">
        <f t="shared" si="29"/>
        <v>0.5921416861512</v>
      </c>
      <c r="AN153" s="232">
        <v>5.4600000000000003E-2</v>
      </c>
      <c r="AO153" s="232">
        <f t="shared" si="20"/>
        <v>0.27300000000000002</v>
      </c>
      <c r="AT153" t="s">
        <v>433</v>
      </c>
      <c r="AU153">
        <v>5265999.9999999991</v>
      </c>
      <c r="AV153">
        <v>2963000</v>
      </c>
      <c r="AW153">
        <v>13863418.945265844</v>
      </c>
      <c r="AX153">
        <v>5634418.9452658445</v>
      </c>
      <c r="AY153">
        <v>5634418.9452658445</v>
      </c>
      <c r="AZ153">
        <v>111425000</v>
      </c>
      <c r="BA153">
        <v>5.0566918961326854E-2</v>
      </c>
    </row>
    <row r="154" spans="1:53" x14ac:dyDescent="0.25">
      <c r="A154" t="s">
        <v>351</v>
      </c>
      <c r="B154">
        <v>4725</v>
      </c>
      <c r="C154">
        <v>72555</v>
      </c>
      <c r="D154">
        <v>945</v>
      </c>
      <c r="E154">
        <v>812</v>
      </c>
      <c r="F154">
        <v>4038</v>
      </c>
      <c r="G154">
        <v>0</v>
      </c>
      <c r="H154">
        <v>0</v>
      </c>
      <c r="I154">
        <v>5</v>
      </c>
      <c r="J154">
        <v>0</v>
      </c>
      <c r="K154">
        <v>0</v>
      </c>
      <c r="L154">
        <v>181</v>
      </c>
      <c r="M154">
        <v>11480</v>
      </c>
      <c r="N154">
        <v>8405</v>
      </c>
      <c r="O154">
        <v>26682</v>
      </c>
      <c r="P154">
        <v>11323</v>
      </c>
      <c r="Q154">
        <v>55780</v>
      </c>
      <c r="R154">
        <v>0</v>
      </c>
      <c r="S154">
        <v>0</v>
      </c>
      <c r="T154">
        <v>2071</v>
      </c>
      <c r="U154">
        <v>7290</v>
      </c>
      <c r="V154">
        <v>1</v>
      </c>
      <c r="W154">
        <v>55097</v>
      </c>
      <c r="X154">
        <v>1485</v>
      </c>
      <c r="Y154">
        <v>26625</v>
      </c>
      <c r="Z154">
        <v>3696266.8322295807</v>
      </c>
      <c r="AA154">
        <v>3168228.7133396403</v>
      </c>
      <c r="AB154">
        <v>52361</v>
      </c>
      <c r="AC154">
        <v>24919</v>
      </c>
      <c r="AD154" t="s">
        <v>351</v>
      </c>
      <c r="AE154" s="232">
        <f t="shared" si="21"/>
        <v>0</v>
      </c>
      <c r="AF154" s="232">
        <f t="shared" si="22"/>
        <v>0.73007604769769674</v>
      </c>
      <c r="AG154" s="232">
        <f t="shared" si="23"/>
        <v>8.8026571319672578E-2</v>
      </c>
      <c r="AH154" s="232">
        <f t="shared" si="24"/>
        <v>9.0749042597600599E-5</v>
      </c>
      <c r="AI154" s="232">
        <f t="shared" si="25"/>
        <v>0.74057571192623917</v>
      </c>
      <c r="AJ154" s="232">
        <f t="shared" si="26"/>
        <v>2.6952465651487376E-2</v>
      </c>
      <c r="AK154" s="232">
        <f t="shared" si="27"/>
        <v>5.750274449316007E-2</v>
      </c>
      <c r="AL154" s="232">
        <f t="shared" si="28"/>
        <v>0.11306876962448047</v>
      </c>
      <c r="AM154" s="232">
        <f t="shared" si="29"/>
        <v>0.36845830182459816</v>
      </c>
      <c r="AN154" s="232">
        <v>4.0300000000000002E-2</v>
      </c>
      <c r="AO154" s="232">
        <f t="shared" si="20"/>
        <v>0.20150000000000001</v>
      </c>
      <c r="AT154" t="s">
        <v>350</v>
      </c>
      <c r="AU154">
        <v>2286999.9999999995</v>
      </c>
      <c r="AV154">
        <v>1372000</v>
      </c>
      <c r="AW154">
        <v>6807860.764791552</v>
      </c>
      <c r="AX154">
        <v>3148860.764791552</v>
      </c>
      <c r="AY154">
        <v>3148860.764791552</v>
      </c>
      <c r="AZ154">
        <v>45530000</v>
      </c>
      <c r="BA154">
        <v>6.9160131007940967E-2</v>
      </c>
    </row>
    <row r="155" spans="1:53" x14ac:dyDescent="0.25">
      <c r="A155" t="s">
        <v>195</v>
      </c>
      <c r="B155">
        <v>23276</v>
      </c>
      <c r="C155">
        <v>122185</v>
      </c>
      <c r="D155">
        <v>623</v>
      </c>
      <c r="E155">
        <v>3816</v>
      </c>
      <c r="F155">
        <v>6087</v>
      </c>
      <c r="G155">
        <v>0</v>
      </c>
      <c r="H155">
        <v>76194</v>
      </c>
      <c r="I155">
        <v>24581</v>
      </c>
      <c r="J155">
        <v>0</v>
      </c>
      <c r="K155">
        <v>0</v>
      </c>
      <c r="L155">
        <v>124</v>
      </c>
      <c r="M155">
        <v>19157</v>
      </c>
      <c r="N155">
        <v>2916</v>
      </c>
      <c r="O155">
        <v>47825</v>
      </c>
      <c r="P155">
        <v>70765</v>
      </c>
      <c r="Q155">
        <v>129742</v>
      </c>
      <c r="R155">
        <v>0</v>
      </c>
      <c r="S155">
        <v>11234</v>
      </c>
      <c r="T155">
        <v>10433</v>
      </c>
      <c r="U155">
        <v>8960</v>
      </c>
      <c r="V155">
        <v>0</v>
      </c>
      <c r="W155">
        <v>164541</v>
      </c>
      <c r="X155">
        <v>4269</v>
      </c>
      <c r="Y155">
        <v>53259</v>
      </c>
      <c r="Z155">
        <v>5442523.0836657509</v>
      </c>
      <c r="AA155">
        <v>4665019.7859992143</v>
      </c>
      <c r="AB155">
        <v>121587</v>
      </c>
      <c r="AC155">
        <v>23874</v>
      </c>
      <c r="AD155" t="s">
        <v>195</v>
      </c>
      <c r="AE155" s="232">
        <f t="shared" si="21"/>
        <v>4.0271150957667617E-2</v>
      </c>
      <c r="AF155" s="232">
        <f t="shared" si="22"/>
        <v>0.77955646313076987</v>
      </c>
      <c r="AG155" s="232">
        <f t="shared" si="23"/>
        <v>6.0185607234670993E-2</v>
      </c>
      <c r="AH155" s="232">
        <f t="shared" si="24"/>
        <v>0.61246133182611018</v>
      </c>
      <c r="AI155" s="232">
        <f t="shared" si="25"/>
        <v>0.35805580372065332</v>
      </c>
      <c r="AJ155" s="232">
        <f t="shared" si="26"/>
        <v>2.5944901270807882E-2</v>
      </c>
      <c r="AK155" s="232">
        <f t="shared" si="27"/>
        <v>2.835171650834269E-2</v>
      </c>
      <c r="AL155" s="232">
        <f t="shared" si="28"/>
        <v>3.6273633927106315E-2</v>
      </c>
      <c r="AM155" s="232">
        <f t="shared" si="29"/>
        <v>0.42511623571922758</v>
      </c>
      <c r="AN155" s="232">
        <v>2.7799999999999998E-2</v>
      </c>
      <c r="AO155" s="232">
        <f t="shared" si="20"/>
        <v>0.13899999999999998</v>
      </c>
      <c r="AT155" t="s">
        <v>434</v>
      </c>
      <c r="AU155">
        <v>1663300.8</v>
      </c>
      <c r="AV155">
        <v>891290.39999999991</v>
      </c>
      <c r="AW155">
        <v>4420345.3000000007</v>
      </c>
      <c r="AX155">
        <v>1865754.100000001</v>
      </c>
      <c r="AY155">
        <v>1865754.100000001</v>
      </c>
      <c r="AZ155">
        <v>35910000</v>
      </c>
      <c r="BA155">
        <v>5.1956393762183264E-2</v>
      </c>
    </row>
    <row r="156" spans="1:53" x14ac:dyDescent="0.25">
      <c r="A156" t="s">
        <v>392</v>
      </c>
      <c r="B156">
        <v>1102</v>
      </c>
      <c r="C156">
        <v>41561</v>
      </c>
      <c r="D156">
        <v>231</v>
      </c>
      <c r="E156">
        <v>0</v>
      </c>
      <c r="F156">
        <v>5106</v>
      </c>
      <c r="G156">
        <v>0</v>
      </c>
      <c r="H156">
        <v>10320</v>
      </c>
      <c r="I156">
        <v>0</v>
      </c>
      <c r="J156">
        <v>0</v>
      </c>
      <c r="K156">
        <v>0</v>
      </c>
      <c r="L156">
        <v>-2513</v>
      </c>
      <c r="M156">
        <v>2973</v>
      </c>
      <c r="N156">
        <v>1028</v>
      </c>
      <c r="O156">
        <v>24381</v>
      </c>
      <c r="P156">
        <v>2562</v>
      </c>
      <c r="Q156">
        <v>29110</v>
      </c>
      <c r="R156">
        <v>0</v>
      </c>
      <c r="S156">
        <v>0</v>
      </c>
      <c r="T156">
        <v>2496</v>
      </c>
      <c r="U156">
        <v>1259</v>
      </c>
      <c r="V156">
        <v>-1</v>
      </c>
      <c r="W156">
        <v>31610</v>
      </c>
      <c r="X156">
        <v>3259</v>
      </c>
      <c r="Y156">
        <v>12720</v>
      </c>
      <c r="Z156">
        <v>1398576.8100681915</v>
      </c>
      <c r="AA156">
        <v>1198780.1229155927</v>
      </c>
      <c r="AB156">
        <v>35149</v>
      </c>
      <c r="AC156">
        <v>7514</v>
      </c>
      <c r="AD156" t="s">
        <v>392</v>
      </c>
      <c r="AE156" s="232">
        <f t="shared" si="21"/>
        <v>0</v>
      </c>
      <c r="AF156" s="232">
        <f t="shared" si="22"/>
        <v>0.83109775387535589</v>
      </c>
      <c r="AG156" s="232">
        <f t="shared" si="23"/>
        <v>0.1615311610249921</v>
      </c>
      <c r="AH156" s="232">
        <f t="shared" si="24"/>
        <v>0.32647896235368556</v>
      </c>
      <c r="AI156" s="232">
        <f t="shared" si="25"/>
        <v>0.62194621955077511</v>
      </c>
      <c r="AJ156" s="232">
        <f t="shared" si="26"/>
        <v>0.1031002847200253</v>
      </c>
      <c r="AK156" s="232">
        <f t="shared" si="27"/>
        <v>3.7924078548421156E-2</v>
      </c>
      <c r="AL156" s="232">
        <f t="shared" si="28"/>
        <v>5.9427396393546349E-2</v>
      </c>
      <c r="AM156" s="232">
        <f t="shared" si="29"/>
        <v>0.45049157303370785</v>
      </c>
      <c r="AN156" s="232">
        <v>1.3299999999999999E-2</v>
      </c>
      <c r="AO156" s="232">
        <f t="shared" si="20"/>
        <v>6.6500000000000004E-2</v>
      </c>
      <c r="AT156" t="s">
        <v>307</v>
      </c>
      <c r="AU156">
        <v>10172000.000000002</v>
      </c>
      <c r="AV156">
        <v>10083000</v>
      </c>
      <c r="AW156">
        <v>35579893.539961502</v>
      </c>
      <c r="AX156">
        <v>15324893.539961502</v>
      </c>
      <c r="AY156">
        <v>15324893.539961502</v>
      </c>
      <c r="AZ156">
        <v>250133000</v>
      </c>
      <c r="BA156">
        <v>6.1266980126418756E-2</v>
      </c>
    </row>
    <row r="157" spans="1:53" x14ac:dyDescent="0.25">
      <c r="A157" t="s">
        <v>352</v>
      </c>
      <c r="B157">
        <v>21290</v>
      </c>
      <c r="C157">
        <v>187522</v>
      </c>
      <c r="D157">
        <v>5240</v>
      </c>
      <c r="E157">
        <v>1564</v>
      </c>
      <c r="F157">
        <v>13949</v>
      </c>
      <c r="G157">
        <v>0</v>
      </c>
      <c r="H157">
        <v>32620</v>
      </c>
      <c r="I157">
        <v>2765</v>
      </c>
      <c r="J157">
        <v>0</v>
      </c>
      <c r="K157">
        <v>600</v>
      </c>
      <c r="L157">
        <v>74</v>
      </c>
      <c r="M157">
        <v>23492</v>
      </c>
      <c r="N157">
        <v>2171</v>
      </c>
      <c r="O157">
        <v>104346</v>
      </c>
      <c r="P157">
        <v>8293</v>
      </c>
      <c r="Q157">
        <v>155114</v>
      </c>
      <c r="R157">
        <v>47</v>
      </c>
      <c r="S157">
        <v>0</v>
      </c>
      <c r="T157">
        <v>9617</v>
      </c>
      <c r="U157">
        <v>13870</v>
      </c>
      <c r="V157">
        <v>0</v>
      </c>
      <c r="W157">
        <v>160825</v>
      </c>
      <c r="X157">
        <v>1099</v>
      </c>
      <c r="Y157">
        <v>64956</v>
      </c>
      <c r="Z157">
        <v>9395816.668919526</v>
      </c>
      <c r="AA157">
        <v>8053557.1447881646</v>
      </c>
      <c r="AB157">
        <v>181003</v>
      </c>
      <c r="AC157">
        <v>27809</v>
      </c>
      <c r="AD157" t="s">
        <v>352</v>
      </c>
      <c r="AE157" s="232">
        <f t="shared" si="21"/>
        <v>0</v>
      </c>
      <c r="AF157" s="232">
        <f t="shared" si="22"/>
        <v>0.85060158557438215</v>
      </c>
      <c r="AG157" s="232">
        <f t="shared" si="23"/>
        <v>9.6458883879993781E-2</v>
      </c>
      <c r="AH157" s="232">
        <f t="shared" si="24"/>
        <v>0.22002176278563657</v>
      </c>
      <c r="AI157" s="232">
        <f t="shared" si="25"/>
        <v>0.70816141769003571</v>
      </c>
      <c r="AJ157" s="232">
        <f t="shared" si="26"/>
        <v>6.8335146898803045E-3</v>
      </c>
      <c r="AK157" s="232">
        <f t="shared" si="27"/>
        <v>5.007652507252084E-2</v>
      </c>
      <c r="AL157" s="232">
        <f t="shared" si="28"/>
        <v>4.3228664697652727E-2</v>
      </c>
      <c r="AM157" s="232">
        <f t="shared" si="29"/>
        <v>0.38669422253653613</v>
      </c>
      <c r="AN157" s="232">
        <v>3.1800000000000002E-2</v>
      </c>
      <c r="AO157" s="232">
        <f t="shared" si="20"/>
        <v>0.159</v>
      </c>
      <c r="AT157" t="s">
        <v>194</v>
      </c>
      <c r="AU157">
        <v>3839000</v>
      </c>
      <c r="AV157">
        <v>3383000</v>
      </c>
      <c r="AW157">
        <v>11202604.104843244</v>
      </c>
      <c r="AX157">
        <v>3980604.104843244</v>
      </c>
      <c r="AY157">
        <v>3980604.104843244</v>
      </c>
      <c r="AZ157">
        <v>81269000</v>
      </c>
      <c r="BA157">
        <v>4.8980596597020316E-2</v>
      </c>
    </row>
    <row r="158" spans="1:53" x14ac:dyDescent="0.25">
      <c r="A158" t="s">
        <v>471</v>
      </c>
      <c r="B158">
        <v>8888</v>
      </c>
      <c r="C158">
        <v>117438</v>
      </c>
      <c r="D158">
        <v>5782</v>
      </c>
      <c r="E158">
        <v>21753</v>
      </c>
      <c r="F158">
        <v>3761</v>
      </c>
      <c r="G158">
        <v>0</v>
      </c>
      <c r="H158">
        <v>1389</v>
      </c>
      <c r="I158">
        <v>94</v>
      </c>
      <c r="J158">
        <v>0</v>
      </c>
      <c r="K158">
        <v>0</v>
      </c>
      <c r="L158">
        <v>873</v>
      </c>
      <c r="M158">
        <v>16447</v>
      </c>
      <c r="N158">
        <v>7355</v>
      </c>
      <c r="O158">
        <v>34066</v>
      </c>
      <c r="P158">
        <v>7374</v>
      </c>
      <c r="Q158">
        <v>96721</v>
      </c>
      <c r="R158">
        <v>0</v>
      </c>
      <c r="S158">
        <v>23300</v>
      </c>
      <c r="T158">
        <v>9361</v>
      </c>
      <c r="U158">
        <v>12958</v>
      </c>
      <c r="V158">
        <v>0</v>
      </c>
      <c r="W158">
        <v>161490</v>
      </c>
      <c r="X158">
        <v>-8060</v>
      </c>
      <c r="Y158">
        <v>45823</v>
      </c>
      <c r="Z158">
        <v>4438650.657109268</v>
      </c>
      <c r="AA158">
        <v>3804557.7060936582</v>
      </c>
      <c r="AB158">
        <v>116237</v>
      </c>
      <c r="AC158">
        <v>10089</v>
      </c>
      <c r="AD158" t="s">
        <v>471</v>
      </c>
      <c r="AE158" s="232">
        <f t="shared" si="21"/>
        <v>0.12678202198280553</v>
      </c>
      <c r="AF158" s="232">
        <f t="shared" si="22"/>
        <v>0.57062976035667845</v>
      </c>
      <c r="AG158" s="232">
        <f t="shared" si="23"/>
        <v>0.15799120688587528</v>
      </c>
      <c r="AH158" s="232">
        <f t="shared" si="24"/>
        <v>9.1832311598241383E-3</v>
      </c>
      <c r="AI158" s="232">
        <f t="shared" si="25"/>
        <v>0.58316044337110651</v>
      </c>
      <c r="AJ158" s="232">
        <f t="shared" si="26"/>
        <v>-4.9910211158585668E-2</v>
      </c>
      <c r="AK158" s="232">
        <f t="shared" si="27"/>
        <v>2.3559091622352209E-2</v>
      </c>
      <c r="AL158" s="232">
        <f t="shared" si="28"/>
        <v>1.5618614155675274E-2</v>
      </c>
      <c r="AM158" s="232">
        <f t="shared" si="29"/>
        <v>0.22548699532049188</v>
      </c>
      <c r="AN158" s="232">
        <v>5.1799999999999999E-2</v>
      </c>
      <c r="AO158" s="232">
        <f t="shared" si="20"/>
        <v>0.25900000000000001</v>
      </c>
      <c r="AT158" t="s">
        <v>308</v>
      </c>
      <c r="AU158">
        <v>4992000</v>
      </c>
      <c r="AV158">
        <v>4884000</v>
      </c>
      <c r="AW158">
        <v>15565643.0976431</v>
      </c>
      <c r="AX158">
        <v>5689643.0976430997</v>
      </c>
      <c r="AY158">
        <v>5689643.0976430997</v>
      </c>
      <c r="AZ158">
        <v>100769000</v>
      </c>
      <c r="BA158">
        <v>5.6462236378678955E-2</v>
      </c>
    </row>
    <row r="159" spans="1:53" x14ac:dyDescent="0.25">
      <c r="A159" t="s">
        <v>311</v>
      </c>
      <c r="B159">
        <v>0</v>
      </c>
      <c r="C159">
        <v>61554</v>
      </c>
      <c r="D159">
        <v>117</v>
      </c>
      <c r="E159">
        <v>0</v>
      </c>
      <c r="F159">
        <v>2681</v>
      </c>
      <c r="G159">
        <v>0</v>
      </c>
      <c r="H159">
        <v>590</v>
      </c>
      <c r="I159">
        <v>0</v>
      </c>
      <c r="J159">
        <v>0</v>
      </c>
      <c r="K159">
        <v>5791</v>
      </c>
      <c r="L159">
        <v>-115</v>
      </c>
      <c r="M159">
        <v>2020</v>
      </c>
      <c r="N159">
        <v>2250</v>
      </c>
      <c r="O159">
        <v>46166</v>
      </c>
      <c r="P159">
        <v>16321</v>
      </c>
      <c r="Q159">
        <v>8288</v>
      </c>
      <c r="R159">
        <v>204</v>
      </c>
      <c r="S159">
        <v>0</v>
      </c>
      <c r="T159">
        <v>4395</v>
      </c>
      <c r="U159">
        <v>-486</v>
      </c>
      <c r="V159">
        <v>-486</v>
      </c>
      <c r="W159">
        <v>44019</v>
      </c>
      <c r="X159">
        <v>-22</v>
      </c>
      <c r="Y159">
        <v>22659</v>
      </c>
      <c r="Z159">
        <v>3600871.1129973326</v>
      </c>
      <c r="AA159">
        <v>3086460.953997714</v>
      </c>
      <c r="AB159">
        <v>67564</v>
      </c>
      <c r="AC159">
        <v>-6010</v>
      </c>
      <c r="AD159" t="s">
        <v>311</v>
      </c>
      <c r="AE159" s="232">
        <f t="shared" si="21"/>
        <v>0</v>
      </c>
      <c r="AF159" s="232">
        <f t="shared" si="22"/>
        <v>-5.1341466185056452E-3</v>
      </c>
      <c r="AG159" s="232">
        <f t="shared" si="23"/>
        <v>6.090551807174175E-2</v>
      </c>
      <c r="AH159" s="232">
        <f t="shared" si="24"/>
        <v>1.3403303119107658E-2</v>
      </c>
      <c r="AI159" s="232">
        <f t="shared" si="25"/>
        <v>-7.2077966332719954E-3</v>
      </c>
      <c r="AJ159" s="232">
        <f t="shared" si="26"/>
        <v>-4.9978418410231941E-4</v>
      </c>
      <c r="AK159" s="232">
        <f t="shared" si="27"/>
        <v>7.0116562257155179E-2</v>
      </c>
      <c r="AL159" s="232">
        <f t="shared" si="28"/>
        <v>-3.4132988027897042E-2</v>
      </c>
      <c r="AM159" s="232">
        <f t="shared" si="29"/>
        <v>0.8344060463625681</v>
      </c>
      <c r="AN159" s="232">
        <v>3.5099999999999999E-2</v>
      </c>
      <c r="AO159" s="232">
        <f t="shared" si="20"/>
        <v>0.17549999999999999</v>
      </c>
      <c r="AT159" t="s">
        <v>134</v>
      </c>
      <c r="AU159">
        <v>6242000</v>
      </c>
      <c r="AV159">
        <v>5130000</v>
      </c>
      <c r="AW159">
        <v>13663722.603585567</v>
      </c>
      <c r="AX159">
        <v>2291722.6035855673</v>
      </c>
      <c r="AY159">
        <v>2291722.6035855673</v>
      </c>
      <c r="AZ159">
        <v>197755000</v>
      </c>
      <c r="BA159">
        <v>1.1588696132009645E-2</v>
      </c>
    </row>
    <row r="160" spans="1:53" x14ac:dyDescent="0.25">
      <c r="A160" t="s">
        <v>354</v>
      </c>
      <c r="B160">
        <v>0</v>
      </c>
      <c r="C160">
        <v>58609</v>
      </c>
      <c r="D160">
        <v>912</v>
      </c>
      <c r="E160">
        <v>1797</v>
      </c>
      <c r="F160">
        <v>18352</v>
      </c>
      <c r="G160">
        <v>0</v>
      </c>
      <c r="H160">
        <v>2875</v>
      </c>
      <c r="I160">
        <v>0</v>
      </c>
      <c r="J160">
        <v>0</v>
      </c>
      <c r="K160">
        <v>1276</v>
      </c>
      <c r="L160">
        <v>5</v>
      </c>
      <c r="M160">
        <v>7811</v>
      </c>
      <c r="N160">
        <v>1393</v>
      </c>
      <c r="O160">
        <v>22231</v>
      </c>
      <c r="P160">
        <v>13120</v>
      </c>
      <c r="Q160">
        <v>41500</v>
      </c>
      <c r="R160">
        <v>214</v>
      </c>
      <c r="S160">
        <v>9749</v>
      </c>
      <c r="T160">
        <v>3721</v>
      </c>
      <c r="U160">
        <v>2495</v>
      </c>
      <c r="V160">
        <v>3</v>
      </c>
      <c r="W160">
        <v>67884</v>
      </c>
      <c r="X160">
        <v>-52</v>
      </c>
      <c r="Y160">
        <v>29306</v>
      </c>
      <c r="Z160">
        <v>2154600.407682932</v>
      </c>
      <c r="AA160">
        <v>1846800.349442513</v>
      </c>
      <c r="AB160">
        <v>31481</v>
      </c>
      <c r="AC160">
        <v>27128</v>
      </c>
      <c r="AD160" t="s">
        <v>354</v>
      </c>
      <c r="AE160" s="232">
        <f t="shared" si="21"/>
        <v>0.10479415242394927</v>
      </c>
      <c r="AF160" s="232">
        <f t="shared" si="22"/>
        <v>0.39840021212656884</v>
      </c>
      <c r="AG160" s="232">
        <f t="shared" si="23"/>
        <v>0.29681515526486357</v>
      </c>
      <c r="AH160" s="232">
        <f t="shared" si="24"/>
        <v>4.2351658711920336E-2</v>
      </c>
      <c r="AI160" s="232">
        <f t="shared" si="25"/>
        <v>0.40437186966000827</v>
      </c>
      <c r="AJ160" s="232">
        <f t="shared" si="26"/>
        <v>-7.6601260974603735E-4</v>
      </c>
      <c r="AK160" s="232">
        <f t="shared" si="27"/>
        <v>2.7205237603006791E-2</v>
      </c>
      <c r="AL160" s="232">
        <f t="shared" si="28"/>
        <v>9.9905721524954333E-2</v>
      </c>
      <c r="AM160" s="232">
        <f t="shared" si="29"/>
        <v>0.37999570031172741</v>
      </c>
      <c r="AN160" s="232">
        <v>4.1399999999999999E-2</v>
      </c>
      <c r="AO160" s="232">
        <f t="shared" si="20"/>
        <v>0.20699999999999999</v>
      </c>
      <c r="AT160" t="s">
        <v>151</v>
      </c>
      <c r="AU160">
        <v>3871000</v>
      </c>
      <c r="AV160">
        <v>3303000</v>
      </c>
      <c r="AW160">
        <v>7060455.7424923507</v>
      </c>
      <c r="AX160">
        <v>-113544.25750764925</v>
      </c>
      <c r="AY160">
        <v>0</v>
      </c>
      <c r="AZ160">
        <v>135725000</v>
      </c>
      <c r="BA160">
        <v>-8.3657585196278688E-4</v>
      </c>
    </row>
    <row r="161" spans="1:53" x14ac:dyDescent="0.25">
      <c r="A161" t="s">
        <v>549</v>
      </c>
      <c r="B161">
        <v>9829</v>
      </c>
      <c r="C161">
        <v>122808</v>
      </c>
      <c r="D161">
        <v>826</v>
      </c>
      <c r="E161">
        <v>39</v>
      </c>
      <c r="F161">
        <v>4405</v>
      </c>
      <c r="G161">
        <v>0</v>
      </c>
      <c r="H161">
        <v>18074</v>
      </c>
      <c r="I161">
        <v>685</v>
      </c>
      <c r="J161">
        <v>0</v>
      </c>
      <c r="K161">
        <v>13579</v>
      </c>
      <c r="L161">
        <v>906</v>
      </c>
      <c r="M161">
        <v>6260</v>
      </c>
      <c r="N161">
        <v>13266</v>
      </c>
      <c r="O161">
        <v>63906</v>
      </c>
      <c r="P161">
        <v>36990</v>
      </c>
      <c r="Q161">
        <v>72839</v>
      </c>
      <c r="R161">
        <v>0</v>
      </c>
      <c r="S161">
        <v>0</v>
      </c>
      <c r="T161">
        <v>4627</v>
      </c>
      <c r="U161">
        <v>12315</v>
      </c>
      <c r="V161">
        <v>2</v>
      </c>
      <c r="W161">
        <v>143122</v>
      </c>
      <c r="X161">
        <v>792</v>
      </c>
      <c r="Y161">
        <v>55644</v>
      </c>
      <c r="Z161">
        <v>5337742.1030655727</v>
      </c>
      <c r="AA161">
        <v>4575207.5169133479</v>
      </c>
      <c r="AB161">
        <v>121813</v>
      </c>
      <c r="AC161">
        <v>10824</v>
      </c>
      <c r="AD161" t="s">
        <v>549</v>
      </c>
      <c r="AE161" s="232">
        <f t="shared" si="21"/>
        <v>0</v>
      </c>
      <c r="AF161" s="232">
        <f t="shared" si="22"/>
        <v>0.35861712385237771</v>
      </c>
      <c r="AG161" s="232">
        <f t="shared" si="23"/>
        <v>3.1050432498148432E-2</v>
      </c>
      <c r="AH161" s="232">
        <f t="shared" si="24"/>
        <v>0.13106999622699514</v>
      </c>
      <c r="AI161" s="232">
        <f t="shared" si="25"/>
        <v>0.27059417839325894</v>
      </c>
      <c r="AJ161" s="232">
        <f t="shared" si="26"/>
        <v>5.5337404452145723E-3</v>
      </c>
      <c r="AK161" s="232">
        <f t="shared" si="27"/>
        <v>3.1967185456556982E-2</v>
      </c>
      <c r="AL161" s="232">
        <f t="shared" si="28"/>
        <v>1.8906946521149787E-2</v>
      </c>
      <c r="AM161" s="232">
        <f t="shared" si="29"/>
        <v>0.52914614767381485</v>
      </c>
      <c r="AN161" s="232">
        <v>3.7699999999999997E-2</v>
      </c>
      <c r="AO161" s="232">
        <f t="shared" si="20"/>
        <v>0.1885</v>
      </c>
      <c r="AT161" t="s">
        <v>309</v>
      </c>
      <c r="AU161">
        <v>6899000.0000000009</v>
      </c>
      <c r="AV161">
        <v>4069000.0000000005</v>
      </c>
      <c r="AW161">
        <v>19505125.36932686</v>
      </c>
      <c r="AX161">
        <v>8537125.3693268597</v>
      </c>
      <c r="AY161">
        <v>8537125.3693268597</v>
      </c>
      <c r="AZ161">
        <v>213941000</v>
      </c>
      <c r="BA161">
        <v>3.9904110803103937E-2</v>
      </c>
    </row>
    <row r="162" spans="1:53" x14ac:dyDescent="0.25">
      <c r="A162" t="s">
        <v>435</v>
      </c>
      <c r="B162">
        <v>123</v>
      </c>
      <c r="C162">
        <v>46557</v>
      </c>
      <c r="D162">
        <v>0</v>
      </c>
      <c r="E162">
        <v>5392</v>
      </c>
      <c r="F162">
        <v>0</v>
      </c>
      <c r="G162">
        <v>0</v>
      </c>
      <c r="H162">
        <v>28030</v>
      </c>
      <c r="I162">
        <v>0</v>
      </c>
      <c r="J162">
        <v>0</v>
      </c>
      <c r="K162">
        <v>0</v>
      </c>
      <c r="L162">
        <v>1865</v>
      </c>
      <c r="M162">
        <v>4532</v>
      </c>
      <c r="N162">
        <v>1772</v>
      </c>
      <c r="O162">
        <v>45141</v>
      </c>
      <c r="P162">
        <v>6259</v>
      </c>
      <c r="Q162">
        <v>27345</v>
      </c>
      <c r="R162">
        <v>5</v>
      </c>
      <c r="S162">
        <v>4000</v>
      </c>
      <c r="T162">
        <v>2219</v>
      </c>
      <c r="U162">
        <v>3302</v>
      </c>
      <c r="V162">
        <v>-7</v>
      </c>
      <c r="W162">
        <v>47644</v>
      </c>
      <c r="X162">
        <v>263</v>
      </c>
      <c r="Y162">
        <v>22158</v>
      </c>
      <c r="Z162">
        <v>3165099.0016678618</v>
      </c>
      <c r="AA162">
        <v>2712942.0014295955</v>
      </c>
      <c r="AB162">
        <v>46151</v>
      </c>
      <c r="AC162">
        <v>529</v>
      </c>
      <c r="AD162" t="s">
        <v>435</v>
      </c>
      <c r="AE162" s="232">
        <f t="shared" si="21"/>
        <v>4.5314995865006626E-2</v>
      </c>
      <c r="AF162" s="232">
        <f t="shared" si="22"/>
        <v>0.48925363109730502</v>
      </c>
      <c r="AG162" s="232">
        <f t="shared" si="23"/>
        <v>0.11317269750650659</v>
      </c>
      <c r="AH162" s="232">
        <f t="shared" si="24"/>
        <v>0.58832171941902445</v>
      </c>
      <c r="AI162" s="232">
        <f t="shared" si="25"/>
        <v>9.1009151204768712E-2</v>
      </c>
      <c r="AJ162" s="232">
        <f t="shared" si="26"/>
        <v>5.5201074636890271E-3</v>
      </c>
      <c r="AK162" s="232">
        <f t="shared" si="27"/>
        <v>5.6941944451129115E-2</v>
      </c>
      <c r="AL162" s="232">
        <f t="shared" si="28"/>
        <v>2.7757954831668205E-3</v>
      </c>
      <c r="AM162" s="232">
        <f t="shared" si="29"/>
        <v>0.58229769686533517</v>
      </c>
      <c r="AN162" s="232">
        <v>4.41E-2</v>
      </c>
      <c r="AO162" s="232">
        <f t="shared" si="20"/>
        <v>0.2205</v>
      </c>
      <c r="AT162" t="s">
        <v>470</v>
      </c>
      <c r="AU162">
        <v>7075999.9999999991</v>
      </c>
      <c r="AV162">
        <v>3244999.9999999995</v>
      </c>
      <c r="AW162">
        <v>13460623.184385724</v>
      </c>
      <c r="AX162">
        <v>3139623.1843857258</v>
      </c>
      <c r="AY162">
        <v>3139623.1843857258</v>
      </c>
      <c r="AZ162">
        <v>107341000</v>
      </c>
      <c r="BA162">
        <v>2.924905846215077E-2</v>
      </c>
    </row>
    <row r="163" spans="1:53" x14ac:dyDescent="0.25">
      <c r="A163" t="s">
        <v>436</v>
      </c>
      <c r="B163">
        <v>73</v>
      </c>
      <c r="C163">
        <v>24248</v>
      </c>
      <c r="D163">
        <v>1</v>
      </c>
      <c r="E163">
        <v>0</v>
      </c>
      <c r="F163">
        <v>1213</v>
      </c>
      <c r="G163">
        <v>0</v>
      </c>
      <c r="H163">
        <v>19262</v>
      </c>
      <c r="I163">
        <v>0</v>
      </c>
      <c r="J163">
        <v>0</v>
      </c>
      <c r="K163">
        <v>470</v>
      </c>
      <c r="L163">
        <v>110</v>
      </c>
      <c r="M163">
        <v>1741</v>
      </c>
      <c r="N163">
        <v>4783</v>
      </c>
      <c r="O163">
        <v>24559</v>
      </c>
      <c r="P163">
        <v>12852</v>
      </c>
      <c r="Q163">
        <v>5600</v>
      </c>
      <c r="R163">
        <v>0</v>
      </c>
      <c r="S163">
        <v>5000</v>
      </c>
      <c r="T163">
        <v>2931</v>
      </c>
      <c r="U163">
        <v>959</v>
      </c>
      <c r="V163">
        <v>-2</v>
      </c>
      <c r="W163">
        <v>34905</v>
      </c>
      <c r="X163">
        <v>-271</v>
      </c>
      <c r="Y163">
        <v>15332</v>
      </c>
      <c r="Z163">
        <v>1857631.2862195559</v>
      </c>
      <c r="AA163">
        <v>1592255.3881881908</v>
      </c>
      <c r="AB163">
        <v>20546</v>
      </c>
      <c r="AC163">
        <v>3775</v>
      </c>
      <c r="AD163" t="s">
        <v>436</v>
      </c>
      <c r="AE163" s="232">
        <f t="shared" si="21"/>
        <v>9.6337257470954313E-2</v>
      </c>
      <c r="AF163" s="232">
        <f t="shared" si="22"/>
        <v>0.17685145394642601</v>
      </c>
      <c r="AG163" s="232">
        <f t="shared" si="23"/>
        <v>3.4751468271021345E-2</v>
      </c>
      <c r="AH163" s="232">
        <f t="shared" si="24"/>
        <v>0.55184071049992833</v>
      </c>
      <c r="AI163" s="232">
        <f t="shared" si="25"/>
        <v>-0.20526686721100124</v>
      </c>
      <c r="AJ163" s="232">
        <f t="shared" si="26"/>
        <v>-7.7639306689586017E-3</v>
      </c>
      <c r="AK163" s="232">
        <f t="shared" si="27"/>
        <v>4.5616828196195121E-2</v>
      </c>
      <c r="AL163" s="232">
        <f t="shared" si="28"/>
        <v>2.703767368571838E-2</v>
      </c>
      <c r="AM163" s="232">
        <f t="shared" si="29"/>
        <v>0.72081462784917438</v>
      </c>
      <c r="AN163" s="232">
        <v>5.3699999999999998E-2</v>
      </c>
      <c r="AO163" s="232">
        <f t="shared" si="20"/>
        <v>0.26849999999999996</v>
      </c>
      <c r="AT163" t="s">
        <v>269</v>
      </c>
      <c r="AU163">
        <v>7183000</v>
      </c>
      <c r="AV163">
        <v>5028000</v>
      </c>
      <c r="AW163">
        <v>15725196.168869395</v>
      </c>
      <c r="AX163">
        <v>3514196.1688693948</v>
      </c>
      <c r="AY163">
        <v>3514196.1688693948</v>
      </c>
      <c r="AZ163">
        <v>98624000</v>
      </c>
      <c r="BA163">
        <v>3.5632261608425891E-2</v>
      </c>
    </row>
    <row r="164" spans="1:53" x14ac:dyDescent="0.25">
      <c r="A164" t="s">
        <v>472</v>
      </c>
      <c r="B164">
        <v>15067</v>
      </c>
      <c r="C164">
        <v>75505</v>
      </c>
      <c r="D164">
        <v>791</v>
      </c>
      <c r="E164">
        <v>1396</v>
      </c>
      <c r="F164">
        <v>4769</v>
      </c>
      <c r="G164">
        <v>0</v>
      </c>
      <c r="H164">
        <v>419</v>
      </c>
      <c r="I164">
        <v>9</v>
      </c>
      <c r="J164">
        <v>0</v>
      </c>
      <c r="K164">
        <v>0</v>
      </c>
      <c r="L164">
        <v>0</v>
      </c>
      <c r="M164">
        <v>8226</v>
      </c>
      <c r="N164">
        <v>6107</v>
      </c>
      <c r="O164">
        <v>63222</v>
      </c>
      <c r="P164">
        <v>13272</v>
      </c>
      <c r="Q164">
        <v>8880</v>
      </c>
      <c r="R164">
        <v>45</v>
      </c>
      <c r="S164">
        <v>14561</v>
      </c>
      <c r="T164">
        <v>6103</v>
      </c>
      <c r="U164">
        <v>6206</v>
      </c>
      <c r="V164">
        <v>3</v>
      </c>
      <c r="W164">
        <v>109439</v>
      </c>
      <c r="X164">
        <v>-4202</v>
      </c>
      <c r="Y164">
        <v>37612</v>
      </c>
      <c r="Z164">
        <v>874640.82007895876</v>
      </c>
      <c r="AA164">
        <v>749692.1314962504</v>
      </c>
      <c r="AB164">
        <v>56605</v>
      </c>
      <c r="AC164">
        <v>33967</v>
      </c>
      <c r="AD164" t="s">
        <v>472</v>
      </c>
      <c r="AE164" s="232">
        <f t="shared" si="21"/>
        <v>0.1296743225071022</v>
      </c>
      <c r="AF164" s="232">
        <f t="shared" si="22"/>
        <v>0.13977649649576476</v>
      </c>
      <c r="AG164" s="232">
        <f t="shared" si="23"/>
        <v>5.6332751578504918E-2</v>
      </c>
      <c r="AH164" s="232">
        <f t="shared" si="24"/>
        <v>3.9108544485969357E-3</v>
      </c>
      <c r="AI164" s="232">
        <f t="shared" si="25"/>
        <v>0.14379882857116749</v>
      </c>
      <c r="AJ164" s="232">
        <f t="shared" si="26"/>
        <v>-3.8395818675243741E-2</v>
      </c>
      <c r="AK164" s="232">
        <f t="shared" si="27"/>
        <v>6.8503196437855827E-3</v>
      </c>
      <c r="AL164" s="232">
        <f t="shared" si="28"/>
        <v>7.7593453887553801E-2</v>
      </c>
      <c r="AM164" s="232">
        <f t="shared" si="29"/>
        <v>0.68122434076356542</v>
      </c>
      <c r="AN164" s="232">
        <v>5.8000000000000003E-2</v>
      </c>
      <c r="AO164" s="232">
        <f t="shared" si="20"/>
        <v>0.29000000000000004</v>
      </c>
      <c r="AT164" t="s">
        <v>310</v>
      </c>
      <c r="AU164">
        <v>2890000</v>
      </c>
      <c r="AV164">
        <v>1286000</v>
      </c>
      <c r="AW164">
        <v>13703060.016704453</v>
      </c>
      <c r="AX164">
        <v>9527060.0167044532</v>
      </c>
      <c r="AY164">
        <v>9527060.0167044532</v>
      </c>
      <c r="AZ164">
        <v>85754000</v>
      </c>
      <c r="BA164">
        <v>0.11109755832619415</v>
      </c>
    </row>
    <row r="165" spans="1:53" x14ac:dyDescent="0.25">
      <c r="A165" t="s">
        <v>312</v>
      </c>
      <c r="B165">
        <v>269</v>
      </c>
      <c r="C165">
        <v>20191</v>
      </c>
      <c r="D165">
        <v>139</v>
      </c>
      <c r="E165">
        <v>0</v>
      </c>
      <c r="F165">
        <v>315</v>
      </c>
      <c r="G165">
        <v>0</v>
      </c>
      <c r="H165">
        <v>33</v>
      </c>
      <c r="I165">
        <v>0</v>
      </c>
      <c r="J165">
        <v>0</v>
      </c>
      <c r="K165">
        <v>2163</v>
      </c>
      <c r="L165">
        <v>-391</v>
      </c>
      <c r="M165">
        <v>1082</v>
      </c>
      <c r="N165">
        <v>2153</v>
      </c>
      <c r="O165">
        <v>9336</v>
      </c>
      <c r="P165">
        <v>4608</v>
      </c>
      <c r="Q165">
        <v>8900</v>
      </c>
      <c r="R165">
        <v>30</v>
      </c>
      <c r="S165">
        <v>0</v>
      </c>
      <c r="T165">
        <v>2250</v>
      </c>
      <c r="U165">
        <v>830</v>
      </c>
      <c r="V165">
        <v>0</v>
      </c>
      <c r="W165">
        <v>23103</v>
      </c>
      <c r="X165">
        <v>1008</v>
      </c>
      <c r="Y165">
        <v>11435</v>
      </c>
      <c r="Z165">
        <v>1636686.3824738069</v>
      </c>
      <c r="AA165">
        <v>1402874.0421204057</v>
      </c>
      <c r="AB165">
        <v>18908</v>
      </c>
      <c r="AC165">
        <v>1552</v>
      </c>
      <c r="AD165" t="s">
        <v>312</v>
      </c>
      <c r="AE165" s="232">
        <f t="shared" si="21"/>
        <v>0</v>
      </c>
      <c r="AF165" s="232">
        <f t="shared" si="22"/>
        <v>0.28948621391161322</v>
      </c>
      <c r="AG165" s="232">
        <f t="shared" si="23"/>
        <v>1.3634592910011687E-2</v>
      </c>
      <c r="AH165" s="232">
        <f t="shared" si="24"/>
        <v>1.4283859239059863E-3</v>
      </c>
      <c r="AI165" s="232">
        <f t="shared" si="25"/>
        <v>0.29012249491408043</v>
      </c>
      <c r="AJ165" s="232">
        <f t="shared" si="26"/>
        <v>4.3630697312037399E-2</v>
      </c>
      <c r="AK165" s="232">
        <f t="shared" si="27"/>
        <v>6.0722591962966095E-2</v>
      </c>
      <c r="AL165" s="232">
        <f t="shared" si="28"/>
        <v>1.6794355711379473E-2</v>
      </c>
      <c r="AM165" s="232">
        <f t="shared" si="29"/>
        <v>0.53725822609231721</v>
      </c>
      <c r="AN165" s="232">
        <v>4.8500000000000001E-2</v>
      </c>
      <c r="AO165" s="232">
        <f t="shared" si="20"/>
        <v>0.24249999999999999</v>
      </c>
      <c r="AT165" t="s">
        <v>391</v>
      </c>
      <c r="AU165">
        <v>2762000</v>
      </c>
      <c r="AV165">
        <v>1643000</v>
      </c>
      <c r="AW165">
        <v>7641062.4951941576</v>
      </c>
      <c r="AX165">
        <v>3236062.4951941576</v>
      </c>
      <c r="AY165">
        <v>3236062.4951941576</v>
      </c>
      <c r="AZ165">
        <v>62098000</v>
      </c>
      <c r="BA165">
        <v>5.2112185500244095E-2</v>
      </c>
    </row>
    <row r="166" spans="1:53" x14ac:dyDescent="0.25">
      <c r="A166" t="s">
        <v>313</v>
      </c>
      <c r="B166">
        <v>150</v>
      </c>
      <c r="C166">
        <v>70662</v>
      </c>
      <c r="D166">
        <v>21</v>
      </c>
      <c r="E166">
        <v>4421</v>
      </c>
      <c r="F166">
        <v>152</v>
      </c>
      <c r="G166">
        <v>0</v>
      </c>
      <c r="H166">
        <v>33591</v>
      </c>
      <c r="I166">
        <v>-107</v>
      </c>
      <c r="J166">
        <v>0</v>
      </c>
      <c r="K166">
        <v>0</v>
      </c>
      <c r="L166">
        <v>48</v>
      </c>
      <c r="M166">
        <v>13801</v>
      </c>
      <c r="N166">
        <v>1460</v>
      </c>
      <c r="O166">
        <v>25186</v>
      </c>
      <c r="P166">
        <v>5994</v>
      </c>
      <c r="Q166">
        <v>72643</v>
      </c>
      <c r="R166">
        <v>0</v>
      </c>
      <c r="S166">
        <v>6255</v>
      </c>
      <c r="T166">
        <v>13089</v>
      </c>
      <c r="U166">
        <v>1032</v>
      </c>
      <c r="V166">
        <v>10</v>
      </c>
      <c r="W166">
        <v>59536</v>
      </c>
      <c r="X166">
        <v>49</v>
      </c>
      <c r="Y166">
        <v>27836</v>
      </c>
      <c r="Z166">
        <v>3282751.0220090207</v>
      </c>
      <c r="AA166">
        <v>2813786.5902934461</v>
      </c>
      <c r="AB166">
        <v>63216</v>
      </c>
      <c r="AC166">
        <v>7596</v>
      </c>
      <c r="AD166" t="s">
        <v>313</v>
      </c>
      <c r="AE166" s="232">
        <f t="shared" si="21"/>
        <v>5.0362724337555051E-2</v>
      </c>
      <c r="AF166" s="232">
        <f t="shared" si="22"/>
        <v>1.228450013437248</v>
      </c>
      <c r="AG166" s="232">
        <f t="shared" si="23"/>
        <v>7.6810669174952967E-2</v>
      </c>
      <c r="AH166" s="232">
        <f t="shared" si="24"/>
        <v>0.56241601719967749</v>
      </c>
      <c r="AI166" s="232">
        <f t="shared" si="25"/>
        <v>0.84397608169846827</v>
      </c>
      <c r="AJ166" s="232">
        <f t="shared" si="26"/>
        <v>8.2303144316044075E-4</v>
      </c>
      <c r="AK166" s="232">
        <f t="shared" si="27"/>
        <v>4.7261935472545119E-2</v>
      </c>
      <c r="AL166" s="232">
        <f t="shared" si="28"/>
        <v>3.1896667562483202E-2</v>
      </c>
      <c r="AM166" s="232">
        <f t="shared" si="29"/>
        <v>0.2510487201990354</v>
      </c>
      <c r="AN166" s="232">
        <v>2.8799999999999999E-2</v>
      </c>
      <c r="AO166" s="232">
        <f t="shared" si="20"/>
        <v>0.14399999999999999</v>
      </c>
      <c r="AT166" t="s">
        <v>270</v>
      </c>
      <c r="AU166">
        <v>3428000</v>
      </c>
      <c r="AV166">
        <v>1405000.0000000002</v>
      </c>
      <c r="AW166">
        <v>9377393.7137859743</v>
      </c>
      <c r="AX166">
        <v>4544393.7137859743</v>
      </c>
      <c r="AY166">
        <v>4544393.7137859743</v>
      </c>
      <c r="AZ166">
        <v>76020000</v>
      </c>
      <c r="BA166">
        <v>5.977892283328038E-2</v>
      </c>
    </row>
    <row r="167" spans="1:53" x14ac:dyDescent="0.25">
      <c r="A167" t="s">
        <v>355</v>
      </c>
      <c r="B167">
        <v>8820</v>
      </c>
      <c r="C167">
        <v>199650</v>
      </c>
      <c r="D167">
        <v>623</v>
      </c>
      <c r="E167">
        <v>4062</v>
      </c>
      <c r="F167">
        <v>370</v>
      </c>
      <c r="G167">
        <v>0</v>
      </c>
      <c r="H167">
        <v>174015</v>
      </c>
      <c r="I167">
        <v>0</v>
      </c>
      <c r="J167">
        <v>0</v>
      </c>
      <c r="K167">
        <v>0</v>
      </c>
      <c r="L167">
        <v>13984</v>
      </c>
      <c r="M167">
        <v>9138</v>
      </c>
      <c r="N167">
        <v>2406</v>
      </c>
      <c r="O167">
        <v>105327</v>
      </c>
      <c r="P167">
        <v>20496</v>
      </c>
      <c r="Q167">
        <v>257457</v>
      </c>
      <c r="R167">
        <v>22</v>
      </c>
      <c r="S167">
        <v>10000</v>
      </c>
      <c r="T167">
        <v>7550</v>
      </c>
      <c r="U167">
        <v>12216</v>
      </c>
      <c r="V167">
        <v>10</v>
      </c>
      <c r="W167">
        <v>142890</v>
      </c>
      <c r="X167">
        <v>13007</v>
      </c>
      <c r="Y167">
        <v>61155</v>
      </c>
      <c r="Z167">
        <v>5234045.359260343</v>
      </c>
      <c r="AA167">
        <v>4486324.5936517222</v>
      </c>
      <c r="AB167">
        <v>224099</v>
      </c>
      <c r="AC167">
        <v>-15629</v>
      </c>
      <c r="AD167" t="s">
        <v>355</v>
      </c>
      <c r="AE167" s="232">
        <f t="shared" si="21"/>
        <v>2.4209089060396836E-2</v>
      </c>
      <c r="AF167" s="232">
        <f t="shared" si="22"/>
        <v>1.8005808664007279</v>
      </c>
      <c r="AG167" s="232">
        <f t="shared" si="23"/>
        <v>3.1016866120792217E-2</v>
      </c>
      <c r="AH167" s="232">
        <f t="shared" si="24"/>
        <v>1.2178249002729373</v>
      </c>
      <c r="AI167" s="232">
        <f t="shared" si="25"/>
        <v>0.95182546014416691</v>
      </c>
      <c r="AJ167" s="232">
        <f t="shared" si="26"/>
        <v>9.1028063545384563E-2</v>
      </c>
      <c r="AK167" s="232">
        <f t="shared" si="27"/>
        <v>3.1397050833870267E-2</v>
      </c>
      <c r="AL167" s="232">
        <f t="shared" si="28"/>
        <v>-2.7344460774021976E-2</v>
      </c>
      <c r="AM167" s="232">
        <f t="shared" si="29"/>
        <v>0.3046060212846311</v>
      </c>
      <c r="AN167" s="232">
        <v>-2.07E-2</v>
      </c>
      <c r="AO167" s="232">
        <f t="shared" si="20"/>
        <v>-0.10349999999999999</v>
      </c>
      <c r="AT167" t="s">
        <v>351</v>
      </c>
      <c r="AU167">
        <v>3534000</v>
      </c>
      <c r="AV167">
        <v>1563000</v>
      </c>
      <c r="AW167">
        <v>8793266.8322295826</v>
      </c>
      <c r="AX167">
        <v>3696266.8322295826</v>
      </c>
      <c r="AY167">
        <v>3696266.8322295826</v>
      </c>
      <c r="AZ167">
        <v>55097000</v>
      </c>
      <c r="BA167">
        <v>6.7086535242020115E-2</v>
      </c>
    </row>
    <row r="168" spans="1:53" x14ac:dyDescent="0.25">
      <c r="A168" t="s">
        <v>314</v>
      </c>
      <c r="B168">
        <v>8</v>
      </c>
      <c r="C168">
        <v>23097</v>
      </c>
      <c r="D168">
        <v>0</v>
      </c>
      <c r="E168">
        <v>0</v>
      </c>
      <c r="F168">
        <v>7416</v>
      </c>
      <c r="G168">
        <v>0</v>
      </c>
      <c r="H168">
        <v>-60</v>
      </c>
      <c r="I168">
        <v>0</v>
      </c>
      <c r="J168">
        <v>0</v>
      </c>
      <c r="K168">
        <v>0</v>
      </c>
      <c r="L168">
        <v>-927</v>
      </c>
      <c r="M168">
        <v>4515</v>
      </c>
      <c r="N168">
        <v>2876</v>
      </c>
      <c r="O168">
        <v>9205</v>
      </c>
      <c r="P168">
        <v>2421</v>
      </c>
      <c r="Q168">
        <v>19340</v>
      </c>
      <c r="R168">
        <v>0</v>
      </c>
      <c r="S168">
        <v>0</v>
      </c>
      <c r="T168">
        <v>1362</v>
      </c>
      <c r="U168">
        <v>4597</v>
      </c>
      <c r="V168">
        <v>0</v>
      </c>
      <c r="W168">
        <v>25457</v>
      </c>
      <c r="X168">
        <v>-699</v>
      </c>
      <c r="Y168">
        <v>11146</v>
      </c>
      <c r="Z168">
        <v>3336883.590251267</v>
      </c>
      <c r="AA168">
        <v>2860185.9345010859</v>
      </c>
      <c r="AB168">
        <v>23747</v>
      </c>
      <c r="AC168">
        <v>-642</v>
      </c>
      <c r="AD168" t="s">
        <v>314</v>
      </c>
      <c r="AE168" s="232">
        <f t="shared" si="21"/>
        <v>0</v>
      </c>
      <c r="AF168" s="232">
        <f t="shared" si="22"/>
        <v>0.4485603173979652</v>
      </c>
      <c r="AG168" s="232">
        <f t="shared" si="23"/>
        <v>0.29131476607612838</v>
      </c>
      <c r="AH168" s="232">
        <f t="shared" si="24"/>
        <v>-2.3569155831401974E-3</v>
      </c>
      <c r="AI168" s="232">
        <f t="shared" si="25"/>
        <v>0.48516793023529875</v>
      </c>
      <c r="AJ168" s="232">
        <f t="shared" si="26"/>
        <v>-2.7458066543583296E-2</v>
      </c>
      <c r="AK168" s="232">
        <f t="shared" si="27"/>
        <v>0.11235361332840028</v>
      </c>
      <c r="AL168" s="232">
        <f t="shared" si="28"/>
        <v>-6.3047491849000277E-3</v>
      </c>
      <c r="AM168" s="232">
        <f t="shared" si="29"/>
        <v>0.31485443466486118</v>
      </c>
      <c r="AN168" s="232">
        <v>2.9899999999999999E-2</v>
      </c>
      <c r="AO168" s="232">
        <f t="shared" si="20"/>
        <v>0.14949999999999999</v>
      </c>
      <c r="AT168" t="s">
        <v>195</v>
      </c>
      <c r="AU168">
        <v>5529000</v>
      </c>
      <c r="AV168">
        <v>3110000.0000000005</v>
      </c>
      <c r="AW168">
        <v>14081523.083665751</v>
      </c>
      <c r="AX168">
        <v>5442523.0836657509</v>
      </c>
      <c r="AY168">
        <v>5442523.0836657509</v>
      </c>
      <c r="AZ168">
        <v>164541000</v>
      </c>
      <c r="BA168">
        <v>3.3077002593066472E-2</v>
      </c>
    </row>
    <row r="169" spans="1:53" x14ac:dyDescent="0.25">
      <c r="A169" t="s">
        <v>173</v>
      </c>
      <c r="B169">
        <v>31363</v>
      </c>
      <c r="C169">
        <v>418380</v>
      </c>
      <c r="D169">
        <v>3596</v>
      </c>
      <c r="E169">
        <v>6149</v>
      </c>
      <c r="F169">
        <v>174</v>
      </c>
      <c r="G169">
        <v>0</v>
      </c>
      <c r="H169">
        <v>135155</v>
      </c>
      <c r="I169">
        <v>0</v>
      </c>
      <c r="J169">
        <v>0</v>
      </c>
      <c r="K169">
        <v>0</v>
      </c>
      <c r="L169">
        <v>602</v>
      </c>
      <c r="M169">
        <v>71555</v>
      </c>
      <c r="N169">
        <v>53770</v>
      </c>
      <c r="O169">
        <v>50364</v>
      </c>
      <c r="P169">
        <v>58328</v>
      </c>
      <c r="Q169">
        <v>463916</v>
      </c>
      <c r="R169">
        <v>17</v>
      </c>
      <c r="S169">
        <v>73411</v>
      </c>
      <c r="T169">
        <v>20328</v>
      </c>
      <c r="U169">
        <v>54380</v>
      </c>
      <c r="V169">
        <v>-1</v>
      </c>
      <c r="W169">
        <v>627557</v>
      </c>
      <c r="X169">
        <v>-17083</v>
      </c>
      <c r="Y169">
        <v>122481</v>
      </c>
      <c r="Z169">
        <v>-2479885.3324577902</v>
      </c>
      <c r="AA169">
        <v>-2125615.9992495347</v>
      </c>
      <c r="AB169" s="154">
        <v>344966.09264345124</v>
      </c>
      <c r="AC169" s="154">
        <v>104776.90735654876</v>
      </c>
      <c r="AD169" t="s">
        <v>173</v>
      </c>
      <c r="AE169" s="232">
        <f t="shared" si="21"/>
        <v>0.101854472600535</v>
      </c>
      <c r="AF169" s="232">
        <f t="shared" si="22"/>
        <v>0.76455525155483883</v>
      </c>
      <c r="AG169" s="232">
        <f t="shared" si="23"/>
        <v>1.0075578792045981E-2</v>
      </c>
      <c r="AH169" s="232">
        <f t="shared" si="24"/>
        <v>0.21536689097564046</v>
      </c>
      <c r="AI169" s="232">
        <f t="shared" si="25"/>
        <v>0.61500749732693605</v>
      </c>
      <c r="AJ169" s="232">
        <f t="shared" si="26"/>
        <v>-2.7221431678716036E-2</v>
      </c>
      <c r="AK169" s="232">
        <f t="shared" si="27"/>
        <v>-3.3871281799892831E-3</v>
      </c>
      <c r="AL169" s="232">
        <f t="shared" si="28"/>
        <v>4.1739996269880168E-2</v>
      </c>
      <c r="AM169" s="232">
        <f t="shared" si="29"/>
        <v>0.15080527898948864</v>
      </c>
      <c r="AN169" s="232">
        <v>3.5099999999999999E-2</v>
      </c>
      <c r="AO169" s="232">
        <f t="shared" si="20"/>
        <v>0.17549999999999999</v>
      </c>
      <c r="AT169" t="s">
        <v>392</v>
      </c>
      <c r="AU169">
        <v>1321000.0000000002</v>
      </c>
      <c r="AV169">
        <v>1056000</v>
      </c>
      <c r="AW169">
        <v>3775576.810068192</v>
      </c>
      <c r="AX169">
        <v>1398576.810068192</v>
      </c>
      <c r="AY169">
        <v>1398576.810068192</v>
      </c>
      <c r="AZ169">
        <v>31610000</v>
      </c>
      <c r="BA169">
        <v>4.4244758306491362E-2</v>
      </c>
    </row>
    <row r="170" spans="1:53" x14ac:dyDescent="0.25">
      <c r="A170" t="s">
        <v>357</v>
      </c>
      <c r="B170">
        <v>1936</v>
      </c>
      <c r="C170">
        <v>682319</v>
      </c>
      <c r="D170">
        <v>10039</v>
      </c>
      <c r="E170">
        <v>1308</v>
      </c>
      <c r="F170">
        <v>6418</v>
      </c>
      <c r="G170">
        <v>0</v>
      </c>
      <c r="H170">
        <v>15779</v>
      </c>
      <c r="I170">
        <v>30</v>
      </c>
      <c r="J170">
        <v>0</v>
      </c>
      <c r="K170">
        <v>0</v>
      </c>
      <c r="L170">
        <v>1794</v>
      </c>
      <c r="M170">
        <v>63673</v>
      </c>
      <c r="N170">
        <v>10049</v>
      </c>
      <c r="O170">
        <v>342749</v>
      </c>
      <c r="P170">
        <v>42870</v>
      </c>
      <c r="Q170">
        <v>278080</v>
      </c>
      <c r="R170">
        <v>269</v>
      </c>
      <c r="S170">
        <v>57420</v>
      </c>
      <c r="T170">
        <v>50115</v>
      </c>
      <c r="U170">
        <v>21842</v>
      </c>
      <c r="V170">
        <v>0</v>
      </c>
      <c r="W170">
        <v>471114</v>
      </c>
      <c r="X170">
        <v>-38569</v>
      </c>
      <c r="Y170">
        <v>124306</v>
      </c>
      <c r="Z170">
        <v>-5792744.9772187769</v>
      </c>
      <c r="AA170">
        <v>-4965209.9804732371</v>
      </c>
      <c r="AB170">
        <v>632868</v>
      </c>
      <c r="AC170">
        <v>51387</v>
      </c>
      <c r="AD170" t="s">
        <v>357</v>
      </c>
      <c r="AE170" s="232">
        <f t="shared" si="21"/>
        <v>7.2377086891579331E-2</v>
      </c>
      <c r="AF170" s="232">
        <f t="shared" si="22"/>
        <v>0.68875898402509794</v>
      </c>
      <c r="AG170" s="232">
        <f t="shared" si="23"/>
        <v>1.6399427739358201E-2</v>
      </c>
      <c r="AH170" s="232">
        <f t="shared" si="24"/>
        <v>3.3556633850830159E-2</v>
      </c>
      <c r="AI170" s="232">
        <f t="shared" si="25"/>
        <v>0.66723727165823976</v>
      </c>
      <c r="AJ170" s="232">
        <f t="shared" si="26"/>
        <v>-8.1867658358698747E-2</v>
      </c>
      <c r="AK170" s="232">
        <f t="shared" si="27"/>
        <v>-1.0539296179848693E-2</v>
      </c>
      <c r="AL170" s="232">
        <f t="shared" si="28"/>
        <v>2.7268877596505304E-2</v>
      </c>
      <c r="AM170" s="232">
        <f t="shared" si="29"/>
        <v>0.48606722170052119</v>
      </c>
      <c r="AN170" s="232">
        <v>4.2500000000000003E-2</v>
      </c>
      <c r="AO170" s="232">
        <f t="shared" si="20"/>
        <v>0.21250000000000002</v>
      </c>
      <c r="AT170" t="s">
        <v>352</v>
      </c>
      <c r="AU170">
        <v>6131000</v>
      </c>
      <c r="AV170">
        <v>4006000</v>
      </c>
      <c r="AW170">
        <v>19532816.66891953</v>
      </c>
      <c r="AX170">
        <v>9395816.6689195298</v>
      </c>
      <c r="AY170">
        <v>9395816.6689195298</v>
      </c>
      <c r="AZ170">
        <v>160825000</v>
      </c>
      <c r="BA170">
        <v>5.842261258460768E-2</v>
      </c>
    </row>
    <row r="171" spans="1:53" x14ac:dyDescent="0.25">
      <c r="A171" t="s">
        <v>358</v>
      </c>
      <c r="B171">
        <v>506</v>
      </c>
      <c r="C171">
        <v>75360</v>
      </c>
      <c r="D171">
        <v>2137</v>
      </c>
      <c r="E171">
        <v>0</v>
      </c>
      <c r="F171">
        <v>354</v>
      </c>
      <c r="G171">
        <v>0</v>
      </c>
      <c r="H171">
        <v>-6117</v>
      </c>
      <c r="I171">
        <v>0</v>
      </c>
      <c r="J171">
        <v>0</v>
      </c>
      <c r="K171">
        <v>0</v>
      </c>
      <c r="L171">
        <v>1</v>
      </c>
      <c r="M171">
        <v>6556</v>
      </c>
      <c r="N171">
        <v>0</v>
      </c>
      <c r="O171">
        <v>41649</v>
      </c>
      <c r="P171">
        <v>12943</v>
      </c>
      <c r="Q171">
        <v>15241</v>
      </c>
      <c r="R171">
        <v>14</v>
      </c>
      <c r="S171">
        <v>1175</v>
      </c>
      <c r="T171">
        <v>5341</v>
      </c>
      <c r="U171">
        <v>2434</v>
      </c>
      <c r="V171">
        <v>-3</v>
      </c>
      <c r="W171">
        <v>63175</v>
      </c>
      <c r="X171">
        <v>9122</v>
      </c>
      <c r="Y171">
        <v>27197</v>
      </c>
      <c r="Z171">
        <v>1129844.55979269</v>
      </c>
      <c r="AA171">
        <v>968438.19410801993</v>
      </c>
      <c r="AB171">
        <v>71859</v>
      </c>
      <c r="AC171">
        <v>4007</v>
      </c>
      <c r="AD171" t="s">
        <v>358</v>
      </c>
      <c r="AE171" s="232">
        <f t="shared" si="21"/>
        <v>1.4911735218345877E-2</v>
      </c>
      <c r="AF171" s="232">
        <f t="shared" si="22"/>
        <v>0.27374752671151564</v>
      </c>
      <c r="AG171" s="232">
        <f t="shared" si="23"/>
        <v>5.6034823901859911E-3</v>
      </c>
      <c r="AH171" s="232">
        <f t="shared" si="24"/>
        <v>-9.6826276216857937E-2</v>
      </c>
      <c r="AI171" s="232">
        <f t="shared" si="25"/>
        <v>0.34219833795013854</v>
      </c>
      <c r="AJ171" s="232">
        <f t="shared" si="26"/>
        <v>0.14439256034823902</v>
      </c>
      <c r="AK171" s="232">
        <f t="shared" si="27"/>
        <v>1.5329453013185911E-2</v>
      </c>
      <c r="AL171" s="232">
        <f t="shared" si="28"/>
        <v>1.5856747130985359E-2</v>
      </c>
      <c r="AM171" s="232">
        <f t="shared" si="29"/>
        <v>0.6928182545020749</v>
      </c>
      <c r="AN171" s="232">
        <v>1.6999999999999999E-3</v>
      </c>
      <c r="AO171" s="232">
        <f t="shared" si="20"/>
        <v>8.4999999999999989E-3</v>
      </c>
      <c r="AT171" t="s">
        <v>471</v>
      </c>
      <c r="AU171">
        <v>6043999.9999999991</v>
      </c>
      <c r="AV171">
        <v>11786000</v>
      </c>
      <c r="AW171">
        <v>15440650.657109268</v>
      </c>
      <c r="AX171">
        <v>-2389349.342890732</v>
      </c>
      <c r="AY171">
        <v>0</v>
      </c>
      <c r="AZ171">
        <v>161490000</v>
      </c>
      <c r="BA171">
        <v>-1.4795648912568779E-2</v>
      </c>
    </row>
    <row r="172" spans="1:53" x14ac:dyDescent="0.25">
      <c r="A172" t="s">
        <v>359</v>
      </c>
      <c r="B172">
        <v>1682</v>
      </c>
      <c r="C172">
        <v>190181</v>
      </c>
      <c r="D172">
        <v>5691</v>
      </c>
      <c r="E172">
        <v>0</v>
      </c>
      <c r="F172">
        <v>37</v>
      </c>
      <c r="G172">
        <v>0</v>
      </c>
      <c r="H172">
        <v>40239</v>
      </c>
      <c r="I172">
        <v>0</v>
      </c>
      <c r="J172">
        <v>0</v>
      </c>
      <c r="K172">
        <v>0</v>
      </c>
      <c r="L172">
        <v>-6617</v>
      </c>
      <c r="M172">
        <v>21461</v>
      </c>
      <c r="N172">
        <v>14662</v>
      </c>
      <c r="O172">
        <v>104959</v>
      </c>
      <c r="P172">
        <v>19613</v>
      </c>
      <c r="Q172">
        <v>111429</v>
      </c>
      <c r="R172">
        <v>0</v>
      </c>
      <c r="S172">
        <v>0</v>
      </c>
      <c r="T172">
        <v>10333</v>
      </c>
      <c r="U172">
        <v>21002</v>
      </c>
      <c r="V172">
        <v>-1</v>
      </c>
      <c r="W172">
        <v>184169</v>
      </c>
      <c r="X172">
        <v>-14205</v>
      </c>
      <c r="Y172">
        <v>74947</v>
      </c>
      <c r="Z172">
        <v>13168310.022381503</v>
      </c>
      <c r="AA172">
        <v>11287122.876327002</v>
      </c>
      <c r="AB172">
        <v>136214</v>
      </c>
      <c r="AC172">
        <v>55649</v>
      </c>
      <c r="AD172" t="s">
        <v>359</v>
      </c>
      <c r="AE172" s="232">
        <f t="shared" si="21"/>
        <v>0</v>
      </c>
      <c r="AF172" s="232">
        <f t="shared" si="22"/>
        <v>0.61476687173194189</v>
      </c>
      <c r="AG172" s="232">
        <f t="shared" si="23"/>
        <v>2.0090243200538636E-4</v>
      </c>
      <c r="AH172" s="232">
        <f t="shared" si="24"/>
        <v>0.21848953949904706</v>
      </c>
      <c r="AI172" s="232">
        <f t="shared" si="25"/>
        <v>0.46184830237444957</v>
      </c>
      <c r="AJ172" s="232">
        <f t="shared" si="26"/>
        <v>-7.7130244503689549E-2</v>
      </c>
      <c r="AK172" s="232">
        <f t="shared" si="27"/>
        <v>6.1286768545884503E-2</v>
      </c>
      <c r="AL172" s="232">
        <f t="shared" si="28"/>
        <v>7.5540671882890167E-2</v>
      </c>
      <c r="AM172" s="232">
        <f t="shared" si="29"/>
        <v>0.46597540174162849</v>
      </c>
      <c r="AN172" s="232">
        <v>4.4299999999999999E-2</v>
      </c>
      <c r="AO172" s="232">
        <f t="shared" si="20"/>
        <v>0.2215</v>
      </c>
      <c r="AT172" t="s">
        <v>311</v>
      </c>
      <c r="AU172">
        <v>1922000</v>
      </c>
      <c r="AV172">
        <v>1097000</v>
      </c>
      <c r="AW172">
        <v>6619871.1129973326</v>
      </c>
      <c r="AX172">
        <v>3600871.1129973326</v>
      </c>
      <c r="AY172">
        <v>3600871.1129973326</v>
      </c>
      <c r="AZ172">
        <v>44019000</v>
      </c>
      <c r="BA172">
        <v>8.1802655966681043E-2</v>
      </c>
    </row>
    <row r="173" spans="1:53" x14ac:dyDescent="0.25">
      <c r="A173" s="116" t="s">
        <v>496</v>
      </c>
      <c r="B173">
        <v>97</v>
      </c>
      <c r="C173">
        <v>233454</v>
      </c>
      <c r="D173">
        <v>12941</v>
      </c>
      <c r="E173">
        <v>0</v>
      </c>
      <c r="F173">
        <v>16795</v>
      </c>
      <c r="G173">
        <v>0</v>
      </c>
      <c r="H173">
        <v>93413</v>
      </c>
      <c r="I173">
        <v>0</v>
      </c>
      <c r="J173">
        <v>0</v>
      </c>
      <c r="K173">
        <v>0</v>
      </c>
      <c r="L173">
        <v>7</v>
      </c>
      <c r="M173">
        <v>24685</v>
      </c>
      <c r="N173">
        <v>6729</v>
      </c>
      <c r="O173">
        <v>92708</v>
      </c>
      <c r="P173">
        <v>94760</v>
      </c>
      <c r="Q173">
        <v>151580</v>
      </c>
      <c r="R173">
        <v>1773</v>
      </c>
      <c r="S173">
        <v>28518</v>
      </c>
      <c r="T173">
        <v>8141</v>
      </c>
      <c r="U173">
        <v>10641</v>
      </c>
      <c r="V173">
        <v>1</v>
      </c>
      <c r="W173">
        <v>272156</v>
      </c>
      <c r="X173">
        <v>1252</v>
      </c>
      <c r="Y173">
        <v>77389</v>
      </c>
      <c r="Z173">
        <v>-2959167.4924098477</v>
      </c>
      <c r="AA173">
        <v>-2536429.2792084408</v>
      </c>
      <c r="AB173">
        <v>248454</v>
      </c>
      <c r="AC173">
        <v>-14903</v>
      </c>
      <c r="AD173" t="s">
        <v>496</v>
      </c>
      <c r="AE173" s="232">
        <f t="shared" si="21"/>
        <v>7.3477085754184907E-2</v>
      </c>
      <c r="AF173" s="232">
        <f t="shared" si="22"/>
        <v>0.56010890812622172</v>
      </c>
      <c r="AG173" s="232">
        <f t="shared" si="23"/>
        <v>6.1710930495745088E-2</v>
      </c>
      <c r="AH173" s="232">
        <f t="shared" si="24"/>
        <v>0.34323329267038022</v>
      </c>
      <c r="AI173" s="232">
        <f t="shared" si="25"/>
        <v>0.32725091491644498</v>
      </c>
      <c r="AJ173" s="232">
        <f t="shared" si="26"/>
        <v>4.600302767530387E-3</v>
      </c>
      <c r="AK173" s="232">
        <f t="shared" si="27"/>
        <v>-9.3197624862521519E-3</v>
      </c>
      <c r="AL173" s="232">
        <f t="shared" si="28"/>
        <v>-1.3689758814797396E-2</v>
      </c>
      <c r="AM173" s="232">
        <f t="shared" si="29"/>
        <v>0.48301431769989256</v>
      </c>
      <c r="AN173" s="232">
        <v>2.8299999999999999E-2</v>
      </c>
      <c r="AO173" s="232">
        <f t="shared" si="20"/>
        <v>0.14149999999999999</v>
      </c>
      <c r="AT173" t="s">
        <v>500</v>
      </c>
      <c r="AU173">
        <v>1236000</v>
      </c>
      <c r="AV173">
        <v>924000.00000000012</v>
      </c>
      <c r="AW173">
        <v>2959969.6245309007</v>
      </c>
      <c r="AX173">
        <v>799969.62453090062</v>
      </c>
      <c r="AY173">
        <v>799969.62453090062</v>
      </c>
      <c r="AZ173">
        <v>35067000</v>
      </c>
      <c r="BA173">
        <v>2.2812605142467295E-2</v>
      </c>
    </row>
    <row r="174" spans="1:53" x14ac:dyDescent="0.25">
      <c r="A174" t="s">
        <v>473</v>
      </c>
      <c r="B174">
        <v>26933</v>
      </c>
      <c r="C174">
        <v>95140</v>
      </c>
      <c r="D174">
        <v>3147</v>
      </c>
      <c r="E174">
        <v>2112</v>
      </c>
      <c r="F174">
        <v>1348</v>
      </c>
      <c r="G174">
        <v>0</v>
      </c>
      <c r="H174">
        <v>6277</v>
      </c>
      <c r="I174">
        <v>0</v>
      </c>
      <c r="J174">
        <v>0</v>
      </c>
      <c r="K174">
        <v>3602</v>
      </c>
      <c r="L174">
        <v>528</v>
      </c>
      <c r="M174">
        <v>8207</v>
      </c>
      <c r="N174">
        <v>2599</v>
      </c>
      <c r="O174">
        <v>71007</v>
      </c>
      <c r="P174">
        <v>4250</v>
      </c>
      <c r="Q174">
        <v>61856</v>
      </c>
      <c r="R174">
        <v>0</v>
      </c>
      <c r="S174">
        <v>0</v>
      </c>
      <c r="T174">
        <v>9137</v>
      </c>
      <c r="U174">
        <v>3643</v>
      </c>
      <c r="V174">
        <v>3</v>
      </c>
      <c r="W174">
        <v>73483</v>
      </c>
      <c r="X174">
        <v>-3439</v>
      </c>
      <c r="Y174">
        <v>35857</v>
      </c>
      <c r="Z174">
        <v>4960677.9557433855</v>
      </c>
      <c r="AA174">
        <v>4252009.6763514727</v>
      </c>
      <c r="AB174">
        <v>97159</v>
      </c>
      <c r="AC174">
        <v>24914</v>
      </c>
      <c r="AD174" t="s">
        <v>473</v>
      </c>
      <c r="AE174" s="232">
        <f t="shared" si="21"/>
        <v>0</v>
      </c>
      <c r="AF174" s="232">
        <f t="shared" si="22"/>
        <v>0.76534708708136578</v>
      </c>
      <c r="AG174" s="232">
        <f t="shared" si="23"/>
        <v>4.7085720506783883E-2</v>
      </c>
      <c r="AH174" s="232">
        <f t="shared" si="24"/>
        <v>8.5421117809561395E-2</v>
      </c>
      <c r="AI174" s="232">
        <f t="shared" si="25"/>
        <v>0.71120259107548689</v>
      </c>
      <c r="AJ174" s="232">
        <f t="shared" si="26"/>
        <v>-4.6799940122205133E-2</v>
      </c>
      <c r="AK174" s="232">
        <f t="shared" si="27"/>
        <v>5.7863855263822553E-2</v>
      </c>
      <c r="AL174" s="232">
        <f t="shared" si="28"/>
        <v>8.4761101207081913E-2</v>
      </c>
      <c r="AM174" s="232">
        <f t="shared" si="29"/>
        <v>0.50207147765405991</v>
      </c>
      <c r="AN174" s="232">
        <v>4.3900000000000002E-2</v>
      </c>
      <c r="AO174" s="232">
        <f t="shared" si="20"/>
        <v>0.2195</v>
      </c>
      <c r="AT174" t="s">
        <v>353</v>
      </c>
      <c r="AU174">
        <v>1343000</v>
      </c>
      <c r="AV174">
        <v>531000.00000000012</v>
      </c>
      <c r="AW174">
        <v>2844443.5987646664</v>
      </c>
      <c r="AX174">
        <v>970443.59876466624</v>
      </c>
      <c r="AY174">
        <v>970443.59876466624</v>
      </c>
      <c r="AZ174">
        <v>21277000</v>
      </c>
      <c r="BA174">
        <v>4.560998255227082E-2</v>
      </c>
    </row>
    <row r="175" spans="1:53" x14ac:dyDescent="0.25">
      <c r="A175" t="s">
        <v>271</v>
      </c>
      <c r="B175">
        <v>289</v>
      </c>
      <c r="C175">
        <v>48172</v>
      </c>
      <c r="D175">
        <v>31</v>
      </c>
      <c r="E175">
        <v>89</v>
      </c>
      <c r="F175">
        <v>1290</v>
      </c>
      <c r="G175">
        <v>0</v>
      </c>
      <c r="H175">
        <v>8089</v>
      </c>
      <c r="I175">
        <v>3</v>
      </c>
      <c r="J175">
        <v>0</v>
      </c>
      <c r="K175">
        <v>12408</v>
      </c>
      <c r="L175">
        <v>396</v>
      </c>
      <c r="M175">
        <v>6796</v>
      </c>
      <c r="N175">
        <v>3549</v>
      </c>
      <c r="O175">
        <v>40846</v>
      </c>
      <c r="P175">
        <v>21005</v>
      </c>
      <c r="Q175">
        <v>5520</v>
      </c>
      <c r="R175">
        <v>16</v>
      </c>
      <c r="S175">
        <v>0</v>
      </c>
      <c r="T175">
        <v>6191</v>
      </c>
      <c r="U175">
        <v>7534</v>
      </c>
      <c r="V175">
        <v>2</v>
      </c>
      <c r="W175">
        <v>71123</v>
      </c>
      <c r="X175">
        <v>8602</v>
      </c>
      <c r="Y175">
        <v>29755</v>
      </c>
      <c r="Z175">
        <v>3650405.512993047</v>
      </c>
      <c r="AA175">
        <v>3128919.0111368974</v>
      </c>
      <c r="AB175">
        <v>17624</v>
      </c>
      <c r="AC175">
        <v>30837</v>
      </c>
      <c r="AD175" t="s">
        <v>271</v>
      </c>
      <c r="AE175" s="232">
        <f t="shared" si="21"/>
        <v>0</v>
      </c>
      <c r="AF175" s="232">
        <f t="shared" si="22"/>
        <v>-7.4054806462044626E-2</v>
      </c>
      <c r="AG175" s="232">
        <f t="shared" si="23"/>
        <v>1.9388945910605571E-2</v>
      </c>
      <c r="AH175" s="232">
        <f t="shared" si="24"/>
        <v>0.11377472828761441</v>
      </c>
      <c r="AI175" s="232">
        <f t="shared" si="25"/>
        <v>-0.15137044275410205</v>
      </c>
      <c r="AJ175" s="232">
        <f t="shared" si="26"/>
        <v>0.12094540444019515</v>
      </c>
      <c r="AK175" s="232">
        <f t="shared" si="27"/>
        <v>4.3993068502972278E-2</v>
      </c>
      <c r="AL175" s="232">
        <f t="shared" si="28"/>
        <v>0.10839320613584916</v>
      </c>
      <c r="AM175" s="232">
        <f t="shared" si="29"/>
        <v>0.76253821875924643</v>
      </c>
      <c r="AN175" s="232">
        <v>2.4E-2</v>
      </c>
      <c r="AO175" s="232">
        <f t="shared" si="20"/>
        <v>0.12</v>
      </c>
      <c r="AT175" t="s">
        <v>354</v>
      </c>
      <c r="AU175">
        <v>3639000</v>
      </c>
      <c r="AV175">
        <v>2319000.0000000005</v>
      </c>
      <c r="AW175">
        <v>8112600.4076829329</v>
      </c>
      <c r="AX175">
        <v>2154600.4076829324</v>
      </c>
      <c r="AY175">
        <v>2154600.4076829324</v>
      </c>
      <c r="AZ175">
        <v>67884000</v>
      </c>
      <c r="BA175">
        <v>3.1739443870174598E-2</v>
      </c>
    </row>
    <row r="176" spans="1:53" x14ac:dyDescent="0.25">
      <c r="A176" t="s">
        <v>233</v>
      </c>
      <c r="B176">
        <v>375</v>
      </c>
      <c r="C176">
        <v>96871</v>
      </c>
      <c r="D176">
        <v>49</v>
      </c>
      <c r="E176">
        <v>1790</v>
      </c>
      <c r="F176">
        <v>6783</v>
      </c>
      <c r="G176">
        <v>0</v>
      </c>
      <c r="H176">
        <v>14662</v>
      </c>
      <c r="I176">
        <v>0</v>
      </c>
      <c r="J176">
        <v>0</v>
      </c>
      <c r="K176">
        <v>6955</v>
      </c>
      <c r="L176">
        <v>1031</v>
      </c>
      <c r="M176">
        <v>17311</v>
      </c>
      <c r="N176">
        <v>10223</v>
      </c>
      <c r="O176">
        <v>47562</v>
      </c>
      <c r="P176">
        <v>13951</v>
      </c>
      <c r="Q176">
        <v>60697</v>
      </c>
      <c r="R176">
        <v>0</v>
      </c>
      <c r="S176">
        <v>20781</v>
      </c>
      <c r="T176">
        <v>2233</v>
      </c>
      <c r="U176">
        <v>10826</v>
      </c>
      <c r="V176">
        <v>-3</v>
      </c>
      <c r="W176">
        <v>121515</v>
      </c>
      <c r="X176">
        <v>2563</v>
      </c>
      <c r="Y176">
        <v>46372</v>
      </c>
      <c r="Z176">
        <v>1133901.1024844609</v>
      </c>
      <c r="AA176">
        <v>971915.23070096655</v>
      </c>
      <c r="AB176">
        <v>107018</v>
      </c>
      <c r="AC176">
        <v>-9772</v>
      </c>
      <c r="AD176" t="s">
        <v>233</v>
      </c>
      <c r="AE176" s="232">
        <f t="shared" si="21"/>
        <v>0.13316885613585389</v>
      </c>
      <c r="AF176" s="232">
        <f t="shared" si="22"/>
        <v>0.41512570464551701</v>
      </c>
      <c r="AG176" s="232">
        <f t="shared" si="23"/>
        <v>7.0550960786734146E-2</v>
      </c>
      <c r="AH176" s="232">
        <f t="shared" si="24"/>
        <v>0.12066000082294367</v>
      </c>
      <c r="AI176" s="232">
        <f t="shared" si="25"/>
        <v>0.33912981936386455</v>
      </c>
      <c r="AJ176" s="232">
        <f t="shared" si="26"/>
        <v>2.1092046249434226E-2</v>
      </c>
      <c r="AK176" s="232">
        <f t="shared" si="27"/>
        <v>7.9983148640165123E-3</v>
      </c>
      <c r="AL176" s="232">
        <f t="shared" si="28"/>
        <v>-2.0104513846027239E-2</v>
      </c>
      <c r="AM176" s="232">
        <f t="shared" si="29"/>
        <v>0.39418776033322656</v>
      </c>
      <c r="AN176" s="232">
        <v>3.0700000000000002E-2</v>
      </c>
      <c r="AO176" s="232">
        <f t="shared" si="20"/>
        <v>0.1535</v>
      </c>
      <c r="AT176" t="s">
        <v>549</v>
      </c>
      <c r="AU176">
        <v>6986000</v>
      </c>
      <c r="AV176">
        <v>4691000</v>
      </c>
      <c r="AW176">
        <v>17014742.103065576</v>
      </c>
      <c r="AX176">
        <v>5337742.1030655764</v>
      </c>
      <c r="AY176">
        <v>5337742.1030655764</v>
      </c>
      <c r="AZ176">
        <v>143122000</v>
      </c>
      <c r="BA176">
        <v>3.7295049699316504E-2</v>
      </c>
    </row>
    <row r="177" spans="1:53" x14ac:dyDescent="0.25">
      <c r="A177" t="s">
        <v>360</v>
      </c>
      <c r="B177">
        <v>279</v>
      </c>
      <c r="C177">
        <v>88997</v>
      </c>
      <c r="D177">
        <v>0</v>
      </c>
      <c r="E177">
        <v>2138</v>
      </c>
      <c r="F177">
        <v>6997</v>
      </c>
      <c r="G177">
        <v>0</v>
      </c>
      <c r="H177">
        <v>0</v>
      </c>
      <c r="I177">
        <v>0</v>
      </c>
      <c r="J177">
        <v>0</v>
      </c>
      <c r="K177">
        <v>0</v>
      </c>
      <c r="L177">
        <v>2788</v>
      </c>
      <c r="M177">
        <v>7351</v>
      </c>
      <c r="N177">
        <v>2215</v>
      </c>
      <c r="O177">
        <v>29520</v>
      </c>
      <c r="P177">
        <v>4187</v>
      </c>
      <c r="Q177">
        <v>68581</v>
      </c>
      <c r="R177">
        <v>1</v>
      </c>
      <c r="S177">
        <v>0</v>
      </c>
      <c r="T177">
        <v>4143</v>
      </c>
      <c r="U177">
        <v>4333</v>
      </c>
      <c r="V177">
        <v>1</v>
      </c>
      <c r="W177">
        <v>50974</v>
      </c>
      <c r="X177">
        <v>-2227</v>
      </c>
      <c r="Y177">
        <v>22746</v>
      </c>
      <c r="Z177">
        <v>3855528.6532951295</v>
      </c>
      <c r="AA177">
        <v>3304738.8456815397</v>
      </c>
      <c r="AB177">
        <v>70484</v>
      </c>
      <c r="AC177">
        <v>18792</v>
      </c>
      <c r="AD177" t="s">
        <v>360</v>
      </c>
      <c r="AE177" s="232">
        <f t="shared" si="21"/>
        <v>0</v>
      </c>
      <c r="AF177" s="232">
        <f t="shared" si="22"/>
        <v>1.0901439949778318</v>
      </c>
      <c r="AG177" s="232">
        <f t="shared" si="23"/>
        <v>0.17920900851414445</v>
      </c>
      <c r="AH177" s="232">
        <f t="shared" si="24"/>
        <v>0</v>
      </c>
      <c r="AI177" s="232">
        <f t="shared" si="25"/>
        <v>1.111649075999529</v>
      </c>
      <c r="AJ177" s="232">
        <f t="shared" si="26"/>
        <v>-4.3688939459332207E-2</v>
      </c>
      <c r="AK177" s="232">
        <f t="shared" si="27"/>
        <v>6.483185242832698E-2</v>
      </c>
      <c r="AL177" s="232">
        <f t="shared" si="28"/>
        <v>9.2164632950131442E-2</v>
      </c>
      <c r="AM177" s="232">
        <f t="shared" si="29"/>
        <v>0.3043109285424096</v>
      </c>
      <c r="AN177" s="232">
        <v>3.5200000000000002E-2</v>
      </c>
      <c r="AO177" s="232">
        <f t="shared" si="20"/>
        <v>0.17600000000000002</v>
      </c>
      <c r="AT177" t="s">
        <v>435</v>
      </c>
      <c r="AU177">
        <v>2503999.9999999995</v>
      </c>
      <c r="AV177">
        <v>1758000</v>
      </c>
      <c r="AW177">
        <v>7427099.0016678628</v>
      </c>
      <c r="AX177">
        <v>3165099.0016678628</v>
      </c>
      <c r="AY177">
        <v>3165099.0016678628</v>
      </c>
      <c r="AZ177">
        <v>47644000</v>
      </c>
      <c r="BA177">
        <v>6.6432268526317326E-2</v>
      </c>
    </row>
    <row r="178" spans="1:53" x14ac:dyDescent="0.25">
      <c r="A178" t="s">
        <v>234</v>
      </c>
      <c r="B178">
        <v>510</v>
      </c>
      <c r="C178">
        <v>82542</v>
      </c>
      <c r="D178">
        <v>341</v>
      </c>
      <c r="E178">
        <v>573</v>
      </c>
      <c r="F178">
        <v>3641</v>
      </c>
      <c r="G178">
        <v>0</v>
      </c>
      <c r="H178">
        <v>12999</v>
      </c>
      <c r="I178">
        <v>10</v>
      </c>
      <c r="J178">
        <v>0</v>
      </c>
      <c r="K178">
        <v>3068</v>
      </c>
      <c r="L178">
        <v>1480</v>
      </c>
      <c r="M178">
        <v>5358</v>
      </c>
      <c r="N178">
        <v>5709</v>
      </c>
      <c r="O178">
        <v>53304</v>
      </c>
      <c r="P178">
        <v>18878</v>
      </c>
      <c r="Q178">
        <v>29175</v>
      </c>
      <c r="R178">
        <v>0</v>
      </c>
      <c r="S178">
        <v>3000</v>
      </c>
      <c r="T178">
        <v>3026</v>
      </c>
      <c r="U178">
        <v>8848</v>
      </c>
      <c r="V178">
        <v>1</v>
      </c>
      <c r="W178">
        <v>85334</v>
      </c>
      <c r="X178">
        <v>-1588</v>
      </c>
      <c r="Y178">
        <v>33574</v>
      </c>
      <c r="Z178">
        <v>6808955.7232129276</v>
      </c>
      <c r="AA178">
        <v>5836247.7627539383</v>
      </c>
      <c r="AB178">
        <v>83209</v>
      </c>
      <c r="AC178">
        <v>-157</v>
      </c>
      <c r="AD178" t="s">
        <v>234</v>
      </c>
      <c r="AE178" s="232">
        <f t="shared" si="21"/>
        <v>2.5810670131032169E-2</v>
      </c>
      <c r="AF178" s="232">
        <f t="shared" si="22"/>
        <v>0.28382590761009679</v>
      </c>
      <c r="AG178" s="232">
        <f t="shared" si="23"/>
        <v>4.9382426699791405E-2</v>
      </c>
      <c r="AH178" s="232">
        <f t="shared" si="24"/>
        <v>0.15244802774978319</v>
      </c>
      <c r="AI178" s="232">
        <f t="shared" si="25"/>
        <v>0.18303817938922351</v>
      </c>
      <c r="AJ178" s="232">
        <f t="shared" si="26"/>
        <v>-1.860922961539363E-2</v>
      </c>
      <c r="AK178" s="232">
        <f t="shared" si="27"/>
        <v>6.839299414950592E-2</v>
      </c>
      <c r="AL178" s="232">
        <f t="shared" si="28"/>
        <v>-4.5995734408324935E-4</v>
      </c>
      <c r="AM178" s="232">
        <f t="shared" si="29"/>
        <v>0.62102193046605469</v>
      </c>
      <c r="AN178" s="232">
        <v>3.5099999999999999E-2</v>
      </c>
      <c r="AO178" s="232">
        <f t="shared" si="20"/>
        <v>0.17549999999999999</v>
      </c>
      <c r="AT178" t="s">
        <v>436</v>
      </c>
      <c r="AU178">
        <v>1661000</v>
      </c>
      <c r="AV178">
        <v>1744000</v>
      </c>
      <c r="AW178">
        <v>5262631.2862195568</v>
      </c>
      <c r="AX178">
        <v>1857631.2862195568</v>
      </c>
      <c r="AY178">
        <v>1857631.2862195568</v>
      </c>
      <c r="AZ178">
        <v>34905000</v>
      </c>
      <c r="BA178">
        <v>5.3219632895561003E-2</v>
      </c>
    </row>
    <row r="179" spans="1:53" x14ac:dyDescent="0.25">
      <c r="A179" t="s">
        <v>437</v>
      </c>
      <c r="B179">
        <v>869</v>
      </c>
      <c r="C179">
        <v>44453</v>
      </c>
      <c r="D179">
        <v>197</v>
      </c>
      <c r="E179">
        <v>9922</v>
      </c>
      <c r="F179">
        <v>363</v>
      </c>
      <c r="G179">
        <v>0</v>
      </c>
      <c r="H179">
        <v>10536</v>
      </c>
      <c r="I179">
        <v>889</v>
      </c>
      <c r="J179">
        <v>0</v>
      </c>
      <c r="K179">
        <v>10461</v>
      </c>
      <c r="L179">
        <v>173</v>
      </c>
      <c r="M179">
        <v>5024</v>
      </c>
      <c r="N179">
        <v>1511</v>
      </c>
      <c r="O179">
        <v>21117</v>
      </c>
      <c r="P179">
        <v>8744</v>
      </c>
      <c r="Q179">
        <v>47638</v>
      </c>
      <c r="R179">
        <v>0</v>
      </c>
      <c r="S179">
        <v>227</v>
      </c>
      <c r="T179">
        <v>3837</v>
      </c>
      <c r="U179">
        <v>2835</v>
      </c>
      <c r="V179">
        <v>-1</v>
      </c>
      <c r="W179">
        <v>52885</v>
      </c>
      <c r="X179">
        <v>-79</v>
      </c>
      <c r="Y179">
        <v>23120</v>
      </c>
      <c r="Z179">
        <v>2357988.8039642479</v>
      </c>
      <c r="AA179">
        <v>2021133.2605407839</v>
      </c>
      <c r="AB179">
        <v>30607</v>
      </c>
      <c r="AC179">
        <v>14715</v>
      </c>
      <c r="AD179" t="s">
        <v>437</v>
      </c>
      <c r="AE179" s="232">
        <f t="shared" si="21"/>
        <v>2.6896371951941988E-3</v>
      </c>
      <c r="AF179" s="232">
        <f t="shared" si="22"/>
        <v>0.51211118464592986</v>
      </c>
      <c r="AG179" s="232">
        <f t="shared" si="23"/>
        <v>0.19447858561028647</v>
      </c>
      <c r="AH179" s="232">
        <f t="shared" si="24"/>
        <v>0.21603479247423654</v>
      </c>
      <c r="AI179" s="232">
        <f t="shared" si="25"/>
        <v>0.38422426018719869</v>
      </c>
      <c r="AJ179" s="232">
        <f t="shared" si="26"/>
        <v>-1.4938073177649617E-3</v>
      </c>
      <c r="AK179" s="232">
        <f t="shared" si="27"/>
        <v>3.8217514617392152E-2</v>
      </c>
      <c r="AL179" s="232">
        <f t="shared" si="28"/>
        <v>6.9561312281365223E-2</v>
      </c>
      <c r="AM179" s="232">
        <f t="shared" si="29"/>
        <v>0.35381170169909237</v>
      </c>
      <c r="AN179" s="232">
        <v>3.3000000000000002E-2</v>
      </c>
      <c r="AO179" s="232">
        <f t="shared" si="20"/>
        <v>0.16500000000000001</v>
      </c>
      <c r="AT179" t="s">
        <v>472</v>
      </c>
      <c r="AU179">
        <v>5117000</v>
      </c>
      <c r="AV179">
        <v>2281000</v>
      </c>
      <c r="AW179">
        <v>8272640.8200789597</v>
      </c>
      <c r="AX179">
        <v>874640.82007895969</v>
      </c>
      <c r="AY179">
        <v>874640.82007895969</v>
      </c>
      <c r="AZ179">
        <v>109439000</v>
      </c>
      <c r="BA179">
        <v>7.9920395844165215E-3</v>
      </c>
    </row>
    <row r="180" spans="1:53" x14ac:dyDescent="0.25">
      <c r="A180" t="s">
        <v>272</v>
      </c>
      <c r="B180">
        <v>0</v>
      </c>
      <c r="C180">
        <v>16274</v>
      </c>
      <c r="D180">
        <v>1078</v>
      </c>
      <c r="E180">
        <v>0</v>
      </c>
      <c r="F180">
        <v>0</v>
      </c>
      <c r="G180">
        <v>0</v>
      </c>
      <c r="H180">
        <v>0</v>
      </c>
      <c r="I180">
        <v>0</v>
      </c>
      <c r="J180">
        <v>0</v>
      </c>
      <c r="K180">
        <v>0</v>
      </c>
      <c r="L180">
        <v>5502</v>
      </c>
      <c r="M180">
        <v>1240</v>
      </c>
      <c r="N180">
        <v>1291</v>
      </c>
      <c r="O180">
        <v>18904</v>
      </c>
      <c r="P180">
        <v>2685</v>
      </c>
      <c r="Q180">
        <v>0</v>
      </c>
      <c r="R180">
        <v>25</v>
      </c>
      <c r="S180">
        <v>0</v>
      </c>
      <c r="T180">
        <v>2267</v>
      </c>
      <c r="U180">
        <v>1504</v>
      </c>
      <c r="V180">
        <v>0</v>
      </c>
      <c r="W180">
        <v>27122</v>
      </c>
      <c r="X180">
        <v>1307</v>
      </c>
      <c r="Y180">
        <v>14395</v>
      </c>
      <c r="Z180">
        <v>1720005.5284917215</v>
      </c>
      <c r="AA180">
        <v>1474290.4529929042</v>
      </c>
      <c r="AB180">
        <v>16966</v>
      </c>
      <c r="AC180">
        <v>-692</v>
      </c>
      <c r="AD180" t="s">
        <v>272</v>
      </c>
      <c r="AE180" s="232">
        <f t="shared" si="21"/>
        <v>0</v>
      </c>
      <c r="AF180" s="232">
        <f t="shared" si="22"/>
        <v>-0.15622004276970725</v>
      </c>
      <c r="AG180" s="232">
        <f t="shared" si="23"/>
        <v>0</v>
      </c>
      <c r="AH180" s="232">
        <f t="shared" si="24"/>
        <v>0</v>
      </c>
      <c r="AI180" s="232">
        <f t="shared" si="25"/>
        <v>-0.15622004276970725</v>
      </c>
      <c r="AJ180" s="232">
        <f t="shared" si="26"/>
        <v>4.8189661529385738E-2</v>
      </c>
      <c r="AK180" s="232">
        <f t="shared" si="27"/>
        <v>5.4357733684569878E-2</v>
      </c>
      <c r="AL180" s="232">
        <f t="shared" si="28"/>
        <v>-6.3785856500258092E-3</v>
      </c>
      <c r="AM180" s="232">
        <f t="shared" si="29"/>
        <v>0.85046287177467006</v>
      </c>
      <c r="AN180" s="232">
        <v>3.5299999999999998E-2</v>
      </c>
      <c r="AO180" s="232">
        <f t="shared" si="20"/>
        <v>0.17649999999999999</v>
      </c>
      <c r="AT180" t="s">
        <v>312</v>
      </c>
      <c r="AU180">
        <v>1643000.0000000002</v>
      </c>
      <c r="AV180">
        <v>663000</v>
      </c>
      <c r="AW180">
        <v>3942686.3824738069</v>
      </c>
      <c r="AX180">
        <v>1636686.3824738069</v>
      </c>
      <c r="AY180">
        <v>1636686.3824738069</v>
      </c>
      <c r="AZ180">
        <v>23103000</v>
      </c>
      <c r="BA180">
        <v>7.0843023956793788E-2</v>
      </c>
    </row>
    <row r="181" spans="1:53" x14ac:dyDescent="0.25">
      <c r="A181" t="s">
        <v>153</v>
      </c>
      <c r="B181">
        <v>24</v>
      </c>
      <c r="C181">
        <v>34294</v>
      </c>
      <c r="D181">
        <v>183</v>
      </c>
      <c r="E181">
        <v>0</v>
      </c>
      <c r="F181">
        <v>2206</v>
      </c>
      <c r="G181">
        <v>0</v>
      </c>
      <c r="H181">
        <v>2689</v>
      </c>
      <c r="I181">
        <v>0</v>
      </c>
      <c r="J181">
        <v>0</v>
      </c>
      <c r="K181">
        <v>0</v>
      </c>
      <c r="L181">
        <v>375</v>
      </c>
      <c r="M181">
        <v>1569</v>
      </c>
      <c r="N181">
        <v>5203</v>
      </c>
      <c r="O181">
        <v>12869</v>
      </c>
      <c r="P181">
        <v>136</v>
      </c>
      <c r="Q181">
        <v>23605</v>
      </c>
      <c r="R181">
        <v>0</v>
      </c>
      <c r="S181">
        <v>0</v>
      </c>
      <c r="T181">
        <v>5674</v>
      </c>
      <c r="U181">
        <v>4259</v>
      </c>
      <c r="V181">
        <v>1</v>
      </c>
      <c r="W181">
        <v>32572</v>
      </c>
      <c r="X181">
        <v>-331</v>
      </c>
      <c r="Y181">
        <v>9732</v>
      </c>
      <c r="Z181">
        <v>372925.27034968976</v>
      </c>
      <c r="AA181">
        <v>319650.23172830552</v>
      </c>
      <c r="AB181">
        <v>20610</v>
      </c>
      <c r="AC181">
        <v>13708</v>
      </c>
      <c r="AD181" t="s">
        <v>153</v>
      </c>
      <c r="AE181" s="232">
        <f t="shared" si="21"/>
        <v>0</v>
      </c>
      <c r="AF181" s="232">
        <f t="shared" si="22"/>
        <v>0.7425089033525728</v>
      </c>
      <c r="AG181" s="232">
        <f t="shared" si="23"/>
        <v>6.7726881984526588E-2</v>
      </c>
      <c r="AH181" s="232">
        <f t="shared" si="24"/>
        <v>8.2555569200540344E-2</v>
      </c>
      <c r="AI181" s="232">
        <f t="shared" si="25"/>
        <v>0.69284723075033772</v>
      </c>
      <c r="AJ181" s="232">
        <f t="shared" si="26"/>
        <v>-1.0162102419255803E-2</v>
      </c>
      <c r="AK181" s="232">
        <f t="shared" si="27"/>
        <v>9.8136507346280703E-3</v>
      </c>
      <c r="AL181" s="232">
        <f t="shared" si="28"/>
        <v>0.10521306643743092</v>
      </c>
      <c r="AM181" s="232">
        <f t="shared" si="29"/>
        <v>0.27941903186300843</v>
      </c>
      <c r="AN181" s="232">
        <v>3.5099999999999999E-2</v>
      </c>
      <c r="AO181" s="232">
        <f t="shared" si="20"/>
        <v>0.17549999999999999</v>
      </c>
      <c r="AT181" t="s">
        <v>313</v>
      </c>
      <c r="AU181">
        <v>3264000.0000000005</v>
      </c>
      <c r="AV181">
        <v>1656000</v>
      </c>
      <c r="AW181">
        <v>8202751.0220090225</v>
      </c>
      <c r="AX181">
        <v>3282751.0220090225</v>
      </c>
      <c r="AY181">
        <v>3282751.0220090225</v>
      </c>
      <c r="AZ181">
        <v>59536000</v>
      </c>
      <c r="BA181">
        <v>5.5138924717969336E-2</v>
      </c>
    </row>
    <row r="182" spans="1:53" x14ac:dyDescent="0.25">
      <c r="A182" t="s">
        <v>196</v>
      </c>
      <c r="B182">
        <v>1</v>
      </c>
      <c r="C182">
        <v>47247</v>
      </c>
      <c r="D182">
        <v>113</v>
      </c>
      <c r="E182">
        <v>50</v>
      </c>
      <c r="F182">
        <v>5326</v>
      </c>
      <c r="G182">
        <v>0</v>
      </c>
      <c r="H182">
        <v>1397</v>
      </c>
      <c r="I182">
        <v>12</v>
      </c>
      <c r="J182">
        <v>0</v>
      </c>
      <c r="K182">
        <v>415</v>
      </c>
      <c r="L182">
        <v>284</v>
      </c>
      <c r="M182">
        <v>6544</v>
      </c>
      <c r="N182">
        <v>85</v>
      </c>
      <c r="O182">
        <v>21577</v>
      </c>
      <c r="P182">
        <v>6267</v>
      </c>
      <c r="Q182">
        <v>24025</v>
      </c>
      <c r="R182">
        <v>26</v>
      </c>
      <c r="S182">
        <v>1500</v>
      </c>
      <c r="T182">
        <v>1349</v>
      </c>
      <c r="U182">
        <v>6730</v>
      </c>
      <c r="V182">
        <v>0</v>
      </c>
      <c r="W182">
        <v>56147</v>
      </c>
      <c r="X182">
        <v>4594</v>
      </c>
      <c r="Y182">
        <v>22547</v>
      </c>
      <c r="Z182">
        <v>1083676.7650346737</v>
      </c>
      <c r="AA182">
        <v>928865.79860114888</v>
      </c>
      <c r="AB182">
        <v>38991</v>
      </c>
      <c r="AC182">
        <v>8257</v>
      </c>
      <c r="AD182" t="s">
        <v>196</v>
      </c>
      <c r="AE182" s="232">
        <f t="shared" si="21"/>
        <v>2.440055958616651E-2</v>
      </c>
      <c r="AF182" s="232">
        <f t="shared" si="22"/>
        <v>0.37270023331611662</v>
      </c>
      <c r="AG182" s="232">
        <f t="shared" si="23"/>
        <v>9.5748659768108715E-2</v>
      </c>
      <c r="AH182" s="232">
        <f t="shared" si="24"/>
        <v>2.5094840329848433E-2</v>
      </c>
      <c r="AI182" s="232">
        <f t="shared" si="25"/>
        <v>0.36662368425739578</v>
      </c>
      <c r="AJ182" s="232">
        <f t="shared" si="26"/>
        <v>8.1820934333089929E-2</v>
      </c>
      <c r="AK182" s="232">
        <f t="shared" si="27"/>
        <v>1.6543462671222843E-2</v>
      </c>
      <c r="AL182" s="232">
        <f t="shared" si="28"/>
        <v>3.6765098758615777E-2</v>
      </c>
      <c r="AM182" s="232">
        <f t="shared" si="29"/>
        <v>0.45293945407814684</v>
      </c>
      <c r="AN182" s="232">
        <v>3.2300000000000002E-2</v>
      </c>
      <c r="AO182" s="232">
        <f t="shared" ref="AO182:AO240" si="30">5*AN182</f>
        <v>0.1615</v>
      </c>
      <c r="AT182" t="s">
        <v>355</v>
      </c>
      <c r="AU182">
        <v>9015000</v>
      </c>
      <c r="AV182">
        <v>7621000</v>
      </c>
      <c r="AW182">
        <v>21870045.359260347</v>
      </c>
      <c r="AX182">
        <v>5234045.3592603467</v>
      </c>
      <c r="AY182">
        <v>5234045.3592603467</v>
      </c>
      <c r="AZ182">
        <v>142890000</v>
      </c>
      <c r="BA182">
        <v>3.6629892639515341E-2</v>
      </c>
    </row>
    <row r="183" spans="1:53" x14ac:dyDescent="0.25">
      <c r="A183" t="s">
        <v>235</v>
      </c>
      <c r="B183">
        <v>505</v>
      </c>
      <c r="C183">
        <v>49729</v>
      </c>
      <c r="D183">
        <v>0</v>
      </c>
      <c r="E183">
        <v>2740</v>
      </c>
      <c r="F183">
        <v>1325</v>
      </c>
      <c r="G183">
        <v>0</v>
      </c>
      <c r="H183">
        <v>12935</v>
      </c>
      <c r="I183">
        <v>0</v>
      </c>
      <c r="J183">
        <v>0</v>
      </c>
      <c r="K183">
        <v>3498</v>
      </c>
      <c r="L183">
        <v>425</v>
      </c>
      <c r="M183">
        <v>4676</v>
      </c>
      <c r="N183">
        <v>7281</v>
      </c>
      <c r="O183">
        <v>28401</v>
      </c>
      <c r="P183">
        <v>11634</v>
      </c>
      <c r="Q183">
        <v>32508</v>
      </c>
      <c r="R183">
        <v>246</v>
      </c>
      <c r="S183">
        <v>3000</v>
      </c>
      <c r="T183">
        <v>3115</v>
      </c>
      <c r="U183">
        <v>4210</v>
      </c>
      <c r="V183">
        <v>-1</v>
      </c>
      <c r="W183">
        <v>54473</v>
      </c>
      <c r="X183">
        <v>1886</v>
      </c>
      <c r="Y183">
        <v>24350</v>
      </c>
      <c r="Z183">
        <v>2498851.3657781491</v>
      </c>
      <c r="AA183">
        <v>2141872.5992384134</v>
      </c>
      <c r="AB183">
        <v>43031</v>
      </c>
      <c r="AC183">
        <v>7203</v>
      </c>
      <c r="AD183" t="s">
        <v>235</v>
      </c>
      <c r="AE183" s="232">
        <f t="shared" si="21"/>
        <v>3.6095002045383448E-2</v>
      </c>
      <c r="AF183" s="232">
        <f t="shared" si="22"/>
        <v>0.42468745984249079</v>
      </c>
      <c r="AG183" s="232">
        <f t="shared" si="23"/>
        <v>7.46241257136563E-2</v>
      </c>
      <c r="AH183" s="232">
        <f t="shared" si="24"/>
        <v>0.23745708883299985</v>
      </c>
      <c r="AI183" s="232">
        <f t="shared" si="25"/>
        <v>0.26742239274502966</v>
      </c>
      <c r="AJ183" s="232">
        <f t="shared" si="26"/>
        <v>3.4622657096176089E-2</v>
      </c>
      <c r="AK183" s="232">
        <f t="shared" si="27"/>
        <v>3.9319894245560434E-2</v>
      </c>
      <c r="AL183" s="232">
        <f t="shared" si="28"/>
        <v>3.3057661593817123E-2</v>
      </c>
      <c r="AM183" s="232">
        <f t="shared" si="29"/>
        <v>0.48168780229564212</v>
      </c>
      <c r="AN183" s="232">
        <v>2.9100000000000001E-2</v>
      </c>
      <c r="AO183" s="232">
        <f t="shared" si="30"/>
        <v>0.14550000000000002</v>
      </c>
      <c r="AT183" t="s">
        <v>314</v>
      </c>
      <c r="AU183">
        <v>3290000</v>
      </c>
      <c r="AV183">
        <v>1127000</v>
      </c>
      <c r="AW183">
        <v>7753883.5902512679</v>
      </c>
      <c r="AX183">
        <v>3336883.5902512679</v>
      </c>
      <c r="AY183">
        <v>3336883.5902512679</v>
      </c>
      <c r="AZ183">
        <v>25457000</v>
      </c>
      <c r="BA183">
        <v>0.13107921554980037</v>
      </c>
    </row>
    <row r="184" spans="1:53" x14ac:dyDescent="0.25">
      <c r="A184" t="s">
        <v>474</v>
      </c>
      <c r="B184">
        <v>22295</v>
      </c>
      <c r="C184">
        <v>66879</v>
      </c>
      <c r="D184">
        <v>3161</v>
      </c>
      <c r="E184">
        <v>2497</v>
      </c>
      <c r="F184">
        <v>844</v>
      </c>
      <c r="G184">
        <v>0</v>
      </c>
      <c r="H184">
        <v>1448</v>
      </c>
      <c r="I184">
        <v>0</v>
      </c>
      <c r="J184">
        <v>0</v>
      </c>
      <c r="K184">
        <v>0</v>
      </c>
      <c r="L184">
        <v>-1356</v>
      </c>
      <c r="M184">
        <v>7484</v>
      </c>
      <c r="N184">
        <v>3730</v>
      </c>
      <c r="O184">
        <v>57730</v>
      </c>
      <c r="P184">
        <v>11522</v>
      </c>
      <c r="Q184">
        <v>20489</v>
      </c>
      <c r="R184">
        <v>3</v>
      </c>
      <c r="S184">
        <v>10500</v>
      </c>
      <c r="T184">
        <v>4935</v>
      </c>
      <c r="U184">
        <v>1803</v>
      </c>
      <c r="V184">
        <v>0</v>
      </c>
      <c r="W184">
        <v>51915</v>
      </c>
      <c r="X184">
        <v>-282</v>
      </c>
      <c r="Y184">
        <v>23697</v>
      </c>
      <c r="Z184">
        <v>2794267.7031351449</v>
      </c>
      <c r="AA184">
        <v>2395086.6026872671</v>
      </c>
      <c r="AB184">
        <v>49464</v>
      </c>
      <c r="AC184">
        <v>39710</v>
      </c>
      <c r="AD184" t="s">
        <v>474</v>
      </c>
      <c r="AE184" s="232">
        <f t="shared" si="21"/>
        <v>9.8147351890972317E-2</v>
      </c>
      <c r="AF184" s="232">
        <f t="shared" si="22"/>
        <v>0.47252239237214677</v>
      </c>
      <c r="AG184" s="232">
        <f t="shared" si="23"/>
        <v>6.4355195993450839E-2</v>
      </c>
      <c r="AH184" s="232">
        <f t="shared" si="24"/>
        <v>2.7891746123471058E-2</v>
      </c>
      <c r="AI184" s="232">
        <f t="shared" si="25"/>
        <v>0.46072079360493112</v>
      </c>
      <c r="AJ184" s="232">
        <f t="shared" si="26"/>
        <v>-5.4319560820572091E-3</v>
      </c>
      <c r="AK184" s="232">
        <f t="shared" si="27"/>
        <v>4.6134770349364675E-2</v>
      </c>
      <c r="AL184" s="232">
        <f t="shared" si="28"/>
        <v>0.19122604256958489</v>
      </c>
      <c r="AM184" s="232">
        <f t="shared" si="29"/>
        <v>0.64732384887177286</v>
      </c>
      <c r="AN184" s="232">
        <v>4.4600000000000001E-2</v>
      </c>
      <c r="AO184" s="232">
        <f t="shared" si="30"/>
        <v>0.223</v>
      </c>
      <c r="AT184" t="s">
        <v>152</v>
      </c>
      <c r="AU184">
        <v>2662999.9999999995</v>
      </c>
      <c r="AV184">
        <v>1320000</v>
      </c>
      <c r="AW184">
        <v>5039226.2558845989</v>
      </c>
      <c r="AX184">
        <v>1056226.2558845994</v>
      </c>
      <c r="AY184">
        <v>1056226.2558845994</v>
      </c>
      <c r="AZ184">
        <v>55696000</v>
      </c>
      <c r="BA184">
        <v>1.8964131282041788E-2</v>
      </c>
    </row>
    <row r="185" spans="1:53" x14ac:dyDescent="0.25">
      <c r="A185" t="s">
        <v>361</v>
      </c>
      <c r="B185">
        <v>525</v>
      </c>
      <c r="C185">
        <v>82057</v>
      </c>
      <c r="D185">
        <v>1426</v>
      </c>
      <c r="E185">
        <v>1433</v>
      </c>
      <c r="F185">
        <v>2478</v>
      </c>
      <c r="G185">
        <v>0</v>
      </c>
      <c r="H185">
        <v>13365</v>
      </c>
      <c r="I185">
        <v>2</v>
      </c>
      <c r="J185">
        <v>0</v>
      </c>
      <c r="K185">
        <v>0</v>
      </c>
      <c r="L185">
        <v>-4618</v>
      </c>
      <c r="M185">
        <v>6620</v>
      </c>
      <c r="N185">
        <v>4339</v>
      </c>
      <c r="O185">
        <v>35249</v>
      </c>
      <c r="P185">
        <v>7161</v>
      </c>
      <c r="Q185">
        <v>54533</v>
      </c>
      <c r="R185">
        <v>0</v>
      </c>
      <c r="S185">
        <v>0</v>
      </c>
      <c r="T185">
        <v>6989</v>
      </c>
      <c r="U185">
        <v>3695</v>
      </c>
      <c r="V185">
        <v>-1</v>
      </c>
      <c r="W185">
        <v>85183</v>
      </c>
      <c r="X185">
        <v>-566</v>
      </c>
      <c r="Y185">
        <v>32518</v>
      </c>
      <c r="Z185">
        <v>2214113.723547793</v>
      </c>
      <c r="AA185">
        <v>1897811.7630409654</v>
      </c>
      <c r="AB185">
        <v>74900</v>
      </c>
      <c r="AC185">
        <v>7682</v>
      </c>
      <c r="AD185" t="s">
        <v>361</v>
      </c>
      <c r="AE185" s="232">
        <f t="shared" si="21"/>
        <v>0</v>
      </c>
      <c r="AF185" s="232">
        <f t="shared" si="22"/>
        <v>0.64525785661458268</v>
      </c>
      <c r="AG185" s="232">
        <f t="shared" si="23"/>
        <v>4.591291689656387E-2</v>
      </c>
      <c r="AH185" s="232">
        <f t="shared" si="24"/>
        <v>0.15692098188605708</v>
      </c>
      <c r="AI185" s="232">
        <f t="shared" si="25"/>
        <v>0.54092271932193037</v>
      </c>
      <c r="AJ185" s="232">
        <f t="shared" si="26"/>
        <v>-6.6445182724252493E-3</v>
      </c>
      <c r="AK185" s="232">
        <f t="shared" si="27"/>
        <v>2.2279231337719561E-2</v>
      </c>
      <c r="AL185" s="232">
        <f t="shared" si="28"/>
        <v>2.2545578343096628E-2</v>
      </c>
      <c r="AM185" s="232">
        <f t="shared" si="29"/>
        <v>0.39404610367287018</v>
      </c>
      <c r="AN185" s="232">
        <v>3.3599999999999998E-2</v>
      </c>
      <c r="AO185" s="232">
        <f t="shared" si="30"/>
        <v>0.16799999999999998</v>
      </c>
      <c r="AT185" t="s">
        <v>356</v>
      </c>
      <c r="AU185">
        <v>2950000</v>
      </c>
      <c r="AV185">
        <v>2170000</v>
      </c>
      <c r="AW185">
        <v>5639736.1298272312</v>
      </c>
      <c r="AX185">
        <v>519736.12982723117</v>
      </c>
      <c r="AY185">
        <v>519736.12982723117</v>
      </c>
      <c r="AZ185">
        <v>59798000</v>
      </c>
      <c r="BA185">
        <v>8.69153031585055E-3</v>
      </c>
    </row>
    <row r="186" spans="1:53" x14ac:dyDescent="0.25">
      <c r="A186" t="s">
        <v>475</v>
      </c>
      <c r="B186">
        <v>23971</v>
      </c>
      <c r="C186">
        <v>442097</v>
      </c>
      <c r="D186">
        <v>1113</v>
      </c>
      <c r="E186">
        <v>84909</v>
      </c>
      <c r="F186">
        <v>9934</v>
      </c>
      <c r="G186">
        <v>0</v>
      </c>
      <c r="H186">
        <v>10470</v>
      </c>
      <c r="I186">
        <v>59</v>
      </c>
      <c r="J186">
        <v>32000</v>
      </c>
      <c r="K186">
        <v>0</v>
      </c>
      <c r="L186">
        <v>598</v>
      </c>
      <c r="M186">
        <v>52341</v>
      </c>
      <c r="N186">
        <v>64264</v>
      </c>
      <c r="O186">
        <v>182914</v>
      </c>
      <c r="P186">
        <v>44404</v>
      </c>
      <c r="Q186">
        <v>298704</v>
      </c>
      <c r="R186">
        <v>676</v>
      </c>
      <c r="S186">
        <v>83305</v>
      </c>
      <c r="T186">
        <v>44912</v>
      </c>
      <c r="U186">
        <v>66841</v>
      </c>
      <c r="V186">
        <v>0</v>
      </c>
      <c r="W186">
        <v>609782</v>
      </c>
      <c r="X186">
        <v>-6917</v>
      </c>
      <c r="Y186">
        <v>122723</v>
      </c>
      <c r="Z186">
        <v>8641913.9012479708</v>
      </c>
      <c r="AA186">
        <v>7407354.7724982603</v>
      </c>
      <c r="AB186">
        <v>398424</v>
      </c>
      <c r="AC186">
        <v>67644</v>
      </c>
      <c r="AD186" t="s">
        <v>475</v>
      </c>
      <c r="AE186" s="232">
        <f t="shared" si="21"/>
        <v>0.11541989259528151</v>
      </c>
      <c r="AF186" s="232">
        <f t="shared" si="22"/>
        <v>0.4106254366314519</v>
      </c>
      <c r="AG186" s="232">
        <f t="shared" si="23"/>
        <v>0.15553591283442281</v>
      </c>
      <c r="AH186" s="232">
        <f t="shared" si="24"/>
        <v>1.726682650521006E-2</v>
      </c>
      <c r="AI186" s="232">
        <f t="shared" si="25"/>
        <v>0.41720296761793563</v>
      </c>
      <c r="AJ186" s="232">
        <f t="shared" si="26"/>
        <v>-1.1343398132447334E-2</v>
      </c>
      <c r="AK186" s="232">
        <f t="shared" si="27"/>
        <v>1.2147545799151598E-2</v>
      </c>
      <c r="AL186" s="232">
        <f t="shared" si="28"/>
        <v>2.7732861908026148E-2</v>
      </c>
      <c r="AM186" s="232">
        <f t="shared" si="29"/>
        <v>0.3149513131861737</v>
      </c>
      <c r="AN186" s="232">
        <v>2.9899999999999999E-2</v>
      </c>
      <c r="AO186" s="232">
        <f t="shared" si="30"/>
        <v>0.14949999999999999</v>
      </c>
      <c r="AT186" t="s">
        <v>173</v>
      </c>
      <c r="AU186">
        <v>12048000</v>
      </c>
      <c r="AV186">
        <v>18505000</v>
      </c>
      <c r="AW186">
        <v>27941793.244947791</v>
      </c>
      <c r="AX186">
        <v>-2611206.7550522089</v>
      </c>
      <c r="AY186">
        <v>0</v>
      </c>
      <c r="AZ186">
        <v>603851000</v>
      </c>
      <c r="BA186">
        <v>-4.3242567372616903E-3</v>
      </c>
    </row>
    <row r="187" spans="1:53" x14ac:dyDescent="0.25">
      <c r="A187" t="s">
        <v>315</v>
      </c>
      <c r="B187">
        <v>3792</v>
      </c>
      <c r="C187">
        <v>71107</v>
      </c>
      <c r="D187">
        <v>975</v>
      </c>
      <c r="E187">
        <v>5115</v>
      </c>
      <c r="F187">
        <v>2563</v>
      </c>
      <c r="G187">
        <v>0</v>
      </c>
      <c r="H187">
        <v>6925</v>
      </c>
      <c r="I187">
        <v>8</v>
      </c>
      <c r="J187">
        <v>0</v>
      </c>
      <c r="K187">
        <v>0</v>
      </c>
      <c r="L187">
        <v>671</v>
      </c>
      <c r="M187">
        <v>11462</v>
      </c>
      <c r="N187">
        <v>2988</v>
      </c>
      <c r="O187">
        <v>55252</v>
      </c>
      <c r="P187">
        <v>17247</v>
      </c>
      <c r="Q187">
        <v>17853</v>
      </c>
      <c r="R187">
        <v>140</v>
      </c>
      <c r="S187">
        <v>4000</v>
      </c>
      <c r="T187">
        <v>3835</v>
      </c>
      <c r="U187">
        <v>7279</v>
      </c>
      <c r="V187">
        <v>-1</v>
      </c>
      <c r="W187">
        <v>101457</v>
      </c>
      <c r="X187">
        <v>-1346</v>
      </c>
      <c r="Y187">
        <v>44480</v>
      </c>
      <c r="Z187">
        <v>7201039.0598662253</v>
      </c>
      <c r="AA187">
        <v>6172319.1941710506</v>
      </c>
      <c r="AB187">
        <v>76214</v>
      </c>
      <c r="AC187">
        <v>-1315</v>
      </c>
      <c r="AD187" t="s">
        <v>315</v>
      </c>
      <c r="AE187" s="232">
        <f t="shared" si="21"/>
        <v>3.7876635797208492E-2</v>
      </c>
      <c r="AF187" s="232">
        <f t="shared" si="22"/>
        <v>0.10159969248055827</v>
      </c>
      <c r="AG187" s="232">
        <f t="shared" si="23"/>
        <v>7.5677380565165542E-2</v>
      </c>
      <c r="AH187" s="232">
        <f t="shared" si="24"/>
        <v>6.8334368254531472E-2</v>
      </c>
      <c r="AI187" s="232">
        <f t="shared" si="25"/>
        <v>6.2846920370206102E-2</v>
      </c>
      <c r="AJ187" s="232">
        <f t="shared" si="26"/>
        <v>-1.3266704120957647E-2</v>
      </c>
      <c r="AK187" s="232">
        <f t="shared" si="27"/>
        <v>6.0836799769075078E-2</v>
      </c>
      <c r="AL187" s="232">
        <f t="shared" si="28"/>
        <v>-3.2402889894240909E-3</v>
      </c>
      <c r="AM187" s="232">
        <f t="shared" si="29"/>
        <v>0.68650455466545457</v>
      </c>
      <c r="AN187" s="232">
        <v>3.9E-2</v>
      </c>
      <c r="AO187" s="232">
        <f t="shared" si="30"/>
        <v>0.19500000000000001</v>
      </c>
      <c r="AT187" t="s">
        <v>174</v>
      </c>
      <c r="AU187">
        <v>1507000</v>
      </c>
      <c r="AV187">
        <v>476000</v>
      </c>
      <c r="AW187">
        <v>2114321.4225944225</v>
      </c>
      <c r="AX187">
        <v>131321.42259442247</v>
      </c>
      <c r="AY187">
        <v>131321.42259442247</v>
      </c>
      <c r="AZ187">
        <v>23706000</v>
      </c>
      <c r="BA187">
        <v>5.5395858683212045E-3</v>
      </c>
    </row>
    <row r="188" spans="1:53" x14ac:dyDescent="0.25">
      <c r="A188" t="s">
        <v>476</v>
      </c>
      <c r="B188">
        <v>19828</v>
      </c>
      <c r="C188">
        <v>45666</v>
      </c>
      <c r="D188">
        <v>1664</v>
      </c>
      <c r="E188">
        <v>65367</v>
      </c>
      <c r="F188">
        <v>182</v>
      </c>
      <c r="G188">
        <v>0</v>
      </c>
      <c r="H188">
        <v>0</v>
      </c>
      <c r="I188">
        <v>0</v>
      </c>
      <c r="J188">
        <v>0</v>
      </c>
      <c r="K188">
        <v>0</v>
      </c>
      <c r="L188">
        <v>1032</v>
      </c>
      <c r="M188">
        <v>6044</v>
      </c>
      <c r="N188">
        <v>1646</v>
      </c>
      <c r="O188">
        <v>44091</v>
      </c>
      <c r="P188">
        <v>14307</v>
      </c>
      <c r="Q188">
        <v>75464</v>
      </c>
      <c r="R188">
        <v>0</v>
      </c>
      <c r="S188">
        <v>0</v>
      </c>
      <c r="T188">
        <v>2325</v>
      </c>
      <c r="U188">
        <v>5242</v>
      </c>
      <c r="V188">
        <v>0</v>
      </c>
      <c r="W188">
        <v>44372</v>
      </c>
      <c r="X188">
        <v>-186</v>
      </c>
      <c r="Y188">
        <v>19039</v>
      </c>
      <c r="Z188">
        <v>423438.94461977202</v>
      </c>
      <c r="AA188">
        <v>362947.66681694746</v>
      </c>
      <c r="AB188">
        <v>40275</v>
      </c>
      <c r="AC188">
        <v>25219</v>
      </c>
      <c r="AD188" t="s">
        <v>476</v>
      </c>
      <c r="AE188" s="232">
        <f t="shared" si="21"/>
        <v>0</v>
      </c>
      <c r="AF188" s="232">
        <f t="shared" si="22"/>
        <v>0.19742179752997385</v>
      </c>
      <c r="AG188" s="232">
        <f t="shared" si="23"/>
        <v>1.4772604345082485</v>
      </c>
      <c r="AH188" s="232">
        <f t="shared" si="24"/>
        <v>0</v>
      </c>
      <c r="AI188" s="232">
        <f t="shared" si="25"/>
        <v>0.37469304967096367</v>
      </c>
      <c r="AJ188" s="232">
        <f t="shared" si="26"/>
        <v>-4.1918326872802669E-3</v>
      </c>
      <c r="AK188" s="232">
        <f t="shared" si="27"/>
        <v>8.179655341588106E-3</v>
      </c>
      <c r="AL188" s="232">
        <f t="shared" si="28"/>
        <v>0.14208847922113044</v>
      </c>
      <c r="AM188" s="232">
        <f t="shared" si="29"/>
        <v>0.4129139002609083</v>
      </c>
      <c r="AN188" s="232">
        <v>4.3499999999999997E-2</v>
      </c>
      <c r="AO188" s="232">
        <f t="shared" si="30"/>
        <v>0.21749999999999997</v>
      </c>
      <c r="AT188" t="s">
        <v>357</v>
      </c>
      <c r="AU188">
        <v>20111000</v>
      </c>
      <c r="AV188">
        <v>27268000</v>
      </c>
      <c r="AW188">
        <v>41586255.022781223</v>
      </c>
      <c r="AX188">
        <v>-5792744.9772187769</v>
      </c>
      <c r="AY188">
        <v>0</v>
      </c>
      <c r="AZ188">
        <v>471114000</v>
      </c>
      <c r="BA188">
        <v>-1.2295845543156809E-2</v>
      </c>
    </row>
    <row r="189" spans="1:53" x14ac:dyDescent="0.25">
      <c r="A189" t="s">
        <v>698</v>
      </c>
      <c r="B189">
        <v>951</v>
      </c>
      <c r="C189">
        <v>209819</v>
      </c>
      <c r="D189">
        <v>2418</v>
      </c>
      <c r="E189">
        <v>561</v>
      </c>
      <c r="F189">
        <v>34537</v>
      </c>
      <c r="G189">
        <v>0</v>
      </c>
      <c r="H189">
        <v>169412</v>
      </c>
      <c r="I189">
        <v>0</v>
      </c>
      <c r="J189">
        <v>0</v>
      </c>
      <c r="K189">
        <v>1351</v>
      </c>
      <c r="L189">
        <v>300</v>
      </c>
      <c r="M189">
        <v>25181</v>
      </c>
      <c r="N189">
        <v>13677</v>
      </c>
      <c r="O189">
        <v>137490</v>
      </c>
      <c r="P189">
        <v>76564</v>
      </c>
      <c r="Q189">
        <v>188882</v>
      </c>
      <c r="R189">
        <v>60</v>
      </c>
      <c r="S189">
        <v>20000</v>
      </c>
      <c r="T189">
        <v>23620</v>
      </c>
      <c r="U189">
        <v>11591</v>
      </c>
      <c r="V189">
        <v>-2</v>
      </c>
      <c r="W189">
        <v>231540</v>
      </c>
      <c r="X189">
        <v>29437</v>
      </c>
      <c r="Y189">
        <v>80148</v>
      </c>
      <c r="Z189">
        <v>15734477.442407604</v>
      </c>
      <c r="AA189">
        <v>13486694.950635089</v>
      </c>
      <c r="AB189">
        <v>188821</v>
      </c>
      <c r="AC189">
        <v>21949</v>
      </c>
      <c r="AD189" t="s">
        <v>698</v>
      </c>
      <c r="AE189" s="232">
        <f t="shared" si="21"/>
        <v>4.3648394721163143E-2</v>
      </c>
      <c r="AF189" s="232">
        <f t="shared" si="22"/>
        <v>0.72793469810831823</v>
      </c>
      <c r="AG189" s="232">
        <f t="shared" si="23"/>
        <v>0.15158503930206443</v>
      </c>
      <c r="AH189" s="232">
        <f t="shared" si="24"/>
        <v>0.73167487259220865</v>
      </c>
      <c r="AI189" s="232">
        <f t="shared" si="25"/>
        <v>0.23395249201002</v>
      </c>
      <c r="AJ189" s="232">
        <f t="shared" si="26"/>
        <v>0.12713570009501599</v>
      </c>
      <c r="AK189" s="232">
        <f t="shared" si="27"/>
        <v>5.8247797143625671E-2</v>
      </c>
      <c r="AL189" s="232">
        <f t="shared" si="28"/>
        <v>2.3698928910771359E-2</v>
      </c>
      <c r="AM189" s="232">
        <f t="shared" si="29"/>
        <v>0.46715567418219278</v>
      </c>
      <c r="AN189" s="232">
        <v>-1.3100000000000001E-2</v>
      </c>
      <c r="AO189" s="232">
        <f t="shared" si="30"/>
        <v>-6.5500000000000003E-2</v>
      </c>
      <c r="AT189" t="s">
        <v>358</v>
      </c>
      <c r="AU189">
        <v>4938000</v>
      </c>
      <c r="AV189">
        <v>2546000</v>
      </c>
      <c r="AW189">
        <v>8613844.55979269</v>
      </c>
      <c r="AX189">
        <v>1129844.55979269</v>
      </c>
      <c r="AY189">
        <v>1129844.55979269</v>
      </c>
      <c r="AZ189">
        <v>63175000</v>
      </c>
      <c r="BA189">
        <v>1.7884361848716897E-2</v>
      </c>
    </row>
    <row r="190" spans="1:53" x14ac:dyDescent="0.25">
      <c r="A190" t="s">
        <v>135</v>
      </c>
      <c r="B190">
        <v>978</v>
      </c>
      <c r="C190">
        <v>99551</v>
      </c>
      <c r="D190">
        <v>408</v>
      </c>
      <c r="E190">
        <v>7405</v>
      </c>
      <c r="F190">
        <v>5593</v>
      </c>
      <c r="G190">
        <v>0</v>
      </c>
      <c r="H190">
        <v>34153</v>
      </c>
      <c r="I190">
        <v>340</v>
      </c>
      <c r="J190">
        <v>0</v>
      </c>
      <c r="K190">
        <v>0</v>
      </c>
      <c r="L190">
        <v>43</v>
      </c>
      <c r="M190">
        <v>7447</v>
      </c>
      <c r="N190">
        <v>1367</v>
      </c>
      <c r="O190">
        <v>12559</v>
      </c>
      <c r="P190">
        <v>7493</v>
      </c>
      <c r="Q190">
        <v>108347</v>
      </c>
      <c r="R190">
        <v>1</v>
      </c>
      <c r="S190">
        <v>13672</v>
      </c>
      <c r="T190">
        <v>4383</v>
      </c>
      <c r="U190">
        <v>10830</v>
      </c>
      <c r="V190">
        <v>1</v>
      </c>
      <c r="W190">
        <v>105598</v>
      </c>
      <c r="X190">
        <v>2923</v>
      </c>
      <c r="Y190">
        <v>33410</v>
      </c>
      <c r="Z190">
        <v>1870887.3992736358</v>
      </c>
      <c r="AA190">
        <v>1603617.7708059736</v>
      </c>
      <c r="AB190">
        <v>100999</v>
      </c>
      <c r="AC190">
        <v>-470</v>
      </c>
      <c r="AD190" t="s">
        <v>135</v>
      </c>
      <c r="AE190" s="232">
        <f t="shared" si="21"/>
        <v>8.6925008742092386E-2</v>
      </c>
      <c r="AF190" s="232">
        <f t="shared" si="22"/>
        <v>1.0926153904430007</v>
      </c>
      <c r="AG190" s="232">
        <f t="shared" si="23"/>
        <v>0.12308945245175099</v>
      </c>
      <c r="AH190" s="232">
        <f t="shared" si="24"/>
        <v>0.32664444402356108</v>
      </c>
      <c r="AI190" s="232">
        <f t="shared" si="25"/>
        <v>0.87873501392071807</v>
      </c>
      <c r="AJ190" s="232">
        <f t="shared" si="26"/>
        <v>2.7680448493342676E-2</v>
      </c>
      <c r="AK190" s="232">
        <f t="shared" si="27"/>
        <v>1.5186061959563377E-2</v>
      </c>
      <c r="AL190" s="232">
        <f t="shared" si="28"/>
        <v>-1.1127104680012879E-3</v>
      </c>
      <c r="AM190" s="232">
        <f t="shared" si="29"/>
        <v>0.12748831738563754</v>
      </c>
      <c r="AN190" s="232">
        <v>2.3E-2</v>
      </c>
      <c r="AO190" s="232">
        <f t="shared" si="30"/>
        <v>0.11499999999999999</v>
      </c>
      <c r="AT190" t="s">
        <v>359</v>
      </c>
      <c r="AU190">
        <v>8010000</v>
      </c>
      <c r="AV190">
        <v>2977000</v>
      </c>
      <c r="AW190">
        <v>24155310.022381507</v>
      </c>
      <c r="AX190">
        <v>13168310.022381507</v>
      </c>
      <c r="AY190">
        <v>13168310.022381507</v>
      </c>
      <c r="AZ190">
        <v>184169000</v>
      </c>
      <c r="BA190">
        <v>7.1501229970198601E-2</v>
      </c>
    </row>
    <row r="191" spans="1:53" x14ac:dyDescent="0.25">
      <c r="A191" t="s">
        <v>393</v>
      </c>
      <c r="B191">
        <v>769</v>
      </c>
      <c r="C191">
        <v>204576</v>
      </c>
      <c r="D191">
        <v>0</v>
      </c>
      <c r="E191">
        <v>36574</v>
      </c>
      <c r="F191">
        <v>7122</v>
      </c>
      <c r="G191">
        <v>0</v>
      </c>
      <c r="H191">
        <v>51842</v>
      </c>
      <c r="I191">
        <v>87</v>
      </c>
      <c r="J191">
        <v>0</v>
      </c>
      <c r="K191">
        <v>0</v>
      </c>
      <c r="L191">
        <v>269</v>
      </c>
      <c r="M191">
        <v>9167</v>
      </c>
      <c r="N191">
        <v>4172</v>
      </c>
      <c r="O191">
        <v>40612</v>
      </c>
      <c r="P191">
        <v>33488</v>
      </c>
      <c r="Q191">
        <v>222078</v>
      </c>
      <c r="R191">
        <v>104</v>
      </c>
      <c r="S191">
        <v>4999</v>
      </c>
      <c r="T191">
        <v>2236</v>
      </c>
      <c r="U191">
        <v>11061</v>
      </c>
      <c r="V191">
        <v>0</v>
      </c>
      <c r="W191">
        <v>174171</v>
      </c>
      <c r="X191">
        <v>4301</v>
      </c>
      <c r="Y191">
        <v>48303</v>
      </c>
      <c r="Z191">
        <v>4178290.47751485</v>
      </c>
      <c r="AA191">
        <v>3581391.8378698714</v>
      </c>
      <c r="AB191">
        <v>171244</v>
      </c>
      <c r="AC191">
        <v>34101</v>
      </c>
      <c r="AD191" t="s">
        <v>393</v>
      </c>
      <c r="AE191" s="232">
        <f t="shared" si="21"/>
        <v>1.5891130339693176E-2</v>
      </c>
      <c r="AF191" s="232">
        <f t="shared" si="22"/>
        <v>1.0516905799472931</v>
      </c>
      <c r="AG191" s="232">
        <f t="shared" si="23"/>
        <v>0.25087988241440884</v>
      </c>
      <c r="AH191" s="232">
        <f t="shared" si="24"/>
        <v>0.29814951972486808</v>
      </c>
      <c r="AI191" s="232">
        <f t="shared" si="25"/>
        <v>0.87309150202961439</v>
      </c>
      <c r="AJ191" s="232">
        <f t="shared" si="26"/>
        <v>2.4694122442886587E-2</v>
      </c>
      <c r="AK191" s="232">
        <f t="shared" si="27"/>
        <v>2.0562503734088175E-2</v>
      </c>
      <c r="AL191" s="232">
        <f t="shared" si="28"/>
        <v>4.8947585993075769E-2</v>
      </c>
      <c r="AM191" s="232">
        <f t="shared" si="29"/>
        <v>0.23555366236672623</v>
      </c>
      <c r="AN191" s="232">
        <v>1.61E-2</v>
      </c>
      <c r="AO191" s="232">
        <f t="shared" si="30"/>
        <v>8.0500000000000002E-2</v>
      </c>
      <c r="AT191" t="s">
        <v>496</v>
      </c>
      <c r="AU191">
        <v>10311000</v>
      </c>
      <c r="AV191">
        <v>12211000.000000002</v>
      </c>
      <c r="AW191">
        <v>19562832.507590149</v>
      </c>
      <c r="AX191">
        <v>-2959167.4924098533</v>
      </c>
      <c r="AY191">
        <v>0</v>
      </c>
      <c r="AZ191">
        <v>272156000</v>
      </c>
      <c r="BA191">
        <v>-1.0873056233960865E-2</v>
      </c>
    </row>
    <row r="192" spans="1:53" x14ac:dyDescent="0.25">
      <c r="A192" t="s">
        <v>362</v>
      </c>
      <c r="B192">
        <v>0</v>
      </c>
      <c r="C192">
        <v>69160</v>
      </c>
      <c r="D192">
        <v>1497</v>
      </c>
      <c r="E192">
        <v>0</v>
      </c>
      <c r="F192">
        <v>10564</v>
      </c>
      <c r="G192">
        <v>0</v>
      </c>
      <c r="H192">
        <v>16276</v>
      </c>
      <c r="I192">
        <v>0</v>
      </c>
      <c r="J192">
        <v>0</v>
      </c>
      <c r="K192">
        <v>5285</v>
      </c>
      <c r="L192">
        <v>29</v>
      </c>
      <c r="M192">
        <v>4444</v>
      </c>
      <c r="N192">
        <v>3241</v>
      </c>
      <c r="O192">
        <v>65915</v>
      </c>
      <c r="P192">
        <v>12641</v>
      </c>
      <c r="Q192">
        <v>9980</v>
      </c>
      <c r="R192">
        <v>1</v>
      </c>
      <c r="S192">
        <v>0</v>
      </c>
      <c r="T192">
        <v>2623</v>
      </c>
      <c r="U192">
        <v>19336</v>
      </c>
      <c r="V192">
        <v>0</v>
      </c>
      <c r="W192">
        <v>38394</v>
      </c>
      <c r="X192">
        <v>-3440</v>
      </c>
      <c r="Y192">
        <v>19338</v>
      </c>
      <c r="Z192">
        <v>2507404.2843513554</v>
      </c>
      <c r="AA192">
        <v>2149203.6723011616</v>
      </c>
      <c r="AB192">
        <v>50731</v>
      </c>
      <c r="AC192">
        <v>18429</v>
      </c>
      <c r="AD192" t="s">
        <v>362</v>
      </c>
      <c r="AE192" s="232">
        <f t="shared" si="21"/>
        <v>0</v>
      </c>
      <c r="AF192" s="232">
        <f t="shared" si="22"/>
        <v>0.21818513309371257</v>
      </c>
      <c r="AG192" s="232">
        <f t="shared" si="23"/>
        <v>0.27514715841016824</v>
      </c>
      <c r="AH192" s="232">
        <f t="shared" si="24"/>
        <v>0.42392040422982757</v>
      </c>
      <c r="AI192" s="232">
        <f t="shared" si="25"/>
        <v>-4.5541490857946565E-2</v>
      </c>
      <c r="AJ192" s="232">
        <f t="shared" si="26"/>
        <v>-8.9597332916601546E-2</v>
      </c>
      <c r="AK192" s="232">
        <f t="shared" si="27"/>
        <v>5.5977592131613317E-2</v>
      </c>
      <c r="AL192" s="232">
        <f t="shared" si="28"/>
        <v>0.11999921862791062</v>
      </c>
      <c r="AM192" s="232">
        <f t="shared" si="29"/>
        <v>0.7109397625253403</v>
      </c>
      <c r="AN192" s="232">
        <v>2.6599999999999999E-2</v>
      </c>
      <c r="AO192" s="232">
        <f t="shared" si="30"/>
        <v>0.13300000000000001</v>
      </c>
      <c r="AT192" t="s">
        <v>473</v>
      </c>
      <c r="AU192">
        <v>3851999.9999999995</v>
      </c>
      <c r="AV192">
        <v>2071000</v>
      </c>
      <c r="AW192">
        <v>10883677.955743387</v>
      </c>
      <c r="AX192">
        <v>4960677.9557433873</v>
      </c>
      <c r="AY192">
        <v>4960677.9557433873</v>
      </c>
      <c r="AZ192">
        <v>73483000</v>
      </c>
      <c r="BA192">
        <v>6.7507831141126351E-2</v>
      </c>
    </row>
    <row r="193" spans="1:53" x14ac:dyDescent="0.25">
      <c r="A193" t="s">
        <v>136</v>
      </c>
      <c r="B193">
        <v>11</v>
      </c>
      <c r="C193">
        <v>63298</v>
      </c>
      <c r="D193">
        <v>144</v>
      </c>
      <c r="E193">
        <v>1685</v>
      </c>
      <c r="F193">
        <v>4368</v>
      </c>
      <c r="G193">
        <v>0</v>
      </c>
      <c r="H193">
        <v>10875</v>
      </c>
      <c r="I193">
        <v>0</v>
      </c>
      <c r="J193">
        <v>0</v>
      </c>
      <c r="K193">
        <v>2009</v>
      </c>
      <c r="L193">
        <v>640</v>
      </c>
      <c r="M193">
        <v>8265</v>
      </c>
      <c r="N193">
        <v>37</v>
      </c>
      <c r="O193">
        <v>35494</v>
      </c>
      <c r="P193">
        <v>3736</v>
      </c>
      <c r="Q193">
        <v>38687</v>
      </c>
      <c r="R193">
        <v>7</v>
      </c>
      <c r="S193">
        <v>4000</v>
      </c>
      <c r="T193">
        <v>9328</v>
      </c>
      <c r="U193">
        <v>80</v>
      </c>
      <c r="V193">
        <v>0</v>
      </c>
      <c r="W193">
        <v>74086</v>
      </c>
      <c r="X193">
        <v>2882</v>
      </c>
      <c r="Y193">
        <v>33172</v>
      </c>
      <c r="Z193">
        <v>3708438.2078754362</v>
      </c>
      <c r="AA193">
        <v>3178661.3210360878</v>
      </c>
      <c r="AB193">
        <v>66781</v>
      </c>
      <c r="AC193">
        <v>-3472</v>
      </c>
      <c r="AD193" t="s">
        <v>136</v>
      </c>
      <c r="AE193" s="232">
        <f t="shared" si="21"/>
        <v>4.379625979941313E-2</v>
      </c>
      <c r="AF193" s="232">
        <f t="shared" si="22"/>
        <v>0.47374672677698892</v>
      </c>
      <c r="AG193" s="232">
        <f t="shared" si="23"/>
        <v>8.1702345922306505E-2</v>
      </c>
      <c r="AH193" s="232">
        <f t="shared" si="24"/>
        <v>0.14678886699241422</v>
      </c>
      <c r="AI193" s="232">
        <f t="shared" si="25"/>
        <v>0.38079880139297578</v>
      </c>
      <c r="AJ193" s="232">
        <f t="shared" si="26"/>
        <v>3.8900736981346003E-2</v>
      </c>
      <c r="AK193" s="232">
        <f t="shared" si="27"/>
        <v>4.2905020125746943E-2</v>
      </c>
      <c r="AL193" s="232">
        <f t="shared" si="28"/>
        <v>-1.1716113705693384E-2</v>
      </c>
      <c r="AM193" s="232">
        <f t="shared" si="29"/>
        <v>0.42953181798274426</v>
      </c>
      <c r="AN193" s="232">
        <v>5.9499999999999997E-2</v>
      </c>
      <c r="AO193" s="232">
        <f t="shared" si="30"/>
        <v>0.29749999999999999</v>
      </c>
      <c r="AT193" t="s">
        <v>271</v>
      </c>
      <c r="AU193">
        <v>3936999.9999999995</v>
      </c>
      <c r="AV193">
        <v>2611000</v>
      </c>
      <c r="AW193">
        <v>10198405.512993045</v>
      </c>
      <c r="AX193">
        <v>3650405.5129930452</v>
      </c>
      <c r="AY193">
        <v>3650405.5129930452</v>
      </c>
      <c r="AZ193">
        <v>71123000</v>
      </c>
      <c r="BA193">
        <v>5.1325246586800967E-2</v>
      </c>
    </row>
    <row r="194" spans="1:53" x14ac:dyDescent="0.25">
      <c r="A194" t="s">
        <v>749</v>
      </c>
      <c r="B194">
        <v>745</v>
      </c>
      <c r="C194">
        <v>146022</v>
      </c>
      <c r="D194">
        <v>1310</v>
      </c>
      <c r="E194">
        <v>4447</v>
      </c>
      <c r="F194">
        <v>3125</v>
      </c>
      <c r="G194">
        <v>0</v>
      </c>
      <c r="H194">
        <v>8906</v>
      </c>
      <c r="I194">
        <v>112</v>
      </c>
      <c r="J194">
        <v>0</v>
      </c>
      <c r="K194">
        <v>2405</v>
      </c>
      <c r="L194">
        <v>598</v>
      </c>
      <c r="M194">
        <v>21553</v>
      </c>
      <c r="N194">
        <v>15382</v>
      </c>
      <c r="O194">
        <v>38822</v>
      </c>
      <c r="P194">
        <v>18702</v>
      </c>
      <c r="Q194">
        <v>102575</v>
      </c>
      <c r="R194">
        <v>2</v>
      </c>
      <c r="S194">
        <v>8887</v>
      </c>
      <c r="T194">
        <v>23685</v>
      </c>
      <c r="U194">
        <v>11932</v>
      </c>
      <c r="V194">
        <v>1</v>
      </c>
      <c r="W194">
        <v>220822</v>
      </c>
      <c r="X194">
        <v>-7864</v>
      </c>
      <c r="Y194">
        <v>60953</v>
      </c>
      <c r="Z194">
        <v>1216574.5219371957</v>
      </c>
      <c r="AA194">
        <v>1042778.1616604535</v>
      </c>
      <c r="AB194">
        <v>135918</v>
      </c>
      <c r="AC194">
        <v>10849</v>
      </c>
      <c r="AD194" t="s">
        <v>749</v>
      </c>
      <c r="AE194" s="232">
        <f t="shared" si="21"/>
        <v>4.3434911170303757E-2</v>
      </c>
      <c r="AF194" s="232">
        <f t="shared" si="22"/>
        <v>0.4509106882466421</v>
      </c>
      <c r="AG194" s="232">
        <f t="shared" si="23"/>
        <v>3.4290061678637095E-2</v>
      </c>
      <c r="AH194" s="232">
        <f t="shared" si="24"/>
        <v>4.0838322268614544E-2</v>
      </c>
      <c r="AI194" s="232">
        <f t="shared" si="25"/>
        <v>0.42643867006004837</v>
      </c>
      <c r="AJ194" s="232">
        <f t="shared" si="26"/>
        <v>-3.5612393692657437E-2</v>
      </c>
      <c r="AK194" s="232">
        <f t="shared" si="27"/>
        <v>4.7222566667291009E-3</v>
      </c>
      <c r="AL194" s="232">
        <f t="shared" si="28"/>
        <v>1.2282517140502306E-2</v>
      </c>
      <c r="AM194" s="232">
        <f t="shared" si="29"/>
        <v>0.28114659954546567</v>
      </c>
      <c r="AN194" s="232">
        <v>4.3400000000000001E-2</v>
      </c>
      <c r="AO194" s="232">
        <f t="shared" si="30"/>
        <v>0.217</v>
      </c>
      <c r="AT194" t="s">
        <v>232</v>
      </c>
      <c r="AU194">
        <v>1340000</v>
      </c>
      <c r="AV194">
        <v>772000</v>
      </c>
      <c r="AW194">
        <v>3377980.8857608796</v>
      </c>
      <c r="AX194">
        <v>1265980.8857608796</v>
      </c>
      <c r="AY194">
        <v>1265980.8857608796</v>
      </c>
      <c r="AZ194">
        <v>21538000</v>
      </c>
      <c r="BA194">
        <v>5.8778943530545066E-2</v>
      </c>
    </row>
    <row r="195" spans="1:53" x14ac:dyDescent="0.25">
      <c r="A195" s="101" t="s">
        <v>438</v>
      </c>
      <c r="B195">
        <v>514</v>
      </c>
      <c r="C195">
        <v>28691</v>
      </c>
      <c r="D195">
        <v>14</v>
      </c>
      <c r="E195">
        <v>0</v>
      </c>
      <c r="F195">
        <v>403</v>
      </c>
      <c r="G195">
        <v>0</v>
      </c>
      <c r="H195">
        <v>-269</v>
      </c>
      <c r="I195">
        <v>3</v>
      </c>
      <c r="J195">
        <v>0</v>
      </c>
      <c r="K195">
        <v>2062</v>
      </c>
      <c r="L195">
        <v>181</v>
      </c>
      <c r="M195">
        <v>2771</v>
      </c>
      <c r="N195">
        <v>344</v>
      </c>
      <c r="O195">
        <v>13152</v>
      </c>
      <c r="P195">
        <v>4115</v>
      </c>
      <c r="Q195">
        <v>9065</v>
      </c>
      <c r="R195">
        <v>1</v>
      </c>
      <c r="S195">
        <v>5000</v>
      </c>
      <c r="T195">
        <v>2866</v>
      </c>
      <c r="U195">
        <v>515</v>
      </c>
      <c r="V195">
        <v>-2</v>
      </c>
      <c r="W195">
        <v>23833</v>
      </c>
      <c r="X195">
        <v>-328</v>
      </c>
      <c r="Y195">
        <v>10831</v>
      </c>
      <c r="Z195">
        <v>574443.97282196721</v>
      </c>
      <c r="AA195">
        <v>492380.5481331147</v>
      </c>
      <c r="AB195">
        <v>31850</v>
      </c>
      <c r="AC195">
        <v>-2645</v>
      </c>
      <c r="AD195" t="s">
        <v>438</v>
      </c>
      <c r="AE195" s="232">
        <f t="shared" ref="AE195:AE258" si="31">S195/SUM(O195:U195)</f>
        <v>0.1440341072766031</v>
      </c>
      <c r="AF195" s="232">
        <f t="shared" ref="AF195:AF258" si="32">SUM(Q195,R195,S195,T195,U195,-E195,-F195,-G195,-J195,-K195,-L195,-M195,-N195)/W195</f>
        <v>0.49032853606344146</v>
      </c>
      <c r="AG195" s="232">
        <f t="shared" ref="AG195:AG258" si="33">SUM(E195,F195)/W195</f>
        <v>1.6909327403180463E-2</v>
      </c>
      <c r="AH195" s="232">
        <f t="shared" ref="AH195:AH258" si="34">SUM(H195,I195)/W195</f>
        <v>-1.1160995258674946E-2</v>
      </c>
      <c r="AI195" s="232">
        <f t="shared" ref="AI195:AI258" si="35">SUM(AF195,0.12*AG195,-0.7*AH195)</f>
        <v>0.50017035203289562</v>
      </c>
      <c r="AJ195" s="232">
        <f t="shared" ref="AJ195:AJ258" si="36">X195/W195</f>
        <v>-1.3762430243779633E-2</v>
      </c>
      <c r="AK195" s="232">
        <f t="shared" ref="AK195:AK258" si="37">AA195/(1000*W195)</f>
        <v>2.0659612643524304E-2</v>
      </c>
      <c r="AL195" s="232">
        <f t="shared" ref="AL195:AL258" si="38">(AC195/4)/W195</f>
        <v>-2.7745143288717324E-2</v>
      </c>
      <c r="AM195" s="232">
        <f t="shared" ref="AM195:AM258" si="39">SUM(O195,P195)/SUM(O195,P195,Q195,R195,S195,T195,U195)</f>
        <v>0.49740738606902113</v>
      </c>
      <c r="AN195" s="232">
        <v>4.9099999999999998E-2</v>
      </c>
      <c r="AO195" s="232">
        <f t="shared" si="30"/>
        <v>0.2455</v>
      </c>
      <c r="AT195" t="s">
        <v>233</v>
      </c>
      <c r="AU195">
        <v>7936000</v>
      </c>
      <c r="AV195">
        <v>2246000</v>
      </c>
      <c r="AW195">
        <v>11315901.102484461</v>
      </c>
      <c r="AX195">
        <v>1133901.1024844609</v>
      </c>
      <c r="AY195">
        <v>1133901.1024844609</v>
      </c>
      <c r="AZ195">
        <v>121515000</v>
      </c>
      <c r="BA195">
        <v>9.3313673413525974E-3</v>
      </c>
    </row>
    <row r="196" spans="1:53" x14ac:dyDescent="0.25">
      <c r="A196" t="s">
        <v>439</v>
      </c>
      <c r="B196">
        <v>448</v>
      </c>
      <c r="C196">
        <v>82139</v>
      </c>
      <c r="D196">
        <v>237</v>
      </c>
      <c r="E196">
        <v>0</v>
      </c>
      <c r="F196">
        <v>20614</v>
      </c>
      <c r="G196">
        <v>0</v>
      </c>
      <c r="H196">
        <v>10188</v>
      </c>
      <c r="I196">
        <v>6012</v>
      </c>
      <c r="J196">
        <v>0</v>
      </c>
      <c r="K196">
        <v>780</v>
      </c>
      <c r="L196">
        <v>718</v>
      </c>
      <c r="M196">
        <v>9654</v>
      </c>
      <c r="N196">
        <v>5161</v>
      </c>
      <c r="O196">
        <v>66732</v>
      </c>
      <c r="P196">
        <v>24644</v>
      </c>
      <c r="Q196">
        <v>27174</v>
      </c>
      <c r="R196">
        <v>45</v>
      </c>
      <c r="S196">
        <v>0</v>
      </c>
      <c r="T196">
        <v>6336</v>
      </c>
      <c r="U196">
        <v>11020</v>
      </c>
      <c r="V196">
        <v>0</v>
      </c>
      <c r="W196">
        <v>100723</v>
      </c>
      <c r="X196">
        <v>0</v>
      </c>
      <c r="Y196">
        <v>36967</v>
      </c>
      <c r="Z196">
        <v>3263970.4153753147</v>
      </c>
      <c r="AA196">
        <v>2797688.9274645555</v>
      </c>
      <c r="AB196">
        <v>84269</v>
      </c>
      <c r="AC196">
        <v>-1682</v>
      </c>
      <c r="AD196" t="s">
        <v>439</v>
      </c>
      <c r="AE196" s="232">
        <f t="shared" si="31"/>
        <v>0</v>
      </c>
      <c r="AF196" s="232">
        <f t="shared" si="32"/>
        <v>7.5931018734549216E-2</v>
      </c>
      <c r="AG196" s="232">
        <f t="shared" si="33"/>
        <v>0.20466030598770887</v>
      </c>
      <c r="AH196" s="232">
        <f t="shared" si="34"/>
        <v>0.16083714742412358</v>
      </c>
      <c r="AI196" s="232">
        <f t="shared" si="35"/>
        <v>-1.2095747743812224E-2</v>
      </c>
      <c r="AJ196" s="232">
        <f t="shared" si="36"/>
        <v>0</v>
      </c>
      <c r="AK196" s="232">
        <f t="shared" si="37"/>
        <v>2.7776068300830549E-2</v>
      </c>
      <c r="AL196" s="232">
        <f t="shared" si="38"/>
        <v>-4.1748160797434545E-3</v>
      </c>
      <c r="AM196" s="232">
        <f t="shared" si="39"/>
        <v>0.67212451545041962</v>
      </c>
      <c r="AN196" s="232">
        <v>3.4000000000000002E-2</v>
      </c>
      <c r="AO196" s="232">
        <f t="shared" si="30"/>
        <v>0.17</v>
      </c>
      <c r="AT196" t="s">
        <v>360</v>
      </c>
      <c r="AU196">
        <v>2369000</v>
      </c>
      <c r="AV196">
        <v>2000000</v>
      </c>
      <c r="AW196">
        <v>8224528.6532951295</v>
      </c>
      <c r="AX196">
        <v>3855528.6532951295</v>
      </c>
      <c r="AY196">
        <v>3855528.6532951295</v>
      </c>
      <c r="AZ196">
        <v>50974000</v>
      </c>
      <c r="BA196">
        <v>7.5637161166381486E-2</v>
      </c>
    </row>
    <row r="197" spans="1:53" x14ac:dyDescent="0.25">
      <c r="A197" t="s">
        <v>750</v>
      </c>
      <c r="B197">
        <v>17884</v>
      </c>
      <c r="C197">
        <v>92568</v>
      </c>
      <c r="D197">
        <v>2710</v>
      </c>
      <c r="E197">
        <v>3314</v>
      </c>
      <c r="F197">
        <v>34757</v>
      </c>
      <c r="G197">
        <v>5531</v>
      </c>
      <c r="H197">
        <v>12612</v>
      </c>
      <c r="I197">
        <v>0</v>
      </c>
      <c r="J197">
        <v>0</v>
      </c>
      <c r="K197">
        <v>11602</v>
      </c>
      <c r="L197">
        <v>349</v>
      </c>
      <c r="M197">
        <v>6974</v>
      </c>
      <c r="N197">
        <v>5432</v>
      </c>
      <c r="O197">
        <v>97764</v>
      </c>
      <c r="P197">
        <v>18611</v>
      </c>
      <c r="Q197">
        <v>57485</v>
      </c>
      <c r="R197">
        <v>0</v>
      </c>
      <c r="S197">
        <v>5000</v>
      </c>
      <c r="T197">
        <v>8707</v>
      </c>
      <c r="U197">
        <v>6166</v>
      </c>
      <c r="V197">
        <v>4</v>
      </c>
      <c r="W197">
        <v>89413</v>
      </c>
      <c r="X197">
        <v>-317</v>
      </c>
      <c r="Y197">
        <v>43846</v>
      </c>
      <c r="Z197">
        <v>5555451.4369208934</v>
      </c>
      <c r="AA197">
        <v>4761815.5173607655</v>
      </c>
      <c r="AB197">
        <v>93165</v>
      </c>
      <c r="AC197">
        <v>17287</v>
      </c>
      <c r="AD197" t="s">
        <v>750</v>
      </c>
      <c r="AE197" s="232">
        <f t="shared" si="31"/>
        <v>2.5808716119607913E-2</v>
      </c>
      <c r="AF197" s="232">
        <f t="shared" si="32"/>
        <v>0.10511894243566372</v>
      </c>
      <c r="AG197" s="232">
        <f t="shared" si="33"/>
        <v>0.42578819634728732</v>
      </c>
      <c r="AH197" s="232">
        <f t="shared" si="34"/>
        <v>0.14105331439499849</v>
      </c>
      <c r="AI197" s="232">
        <f t="shared" si="35"/>
        <v>5.7476205920839268E-2</v>
      </c>
      <c r="AJ197" s="232">
        <f t="shared" si="36"/>
        <v>-3.5453457550915415E-3</v>
      </c>
      <c r="AK197" s="232">
        <f t="shared" si="37"/>
        <v>5.3256411454271367E-2</v>
      </c>
      <c r="AL197" s="232">
        <f t="shared" si="38"/>
        <v>4.8334694060147856E-2</v>
      </c>
      <c r="AM197" s="232">
        <f t="shared" si="39"/>
        <v>0.60069786768387423</v>
      </c>
      <c r="AN197" s="232">
        <v>0.06</v>
      </c>
      <c r="AO197" s="232">
        <f t="shared" si="30"/>
        <v>0.3</v>
      </c>
      <c r="AT197" t="s">
        <v>175</v>
      </c>
      <c r="AU197">
        <v>1170000</v>
      </c>
      <c r="AV197">
        <v>562000</v>
      </c>
      <c r="AW197">
        <v>2642748.4169152379</v>
      </c>
      <c r="AX197">
        <v>910748.4169152379</v>
      </c>
      <c r="AY197">
        <v>910748.4169152379</v>
      </c>
      <c r="AZ197">
        <v>23549000</v>
      </c>
      <c r="BA197">
        <v>3.8674611105152572E-2</v>
      </c>
    </row>
    <row r="198" spans="1:53" x14ac:dyDescent="0.25">
      <c r="A198" t="s">
        <v>236</v>
      </c>
      <c r="B198">
        <v>484</v>
      </c>
      <c r="C198">
        <v>97839</v>
      </c>
      <c r="D198">
        <v>97</v>
      </c>
      <c r="E198">
        <v>3393</v>
      </c>
      <c r="F198">
        <v>2374</v>
      </c>
      <c r="G198">
        <v>0</v>
      </c>
      <c r="H198">
        <v>16798</v>
      </c>
      <c r="I198">
        <v>8</v>
      </c>
      <c r="J198">
        <v>0</v>
      </c>
      <c r="K198">
        <v>1050</v>
      </c>
      <c r="L198">
        <v>93</v>
      </c>
      <c r="M198">
        <v>5523</v>
      </c>
      <c r="N198">
        <v>3217</v>
      </c>
      <c r="O198">
        <v>31712</v>
      </c>
      <c r="P198">
        <v>8569</v>
      </c>
      <c r="Q198">
        <v>80070</v>
      </c>
      <c r="R198">
        <v>8</v>
      </c>
      <c r="S198">
        <v>0</v>
      </c>
      <c r="T198">
        <v>3798</v>
      </c>
      <c r="U198">
        <v>6719</v>
      </c>
      <c r="V198">
        <v>-1</v>
      </c>
      <c r="W198">
        <v>92739</v>
      </c>
      <c r="X198">
        <v>324</v>
      </c>
      <c r="Y198">
        <v>35627</v>
      </c>
      <c r="Z198">
        <v>2717919.3337012846</v>
      </c>
      <c r="AA198">
        <v>2329645.14317253</v>
      </c>
      <c r="AB198">
        <v>116242</v>
      </c>
      <c r="AC198">
        <v>-17919</v>
      </c>
      <c r="AD198" t="s">
        <v>236</v>
      </c>
      <c r="AE198" s="232">
        <f t="shared" si="31"/>
        <v>0</v>
      </c>
      <c r="AF198" s="232">
        <f t="shared" si="32"/>
        <v>0.8081281877095936</v>
      </c>
      <c r="AG198" s="232">
        <f t="shared" si="33"/>
        <v>6.2185272646890735E-2</v>
      </c>
      <c r="AH198" s="232">
        <f t="shared" si="34"/>
        <v>0.18121825769093908</v>
      </c>
      <c r="AI198" s="232">
        <f t="shared" si="35"/>
        <v>0.68873764004356319</v>
      </c>
      <c r="AJ198" s="232">
        <f t="shared" si="36"/>
        <v>3.4936757998253161E-3</v>
      </c>
      <c r="AK198" s="232">
        <f t="shared" si="37"/>
        <v>2.512044709531621E-2</v>
      </c>
      <c r="AL198" s="232">
        <f t="shared" si="38"/>
        <v>-4.8304920260084754E-2</v>
      </c>
      <c r="AM198" s="232">
        <f t="shared" si="39"/>
        <v>0.30777988324826555</v>
      </c>
      <c r="AN198" s="232">
        <v>3.39E-2</v>
      </c>
      <c r="AO198" s="232">
        <f t="shared" si="30"/>
        <v>0.16949999999999998</v>
      </c>
      <c r="AT198" t="s">
        <v>234</v>
      </c>
      <c r="AU198">
        <v>3710000</v>
      </c>
      <c r="AV198">
        <v>1681999.9999999998</v>
      </c>
      <c r="AW198">
        <v>12200955.723212926</v>
      </c>
      <c r="AX198">
        <v>6808955.7232129257</v>
      </c>
      <c r="AY198">
        <v>6808955.7232129257</v>
      </c>
      <c r="AZ198">
        <v>85334000</v>
      </c>
      <c r="BA198">
        <v>7.9791826507756874E-2</v>
      </c>
    </row>
    <row r="199" spans="1:53" x14ac:dyDescent="0.25">
      <c r="A199" t="s">
        <v>506</v>
      </c>
      <c r="B199">
        <v>0</v>
      </c>
      <c r="C199">
        <v>21864</v>
      </c>
      <c r="D199">
        <v>213</v>
      </c>
      <c r="E199">
        <v>0</v>
      </c>
      <c r="F199">
        <v>270</v>
      </c>
      <c r="G199">
        <v>0</v>
      </c>
      <c r="H199">
        <v>1999</v>
      </c>
      <c r="I199">
        <v>0</v>
      </c>
      <c r="J199">
        <v>0</v>
      </c>
      <c r="K199">
        <v>0</v>
      </c>
      <c r="L199">
        <v>1541</v>
      </c>
      <c r="M199">
        <v>662</v>
      </c>
      <c r="N199">
        <v>4874</v>
      </c>
      <c r="O199">
        <v>7734</v>
      </c>
      <c r="P199">
        <v>6355</v>
      </c>
      <c r="Q199">
        <v>13833</v>
      </c>
      <c r="R199">
        <v>28</v>
      </c>
      <c r="S199">
        <v>0</v>
      </c>
      <c r="T199">
        <v>1134</v>
      </c>
      <c r="U199">
        <v>2339</v>
      </c>
      <c r="V199">
        <v>0</v>
      </c>
      <c r="W199">
        <v>26654</v>
      </c>
      <c r="X199">
        <v>671</v>
      </c>
      <c r="Y199">
        <v>13879</v>
      </c>
      <c r="Z199">
        <v>788479.15228070179</v>
      </c>
      <c r="AA199">
        <v>675839.27338345873</v>
      </c>
      <c r="AB199">
        <v>20828</v>
      </c>
      <c r="AC199">
        <v>1036</v>
      </c>
      <c r="AD199" t="s">
        <v>506</v>
      </c>
      <c r="AE199" s="232">
        <f t="shared" si="31"/>
        <v>0</v>
      </c>
      <c r="AF199" s="232">
        <f t="shared" si="32"/>
        <v>0.37469047797703908</v>
      </c>
      <c r="AG199" s="232">
        <f t="shared" si="33"/>
        <v>1.0129811660538756E-2</v>
      </c>
      <c r="AH199" s="232">
        <f t="shared" si="34"/>
        <v>7.499812410895175E-2</v>
      </c>
      <c r="AI199" s="232">
        <f t="shared" si="35"/>
        <v>0.32340736850003748</v>
      </c>
      <c r="AJ199" s="232">
        <f t="shared" si="36"/>
        <v>2.5174457867487055E-2</v>
      </c>
      <c r="AK199" s="232">
        <f t="shared" si="37"/>
        <v>2.5356016859888149E-2</v>
      </c>
      <c r="AL199" s="232">
        <f t="shared" si="38"/>
        <v>9.7171156299242136E-3</v>
      </c>
      <c r="AM199" s="232">
        <f t="shared" si="39"/>
        <v>0.44836584667281926</v>
      </c>
      <c r="AN199" s="232">
        <v>4.4299999999999999E-2</v>
      </c>
      <c r="AO199" s="232">
        <f t="shared" si="30"/>
        <v>0.2215</v>
      </c>
      <c r="AT199" t="s">
        <v>437</v>
      </c>
      <c r="AU199">
        <v>3244000</v>
      </c>
      <c r="AV199">
        <v>2051000.0000000002</v>
      </c>
      <c r="AW199">
        <v>7652988.8039642479</v>
      </c>
      <c r="AX199">
        <v>2357988.8039642479</v>
      </c>
      <c r="AY199">
        <v>2357988.8039642479</v>
      </c>
      <c r="AZ199">
        <v>52885000</v>
      </c>
      <c r="BA199">
        <v>4.4587100386957512E-2</v>
      </c>
    </row>
    <row r="200" spans="1:53" x14ac:dyDescent="0.25">
      <c r="A200" t="s">
        <v>477</v>
      </c>
      <c r="B200">
        <v>131</v>
      </c>
      <c r="C200">
        <v>7255</v>
      </c>
      <c r="D200">
        <v>439</v>
      </c>
      <c r="E200">
        <v>300</v>
      </c>
      <c r="F200">
        <v>53</v>
      </c>
      <c r="G200">
        <v>0</v>
      </c>
      <c r="H200">
        <v>0</v>
      </c>
      <c r="I200">
        <v>0</v>
      </c>
      <c r="J200">
        <v>0</v>
      </c>
      <c r="K200">
        <v>8075</v>
      </c>
      <c r="L200">
        <v>230</v>
      </c>
      <c r="M200">
        <v>2052</v>
      </c>
      <c r="N200">
        <v>1146</v>
      </c>
      <c r="O200">
        <v>10468</v>
      </c>
      <c r="P200">
        <v>5635</v>
      </c>
      <c r="Q200">
        <v>1271</v>
      </c>
      <c r="R200">
        <v>0</v>
      </c>
      <c r="S200">
        <v>0</v>
      </c>
      <c r="T200">
        <v>1119</v>
      </c>
      <c r="U200">
        <v>1188</v>
      </c>
      <c r="V200">
        <v>0</v>
      </c>
      <c r="W200">
        <v>15707</v>
      </c>
      <c r="X200">
        <v>648</v>
      </c>
      <c r="Y200">
        <v>7768</v>
      </c>
      <c r="Z200">
        <v>878909.44002010114</v>
      </c>
      <c r="AA200">
        <v>753350.94858865812</v>
      </c>
      <c r="AB200">
        <v>6862</v>
      </c>
      <c r="AC200">
        <v>524</v>
      </c>
      <c r="AD200" t="s">
        <v>477</v>
      </c>
      <c r="AE200" s="232">
        <f t="shared" si="31"/>
        <v>0</v>
      </c>
      <c r="AF200" s="232">
        <f t="shared" si="32"/>
        <v>-0.52702616667727764</v>
      </c>
      <c r="AG200" s="232">
        <f t="shared" si="33"/>
        <v>2.2474056153307442E-2</v>
      </c>
      <c r="AH200" s="232">
        <f t="shared" si="34"/>
        <v>0</v>
      </c>
      <c r="AI200" s="232">
        <f t="shared" si="35"/>
        <v>-0.52432927993888079</v>
      </c>
      <c r="AJ200" s="232">
        <f t="shared" si="36"/>
        <v>4.1255491182275415E-2</v>
      </c>
      <c r="AK200" s="232">
        <f t="shared" si="37"/>
        <v>4.7962752186200934E-2</v>
      </c>
      <c r="AL200" s="232">
        <f t="shared" si="38"/>
        <v>8.3402304704908638E-3</v>
      </c>
      <c r="AM200" s="232">
        <f t="shared" si="39"/>
        <v>0.81820029470047251</v>
      </c>
      <c r="AN200" s="232">
        <v>3.7400000000000003E-2</v>
      </c>
      <c r="AO200" s="232">
        <f t="shared" si="30"/>
        <v>0.187</v>
      </c>
      <c r="AT200" t="s">
        <v>272</v>
      </c>
      <c r="AU200">
        <v>1942999.9999999998</v>
      </c>
      <c r="AV200">
        <v>732000</v>
      </c>
      <c r="AW200">
        <v>4395005.5284917224</v>
      </c>
      <c r="AX200">
        <v>1720005.5284917224</v>
      </c>
      <c r="AY200">
        <v>1720005.5284917224</v>
      </c>
      <c r="AZ200">
        <v>27122000</v>
      </c>
      <c r="BA200">
        <v>6.3417355965331559E-2</v>
      </c>
    </row>
    <row r="201" spans="1:53" x14ac:dyDescent="0.25">
      <c r="A201" t="s">
        <v>237</v>
      </c>
      <c r="B201">
        <v>31</v>
      </c>
      <c r="C201">
        <v>47187</v>
      </c>
      <c r="D201">
        <v>83</v>
      </c>
      <c r="E201">
        <v>0</v>
      </c>
      <c r="F201">
        <v>1080</v>
      </c>
      <c r="G201">
        <v>0</v>
      </c>
      <c r="H201">
        <v>2821</v>
      </c>
      <c r="I201">
        <v>0</v>
      </c>
      <c r="J201">
        <v>0</v>
      </c>
      <c r="K201">
        <v>3148</v>
      </c>
      <c r="L201">
        <v>-1199</v>
      </c>
      <c r="M201">
        <v>5393</v>
      </c>
      <c r="N201">
        <v>1523</v>
      </c>
      <c r="O201">
        <v>27515</v>
      </c>
      <c r="P201">
        <v>4906</v>
      </c>
      <c r="Q201">
        <v>20441</v>
      </c>
      <c r="R201">
        <v>4</v>
      </c>
      <c r="S201">
        <v>0</v>
      </c>
      <c r="T201">
        <v>3651</v>
      </c>
      <c r="U201">
        <v>3550</v>
      </c>
      <c r="V201">
        <v>-1</v>
      </c>
      <c r="W201">
        <v>52572</v>
      </c>
      <c r="X201">
        <v>3010</v>
      </c>
      <c r="Y201">
        <v>23615</v>
      </c>
      <c r="Z201">
        <v>677300.5295641413</v>
      </c>
      <c r="AA201">
        <v>580543.31105497817</v>
      </c>
      <c r="AB201">
        <v>56631</v>
      </c>
      <c r="AC201">
        <v>-9413</v>
      </c>
      <c r="AD201" t="s">
        <v>237</v>
      </c>
      <c r="AE201" s="232">
        <f t="shared" si="31"/>
        <v>0</v>
      </c>
      <c r="AF201" s="232">
        <f t="shared" si="32"/>
        <v>0.33670014456364605</v>
      </c>
      <c r="AG201" s="232">
        <f t="shared" si="33"/>
        <v>2.054325496461995E-2</v>
      </c>
      <c r="AH201" s="232">
        <f t="shared" si="34"/>
        <v>5.3659742828882293E-2</v>
      </c>
      <c r="AI201" s="232">
        <f t="shared" si="35"/>
        <v>0.30160351517918282</v>
      </c>
      <c r="AJ201" s="232">
        <f t="shared" si="36"/>
        <v>5.7254812447690789E-2</v>
      </c>
      <c r="AK201" s="232">
        <f t="shared" si="37"/>
        <v>1.1042823386117671E-2</v>
      </c>
      <c r="AL201" s="232">
        <f t="shared" si="38"/>
        <v>-4.4762421060640642E-2</v>
      </c>
      <c r="AM201" s="232">
        <f t="shared" si="39"/>
        <v>0.53974728220154167</v>
      </c>
      <c r="AN201" s="232">
        <v>2.53E-2</v>
      </c>
      <c r="AO201" s="232">
        <f t="shared" si="30"/>
        <v>0.1265</v>
      </c>
      <c r="AT201" t="s">
        <v>153</v>
      </c>
      <c r="AU201">
        <v>1149000</v>
      </c>
      <c r="AV201">
        <v>822000</v>
      </c>
      <c r="AW201">
        <v>2343925.2703496902</v>
      </c>
      <c r="AX201">
        <v>372925.27034969022</v>
      </c>
      <c r="AY201">
        <v>372925.27034969022</v>
      </c>
      <c r="AZ201">
        <v>32572000</v>
      </c>
      <c r="BA201">
        <v>1.144925919039943E-2</v>
      </c>
    </row>
    <row r="202" spans="1:53" x14ac:dyDescent="0.25">
      <c r="A202" t="s">
        <v>478</v>
      </c>
      <c r="B202">
        <v>20</v>
      </c>
      <c r="C202">
        <v>17601</v>
      </c>
      <c r="D202">
        <v>1092</v>
      </c>
      <c r="E202">
        <v>0</v>
      </c>
      <c r="F202">
        <v>419</v>
      </c>
      <c r="G202">
        <v>0</v>
      </c>
      <c r="H202">
        <v>7819</v>
      </c>
      <c r="I202">
        <v>1</v>
      </c>
      <c r="J202">
        <v>0</v>
      </c>
      <c r="K202">
        <v>0</v>
      </c>
      <c r="L202">
        <v>21167</v>
      </c>
      <c r="M202">
        <v>4503</v>
      </c>
      <c r="N202">
        <v>11</v>
      </c>
      <c r="O202">
        <v>28974</v>
      </c>
      <c r="P202">
        <v>18211</v>
      </c>
      <c r="Q202">
        <v>0</v>
      </c>
      <c r="R202">
        <v>5</v>
      </c>
      <c r="S202">
        <v>0</v>
      </c>
      <c r="T202">
        <v>4954</v>
      </c>
      <c r="U202">
        <v>489</v>
      </c>
      <c r="V202">
        <v>-7</v>
      </c>
      <c r="W202">
        <v>41865</v>
      </c>
      <c r="X202">
        <v>4299</v>
      </c>
      <c r="Y202">
        <v>17038</v>
      </c>
      <c r="Z202">
        <v>1336845.0420837682</v>
      </c>
      <c r="AA202">
        <v>1145867.178928944</v>
      </c>
      <c r="AB202">
        <v>15429</v>
      </c>
      <c r="AC202">
        <v>2192</v>
      </c>
      <c r="AD202" t="s">
        <v>478</v>
      </c>
      <c r="AE202" s="232">
        <f t="shared" si="31"/>
        <v>0</v>
      </c>
      <c r="AF202" s="232">
        <f t="shared" si="32"/>
        <v>-0.49329989251164458</v>
      </c>
      <c r="AG202" s="232">
        <f t="shared" si="33"/>
        <v>1.0008360205422191E-2</v>
      </c>
      <c r="AH202" s="232">
        <f t="shared" si="34"/>
        <v>0.18679087543293921</v>
      </c>
      <c r="AI202" s="232">
        <f t="shared" si="35"/>
        <v>-0.62285250209005139</v>
      </c>
      <c r="AJ202" s="232">
        <f t="shared" si="36"/>
        <v>0.10268720888570405</v>
      </c>
      <c r="AK202" s="232">
        <f t="shared" si="37"/>
        <v>2.7370528578262131E-2</v>
      </c>
      <c r="AL202" s="232">
        <f t="shared" si="38"/>
        <v>1.30896930610295E-2</v>
      </c>
      <c r="AM202" s="232">
        <f t="shared" si="39"/>
        <v>0.89649079474854176</v>
      </c>
      <c r="AN202" s="232">
        <v>4.5600000000000002E-2</v>
      </c>
      <c r="AO202" s="232">
        <f t="shared" si="30"/>
        <v>0.22800000000000001</v>
      </c>
      <c r="AT202" t="s">
        <v>196</v>
      </c>
      <c r="AU202">
        <v>3120000</v>
      </c>
      <c r="AV202">
        <v>1687000.0000000002</v>
      </c>
      <c r="AW202">
        <v>5890676.7650346737</v>
      </c>
      <c r="AX202">
        <v>1083676.7650346735</v>
      </c>
      <c r="AY202">
        <v>1083676.7650346735</v>
      </c>
      <c r="AZ202">
        <v>56147000</v>
      </c>
      <c r="BA202">
        <v>1.9300706449759977E-2</v>
      </c>
    </row>
    <row r="203" spans="1:53" x14ac:dyDescent="0.25">
      <c r="A203" t="s">
        <v>273</v>
      </c>
      <c r="B203">
        <v>506</v>
      </c>
      <c r="C203">
        <v>233865</v>
      </c>
      <c r="D203">
        <v>10747</v>
      </c>
      <c r="E203">
        <v>3640</v>
      </c>
      <c r="F203">
        <v>1991</v>
      </c>
      <c r="G203">
        <v>0</v>
      </c>
      <c r="H203">
        <v>6557</v>
      </c>
      <c r="I203">
        <v>0</v>
      </c>
      <c r="J203">
        <v>0</v>
      </c>
      <c r="K203">
        <v>0</v>
      </c>
      <c r="L203">
        <v>33202</v>
      </c>
      <c r="M203">
        <v>7804</v>
      </c>
      <c r="N203">
        <v>2667</v>
      </c>
      <c r="O203">
        <v>108439</v>
      </c>
      <c r="P203">
        <v>13266</v>
      </c>
      <c r="Q203">
        <v>158500</v>
      </c>
      <c r="R203">
        <v>449</v>
      </c>
      <c r="S203">
        <v>0</v>
      </c>
      <c r="T203">
        <v>19557</v>
      </c>
      <c r="U203">
        <v>768</v>
      </c>
      <c r="V203">
        <v>2</v>
      </c>
      <c r="W203">
        <v>210921</v>
      </c>
      <c r="X203">
        <v>10004</v>
      </c>
      <c r="Y203">
        <v>62426</v>
      </c>
      <c r="Z203">
        <v>3583794.9363480918</v>
      </c>
      <c r="AA203">
        <v>3071824.2311555073</v>
      </c>
      <c r="AB203">
        <v>263106</v>
      </c>
      <c r="AC203">
        <v>-28735</v>
      </c>
      <c r="AD203" t="s">
        <v>273</v>
      </c>
      <c r="AE203" s="232">
        <f t="shared" si="31"/>
        <v>0</v>
      </c>
      <c r="AF203" s="232">
        <f t="shared" si="32"/>
        <v>0.61620227478534617</v>
      </c>
      <c r="AG203" s="232">
        <f t="shared" si="33"/>
        <v>2.6697199425377273E-2</v>
      </c>
      <c r="AH203" s="232">
        <f t="shared" si="34"/>
        <v>3.1087468767927329E-2</v>
      </c>
      <c r="AI203" s="232">
        <f t="shared" si="35"/>
        <v>0.59764471057884239</v>
      </c>
      <c r="AJ203" s="232">
        <f t="shared" si="36"/>
        <v>4.7430080456663873E-2</v>
      </c>
      <c r="AK203" s="232">
        <f t="shared" si="37"/>
        <v>1.4563861498644077E-2</v>
      </c>
      <c r="AL203" s="232">
        <f t="shared" si="38"/>
        <v>-3.4058960463870358E-2</v>
      </c>
      <c r="AM203" s="232">
        <f t="shared" si="39"/>
        <v>0.40436375959784571</v>
      </c>
      <c r="AN203" s="232">
        <v>-1.41E-2</v>
      </c>
      <c r="AO203" s="232">
        <f t="shared" si="30"/>
        <v>-7.0499999999999993E-2</v>
      </c>
      <c r="AT203" t="s">
        <v>235</v>
      </c>
      <c r="AU203">
        <v>2750000</v>
      </c>
      <c r="AV203">
        <v>2248000</v>
      </c>
      <c r="AW203">
        <v>7496851.36577815</v>
      </c>
      <c r="AX203">
        <v>2498851.36577815</v>
      </c>
      <c r="AY203">
        <v>2498851.36577815</v>
      </c>
      <c r="AZ203">
        <v>54473000</v>
      </c>
      <c r="BA203">
        <v>4.587320995315386E-2</v>
      </c>
    </row>
    <row r="204" spans="1:53" x14ac:dyDescent="0.25">
      <c r="A204" t="s">
        <v>364</v>
      </c>
      <c r="B204">
        <v>199</v>
      </c>
      <c r="C204">
        <v>47897</v>
      </c>
      <c r="D204">
        <v>411</v>
      </c>
      <c r="E204">
        <v>0</v>
      </c>
      <c r="F204">
        <v>882</v>
      </c>
      <c r="G204">
        <v>0</v>
      </c>
      <c r="H204">
        <v>28141</v>
      </c>
      <c r="I204">
        <v>2</v>
      </c>
      <c r="J204">
        <v>0</v>
      </c>
      <c r="K204">
        <v>30031</v>
      </c>
      <c r="L204">
        <v>337</v>
      </c>
      <c r="M204">
        <v>7513</v>
      </c>
      <c r="N204">
        <v>1576</v>
      </c>
      <c r="O204">
        <v>48467</v>
      </c>
      <c r="P204">
        <v>22531</v>
      </c>
      <c r="Q204">
        <v>40193</v>
      </c>
      <c r="R204">
        <v>32</v>
      </c>
      <c r="S204">
        <v>0</v>
      </c>
      <c r="T204">
        <v>3222</v>
      </c>
      <c r="U204">
        <v>2544</v>
      </c>
      <c r="V204">
        <v>6</v>
      </c>
      <c r="W204">
        <v>80616</v>
      </c>
      <c r="X204">
        <v>-1446</v>
      </c>
      <c r="Y204">
        <v>28269</v>
      </c>
      <c r="Z204">
        <v>1842816.5870584939</v>
      </c>
      <c r="AA204">
        <v>1579557.0746215663</v>
      </c>
      <c r="AB204">
        <v>37931</v>
      </c>
      <c r="AC204">
        <v>10165</v>
      </c>
      <c r="AD204" t="s">
        <v>364</v>
      </c>
      <c r="AE204" s="232">
        <f t="shared" si="31"/>
        <v>0</v>
      </c>
      <c r="AF204" s="232">
        <f t="shared" si="32"/>
        <v>7.0110151830902051E-2</v>
      </c>
      <c r="AG204" s="232">
        <f t="shared" si="33"/>
        <v>1.094075617743376E-2</v>
      </c>
      <c r="AH204" s="232">
        <f t="shared" si="34"/>
        <v>0.34909943435546292</v>
      </c>
      <c r="AI204" s="232">
        <f t="shared" si="35"/>
        <v>-0.1729465614766299</v>
      </c>
      <c r="AJ204" s="232">
        <f t="shared" si="36"/>
        <v>-1.7936885977969635E-2</v>
      </c>
      <c r="AK204" s="232">
        <f t="shared" si="37"/>
        <v>1.9593592768452496E-2</v>
      </c>
      <c r="AL204" s="232">
        <f t="shared" si="38"/>
        <v>3.1522898680162746E-2</v>
      </c>
      <c r="AM204" s="232">
        <f t="shared" si="39"/>
        <v>0.6068775696860389</v>
      </c>
      <c r="AN204" s="232">
        <v>2.7400000000000001E-2</v>
      </c>
      <c r="AO204" s="232">
        <f t="shared" si="30"/>
        <v>0.13700000000000001</v>
      </c>
      <c r="AT204" t="s">
        <v>474</v>
      </c>
      <c r="AU204">
        <v>2350000</v>
      </c>
      <c r="AV204">
        <v>2003000</v>
      </c>
      <c r="AW204">
        <v>7147267.7031351449</v>
      </c>
      <c r="AX204">
        <v>2794267.7031351449</v>
      </c>
      <c r="AY204">
        <v>2794267.7031351449</v>
      </c>
      <c r="AZ204">
        <v>51915000</v>
      </c>
      <c r="BA204">
        <v>5.3823898740925455E-2</v>
      </c>
    </row>
    <row r="205" spans="1:53" x14ac:dyDescent="0.25">
      <c r="A205" t="s">
        <v>239</v>
      </c>
      <c r="B205">
        <v>0</v>
      </c>
      <c r="C205">
        <v>78501</v>
      </c>
      <c r="D205">
        <v>128</v>
      </c>
      <c r="E205">
        <v>0</v>
      </c>
      <c r="F205">
        <v>2646</v>
      </c>
      <c r="G205">
        <v>0</v>
      </c>
      <c r="H205">
        <v>13809</v>
      </c>
      <c r="I205">
        <v>41</v>
      </c>
      <c r="J205">
        <v>0</v>
      </c>
      <c r="K205">
        <v>9186</v>
      </c>
      <c r="L205">
        <v>-559</v>
      </c>
      <c r="M205">
        <v>10443</v>
      </c>
      <c r="N205">
        <v>4876</v>
      </c>
      <c r="O205">
        <v>59759</v>
      </c>
      <c r="P205">
        <v>21388</v>
      </c>
      <c r="Q205">
        <v>26743</v>
      </c>
      <c r="R205">
        <v>13</v>
      </c>
      <c r="S205">
        <v>0</v>
      </c>
      <c r="T205">
        <v>4893</v>
      </c>
      <c r="U205">
        <v>6275</v>
      </c>
      <c r="V205">
        <v>1</v>
      </c>
      <c r="W205">
        <v>116569</v>
      </c>
      <c r="X205">
        <v>7024</v>
      </c>
      <c r="Y205">
        <v>42307</v>
      </c>
      <c r="Z205">
        <v>5839797.4942815546</v>
      </c>
      <c r="AA205">
        <v>5005540.709384189</v>
      </c>
      <c r="AB205">
        <v>74029</v>
      </c>
      <c r="AC205">
        <v>4472</v>
      </c>
      <c r="AD205" t="s">
        <v>239</v>
      </c>
      <c r="AE205" s="232">
        <f t="shared" si="31"/>
        <v>0</v>
      </c>
      <c r="AF205" s="232">
        <f t="shared" si="32"/>
        <v>9.7212809580591752E-2</v>
      </c>
      <c r="AG205" s="232">
        <f t="shared" si="33"/>
        <v>2.2699002307646116E-2</v>
      </c>
      <c r="AH205" s="232">
        <f t="shared" si="34"/>
        <v>0.11881374979625801</v>
      </c>
      <c r="AI205" s="232">
        <f t="shared" si="35"/>
        <v>1.6767065000128673E-2</v>
      </c>
      <c r="AJ205" s="232">
        <f t="shared" si="36"/>
        <v>6.0256157297394676E-2</v>
      </c>
      <c r="AK205" s="232">
        <f t="shared" si="37"/>
        <v>4.2940582053412051E-2</v>
      </c>
      <c r="AL205" s="232">
        <f t="shared" si="38"/>
        <v>9.5908860846365667E-3</v>
      </c>
      <c r="AM205" s="232">
        <f t="shared" si="39"/>
        <v>0.68150095321278903</v>
      </c>
      <c r="AN205" s="232">
        <v>2.4400000000000002E-2</v>
      </c>
      <c r="AO205" s="232">
        <f t="shared" si="30"/>
        <v>0.12200000000000001</v>
      </c>
      <c r="AT205" t="s">
        <v>361</v>
      </c>
      <c r="AU205">
        <v>4050000</v>
      </c>
      <c r="AV205">
        <v>1921000</v>
      </c>
      <c r="AW205">
        <v>8185113.7235477939</v>
      </c>
      <c r="AX205">
        <v>2214113.7235477939</v>
      </c>
      <c r="AY205">
        <v>2214113.7235477939</v>
      </c>
      <c r="AZ205">
        <v>85183000</v>
      </c>
      <c r="BA205">
        <v>2.5992436560672832E-2</v>
      </c>
    </row>
    <row r="206" spans="1:53" x14ac:dyDescent="0.25">
      <c r="A206" t="s">
        <v>240</v>
      </c>
      <c r="B206">
        <v>11811</v>
      </c>
      <c r="C206">
        <v>397321</v>
      </c>
      <c r="D206">
        <v>9119</v>
      </c>
      <c r="E206">
        <v>31921</v>
      </c>
      <c r="F206">
        <v>35056</v>
      </c>
      <c r="G206">
        <v>14201</v>
      </c>
      <c r="H206">
        <v>367542</v>
      </c>
      <c r="I206">
        <v>207</v>
      </c>
      <c r="J206">
        <v>0</v>
      </c>
      <c r="K206">
        <v>14000</v>
      </c>
      <c r="L206">
        <v>2464</v>
      </c>
      <c r="M206">
        <v>65008</v>
      </c>
      <c r="N206">
        <v>12549</v>
      </c>
      <c r="O206">
        <v>88619</v>
      </c>
      <c r="P206">
        <v>27927</v>
      </c>
      <c r="Q206">
        <v>687286</v>
      </c>
      <c r="R206">
        <v>202</v>
      </c>
      <c r="S206">
        <v>105000</v>
      </c>
      <c r="T206">
        <v>14043</v>
      </c>
      <c r="U206">
        <v>38122</v>
      </c>
      <c r="V206">
        <v>2</v>
      </c>
      <c r="W206">
        <v>733259</v>
      </c>
      <c r="X206">
        <v>-5265</v>
      </c>
      <c r="Y206">
        <v>175948</v>
      </c>
      <c r="Z206">
        <v>-23369599.310767584</v>
      </c>
      <c r="AA206">
        <v>-20031085.123515069</v>
      </c>
      <c r="AB206">
        <v>385780</v>
      </c>
      <c r="AC206">
        <v>23352</v>
      </c>
      <c r="AD206" t="s">
        <v>240</v>
      </c>
      <c r="AE206" s="232">
        <f t="shared" si="31"/>
        <v>0.10923856558319349</v>
      </c>
      <c r="AF206" s="232">
        <f t="shared" si="32"/>
        <v>0.91298436159665275</v>
      </c>
      <c r="AG206" s="232">
        <f t="shared" si="33"/>
        <v>9.1341531437050205E-2</v>
      </c>
      <c r="AH206" s="232">
        <f t="shared" si="34"/>
        <v>0.50152674566558342</v>
      </c>
      <c r="AI206" s="232">
        <f t="shared" si="35"/>
        <v>0.57287662340319034</v>
      </c>
      <c r="AJ206" s="232">
        <f t="shared" si="36"/>
        <v>-7.180273273154506E-3</v>
      </c>
      <c r="AK206" s="232">
        <f t="shared" si="37"/>
        <v>-2.7317885117693844E-2</v>
      </c>
      <c r="AL206" s="232">
        <f t="shared" si="38"/>
        <v>7.9617161194066484E-3</v>
      </c>
      <c r="AM206" s="232">
        <f t="shared" si="39"/>
        <v>0.1212506463281797</v>
      </c>
      <c r="AN206" s="232">
        <v>2.7300000000000001E-2</v>
      </c>
      <c r="AO206" s="232">
        <f t="shared" si="30"/>
        <v>0.13650000000000001</v>
      </c>
      <c r="AT206" t="s">
        <v>475</v>
      </c>
      <c r="AU206">
        <v>14452000</v>
      </c>
      <c r="AV206">
        <v>18308000</v>
      </c>
      <c r="AW206">
        <v>41401913.901247971</v>
      </c>
      <c r="AX206">
        <v>8641913.9012479708</v>
      </c>
      <c r="AY206">
        <v>8641913.9012479708</v>
      </c>
      <c r="AZ206">
        <v>609782000</v>
      </c>
      <c r="BA206">
        <v>1.4172136765676866E-2</v>
      </c>
    </row>
    <row r="207" spans="1:53" x14ac:dyDescent="0.25">
      <c r="A207" t="s">
        <v>550</v>
      </c>
      <c r="B207">
        <v>4414</v>
      </c>
      <c r="C207">
        <v>310545</v>
      </c>
      <c r="D207">
        <v>7681</v>
      </c>
      <c r="E207">
        <v>6500</v>
      </c>
      <c r="F207">
        <v>30862</v>
      </c>
      <c r="G207">
        <v>0</v>
      </c>
      <c r="H207">
        <v>44582</v>
      </c>
      <c r="I207">
        <v>41</v>
      </c>
      <c r="J207">
        <v>0</v>
      </c>
      <c r="K207">
        <v>9000</v>
      </c>
      <c r="L207">
        <v>448</v>
      </c>
      <c r="M207">
        <v>11022</v>
      </c>
      <c r="N207">
        <v>14729</v>
      </c>
      <c r="O207">
        <v>50942</v>
      </c>
      <c r="P207">
        <v>14660</v>
      </c>
      <c r="Q207">
        <v>305044</v>
      </c>
      <c r="R207">
        <v>11691</v>
      </c>
      <c r="S207">
        <v>35000</v>
      </c>
      <c r="T207">
        <v>8589</v>
      </c>
      <c r="U207">
        <v>13898</v>
      </c>
      <c r="V207">
        <v>0</v>
      </c>
      <c r="W207">
        <v>283221</v>
      </c>
      <c r="X207">
        <v>1528</v>
      </c>
      <c r="Y207">
        <v>85801</v>
      </c>
      <c r="Z207">
        <v>4413719.4220746979</v>
      </c>
      <c r="AA207">
        <v>3783188.0760640269</v>
      </c>
      <c r="AB207">
        <v>293189</v>
      </c>
      <c r="AC207">
        <v>21770</v>
      </c>
      <c r="AD207" t="s">
        <v>550</v>
      </c>
      <c r="AE207" s="232">
        <f t="shared" si="31"/>
        <v>7.9577285459638394E-2</v>
      </c>
      <c r="AF207" s="232">
        <f t="shared" si="32"/>
        <v>1.0651081664142137</v>
      </c>
      <c r="AG207" s="232">
        <f t="shared" si="33"/>
        <v>0.13191818403296365</v>
      </c>
      <c r="AH207" s="232">
        <f t="shared" si="34"/>
        <v>0.15755540726146719</v>
      </c>
      <c r="AI207" s="232">
        <f t="shared" si="35"/>
        <v>0.97064956341514241</v>
      </c>
      <c r="AJ207" s="232">
        <f t="shared" si="36"/>
        <v>5.395080167078006E-3</v>
      </c>
      <c r="AK207" s="232">
        <f t="shared" si="37"/>
        <v>1.335772444862502E-2</v>
      </c>
      <c r="AL207" s="232">
        <f t="shared" si="38"/>
        <v>1.921644228358773E-2</v>
      </c>
      <c r="AM207" s="232">
        <f t="shared" si="39"/>
        <v>0.14915511659209138</v>
      </c>
      <c r="AN207" s="232">
        <v>2.7099999999999999E-2</v>
      </c>
      <c r="AO207" s="232">
        <f t="shared" si="30"/>
        <v>0.13550000000000001</v>
      </c>
      <c r="AT207" t="s">
        <v>154</v>
      </c>
      <c r="AU207">
        <v>1081000</v>
      </c>
      <c r="AV207">
        <v>679000</v>
      </c>
      <c r="AW207">
        <v>2740480.0069355527</v>
      </c>
      <c r="AX207">
        <v>980480.00693555269</v>
      </c>
      <c r="AY207">
        <v>980480.00693555269</v>
      </c>
      <c r="AZ207">
        <v>25322000</v>
      </c>
      <c r="BA207">
        <v>3.8720480488727303E-2</v>
      </c>
    </row>
    <row r="208" spans="1:53" x14ac:dyDescent="0.25">
      <c r="A208" t="s">
        <v>751</v>
      </c>
      <c r="B208">
        <v>7142</v>
      </c>
      <c r="C208">
        <v>101966</v>
      </c>
      <c r="D208">
        <v>1186</v>
      </c>
      <c r="E208">
        <v>2386</v>
      </c>
      <c r="F208">
        <v>4413</v>
      </c>
      <c r="G208">
        <v>0</v>
      </c>
      <c r="H208">
        <v>4227</v>
      </c>
      <c r="I208">
        <v>0</v>
      </c>
      <c r="J208">
        <v>0</v>
      </c>
      <c r="K208">
        <v>4879</v>
      </c>
      <c r="L208">
        <v>369</v>
      </c>
      <c r="M208">
        <v>26936</v>
      </c>
      <c r="N208">
        <v>1234</v>
      </c>
      <c r="O208">
        <v>34191</v>
      </c>
      <c r="P208">
        <v>12347</v>
      </c>
      <c r="Q208">
        <v>77820</v>
      </c>
      <c r="R208">
        <v>1</v>
      </c>
      <c r="S208">
        <v>4686</v>
      </c>
      <c r="T208">
        <v>12385</v>
      </c>
      <c r="U208">
        <v>13308</v>
      </c>
      <c r="V208">
        <v>-1</v>
      </c>
      <c r="W208">
        <v>134010</v>
      </c>
      <c r="X208">
        <v>-3007</v>
      </c>
      <c r="Y208">
        <v>45287</v>
      </c>
      <c r="Z208">
        <v>1727106.1808580423</v>
      </c>
      <c r="AA208">
        <v>1480376.7264497508</v>
      </c>
      <c r="AB208">
        <v>119752</v>
      </c>
      <c r="AC208">
        <v>-10644</v>
      </c>
      <c r="AD208" t="s">
        <v>751</v>
      </c>
      <c r="AE208" s="232">
        <f t="shared" si="31"/>
        <v>3.0283446858560922E-2</v>
      </c>
      <c r="AF208" s="232">
        <f t="shared" si="32"/>
        <v>0.50729796283859419</v>
      </c>
      <c r="AG208" s="232">
        <f t="shared" si="33"/>
        <v>5.0735019774643682E-2</v>
      </c>
      <c r="AH208" s="232">
        <f t="shared" si="34"/>
        <v>3.1542422207297964E-2</v>
      </c>
      <c r="AI208" s="232">
        <f t="shared" si="35"/>
        <v>0.49130646966644287</v>
      </c>
      <c r="AJ208" s="232">
        <f t="shared" si="36"/>
        <v>-2.243862398328483E-2</v>
      </c>
      <c r="AK208" s="232">
        <f t="shared" si="37"/>
        <v>1.1046763125511162E-2</v>
      </c>
      <c r="AL208" s="232">
        <f t="shared" si="38"/>
        <v>-1.985672710991717E-2</v>
      </c>
      <c r="AM208" s="232">
        <f t="shared" si="39"/>
        <v>0.30075353177629283</v>
      </c>
      <c r="AN208" s="232">
        <v>4.2999999999999997E-2</v>
      </c>
      <c r="AO208" s="232">
        <f t="shared" si="30"/>
        <v>0.21499999999999997</v>
      </c>
      <c r="AT208" t="s">
        <v>315</v>
      </c>
      <c r="AU208">
        <v>3719000</v>
      </c>
      <c r="AV208">
        <v>2933000</v>
      </c>
      <c r="AW208">
        <v>13853039.059866225</v>
      </c>
      <c r="AX208">
        <v>7201039.0598662253</v>
      </c>
      <c r="AY208">
        <v>7201039.0598662253</v>
      </c>
      <c r="AZ208">
        <v>101457000</v>
      </c>
      <c r="BA208">
        <v>7.0976266397254253E-2</v>
      </c>
    </row>
    <row r="209" spans="1:53" x14ac:dyDescent="0.25">
      <c r="A209" t="s">
        <v>394</v>
      </c>
      <c r="B209">
        <v>4108</v>
      </c>
      <c r="C209">
        <v>22851</v>
      </c>
      <c r="D209">
        <v>92</v>
      </c>
      <c r="E209">
        <v>660</v>
      </c>
      <c r="F209">
        <v>512</v>
      </c>
      <c r="G209">
        <v>38</v>
      </c>
      <c r="H209">
        <v>4899</v>
      </c>
      <c r="I209">
        <v>0</v>
      </c>
      <c r="J209">
        <v>0</v>
      </c>
      <c r="K209">
        <v>0</v>
      </c>
      <c r="L209">
        <v>472</v>
      </c>
      <c r="M209">
        <v>2480</v>
      </c>
      <c r="N209">
        <v>1985</v>
      </c>
      <c r="O209">
        <v>19461</v>
      </c>
      <c r="P209">
        <v>1190</v>
      </c>
      <c r="Q209">
        <v>12460</v>
      </c>
      <c r="R209">
        <v>0</v>
      </c>
      <c r="S209">
        <v>2000</v>
      </c>
      <c r="T209">
        <v>1949</v>
      </c>
      <c r="U209">
        <v>1037</v>
      </c>
      <c r="V209">
        <v>1</v>
      </c>
      <c r="W209">
        <v>25852</v>
      </c>
      <c r="X209">
        <v>857</v>
      </c>
      <c r="Y209">
        <v>7314</v>
      </c>
      <c r="Z209">
        <v>1651094.2131459522</v>
      </c>
      <c r="AA209">
        <v>1415223.611267959</v>
      </c>
      <c r="AB209">
        <v>18367</v>
      </c>
      <c r="AC209">
        <v>8592</v>
      </c>
      <c r="AD209" t="s">
        <v>394</v>
      </c>
      <c r="AE209" s="232">
        <f t="shared" si="31"/>
        <v>5.2497571987295585E-2</v>
      </c>
      <c r="AF209" s="232">
        <f t="shared" si="32"/>
        <v>0.43706483057403683</v>
      </c>
      <c r="AG209" s="232">
        <f t="shared" si="33"/>
        <v>4.5334983753674764E-2</v>
      </c>
      <c r="AH209" s="232">
        <f t="shared" si="34"/>
        <v>0.18950177935943061</v>
      </c>
      <c r="AI209" s="232">
        <f t="shared" si="35"/>
        <v>0.30985378307287642</v>
      </c>
      <c r="AJ209" s="232">
        <f t="shared" si="36"/>
        <v>3.3150239826705862E-2</v>
      </c>
      <c r="AK209" s="232">
        <f t="shared" si="37"/>
        <v>5.4743293024445264E-2</v>
      </c>
      <c r="AL209" s="232">
        <f t="shared" si="38"/>
        <v>8.3088349063902209E-2</v>
      </c>
      <c r="AM209" s="232">
        <f t="shared" si="39"/>
        <v>0.5420636795548206</v>
      </c>
      <c r="AN209" s="232">
        <v>2.1399999999999999E-2</v>
      </c>
      <c r="AO209" s="232">
        <f t="shared" si="30"/>
        <v>0.107</v>
      </c>
      <c r="AT209" t="s">
        <v>476</v>
      </c>
      <c r="AU209">
        <v>3675000</v>
      </c>
      <c r="AV209">
        <v>1018000.0000000001</v>
      </c>
      <c r="AW209">
        <v>5116438.944619773</v>
      </c>
      <c r="AX209">
        <v>423438.94461977284</v>
      </c>
      <c r="AY209">
        <v>423438.94461977284</v>
      </c>
      <c r="AZ209">
        <v>44372000</v>
      </c>
      <c r="BA209">
        <v>9.5429312318528088E-3</v>
      </c>
    </row>
    <row r="210" spans="1:53" x14ac:dyDescent="0.25">
      <c r="A210" t="s">
        <v>137</v>
      </c>
      <c r="B210">
        <v>90</v>
      </c>
      <c r="C210">
        <v>83759</v>
      </c>
      <c r="D210">
        <v>104</v>
      </c>
      <c r="E210">
        <v>164</v>
      </c>
      <c r="F210">
        <v>775</v>
      </c>
      <c r="G210">
        <v>0</v>
      </c>
      <c r="H210">
        <v>0</v>
      </c>
      <c r="I210">
        <v>16</v>
      </c>
      <c r="J210">
        <v>0</v>
      </c>
      <c r="K210">
        <v>0</v>
      </c>
      <c r="L210">
        <v>-1290</v>
      </c>
      <c r="M210">
        <v>7082</v>
      </c>
      <c r="N210">
        <v>-315</v>
      </c>
      <c r="O210">
        <v>29165</v>
      </c>
      <c r="P210">
        <v>7190</v>
      </c>
      <c r="Q210">
        <v>40137</v>
      </c>
      <c r="R210">
        <v>0</v>
      </c>
      <c r="S210">
        <v>0</v>
      </c>
      <c r="T210">
        <v>3059</v>
      </c>
      <c r="U210">
        <v>10834</v>
      </c>
      <c r="V210">
        <v>-1</v>
      </c>
      <c r="W210">
        <v>93583</v>
      </c>
      <c r="X210">
        <v>3514</v>
      </c>
      <c r="Y210">
        <v>32370</v>
      </c>
      <c r="Z210">
        <v>4646953.1680286359</v>
      </c>
      <c r="AA210">
        <v>3983102.7154531162</v>
      </c>
      <c r="AB210">
        <v>83836</v>
      </c>
      <c r="AC210">
        <v>13</v>
      </c>
      <c r="AD210" t="s">
        <v>137</v>
      </c>
      <c r="AE210" s="232">
        <f t="shared" si="31"/>
        <v>0</v>
      </c>
      <c r="AF210" s="232">
        <f t="shared" si="32"/>
        <v>0.5087889894532126</v>
      </c>
      <c r="AG210" s="232">
        <f t="shared" si="33"/>
        <v>1.0033873673637306E-2</v>
      </c>
      <c r="AH210" s="232">
        <f t="shared" si="34"/>
        <v>1.7097122340596049E-4</v>
      </c>
      <c r="AI210" s="232">
        <f t="shared" si="35"/>
        <v>0.50987337443766489</v>
      </c>
      <c r="AJ210" s="232">
        <f t="shared" si="36"/>
        <v>3.7549554940534073E-2</v>
      </c>
      <c r="AK210" s="232">
        <f t="shared" si="37"/>
        <v>4.2562246513288909E-2</v>
      </c>
      <c r="AL210" s="232">
        <f t="shared" si="38"/>
        <v>3.4728529754335726E-5</v>
      </c>
      <c r="AM210" s="232">
        <f t="shared" si="39"/>
        <v>0.40222382032416881</v>
      </c>
      <c r="AN210" s="232">
        <v>3.1699999999999999E-2</v>
      </c>
      <c r="AO210" s="232">
        <f t="shared" si="30"/>
        <v>0.1585</v>
      </c>
      <c r="AT210" t="s">
        <v>698</v>
      </c>
      <c r="AU210">
        <v>10081000</v>
      </c>
      <c r="AV210">
        <v>5720556.5549999997</v>
      </c>
      <c r="AW210">
        <v>25815477.442407608</v>
      </c>
      <c r="AX210">
        <v>10013920.887407608</v>
      </c>
      <c r="AY210">
        <v>10013920.887407608</v>
      </c>
      <c r="AZ210">
        <v>231540000</v>
      </c>
      <c r="BA210">
        <v>4.3249204834618679E-2</v>
      </c>
    </row>
    <row r="211" spans="1:53" x14ac:dyDescent="0.25">
      <c r="A211" t="s">
        <v>497</v>
      </c>
      <c r="B211">
        <v>53</v>
      </c>
      <c r="C211">
        <v>70502</v>
      </c>
      <c r="D211">
        <v>77</v>
      </c>
      <c r="E211">
        <v>568</v>
      </c>
      <c r="F211">
        <v>7154</v>
      </c>
      <c r="G211">
        <v>0</v>
      </c>
      <c r="H211">
        <v>12375</v>
      </c>
      <c r="I211">
        <v>0</v>
      </c>
      <c r="J211">
        <v>0</v>
      </c>
      <c r="K211">
        <v>13190</v>
      </c>
      <c r="L211">
        <v>747</v>
      </c>
      <c r="M211">
        <v>2344</v>
      </c>
      <c r="N211">
        <v>8761</v>
      </c>
      <c r="O211">
        <v>88773</v>
      </c>
      <c r="P211">
        <v>12429</v>
      </c>
      <c r="Q211">
        <v>5141</v>
      </c>
      <c r="R211">
        <v>7</v>
      </c>
      <c r="S211">
        <v>0</v>
      </c>
      <c r="T211">
        <v>3556</v>
      </c>
      <c r="U211">
        <v>5865</v>
      </c>
      <c r="V211">
        <v>-3</v>
      </c>
      <c r="W211">
        <v>144381</v>
      </c>
      <c r="X211">
        <v>2515</v>
      </c>
      <c r="Y211">
        <v>46625</v>
      </c>
      <c r="Z211">
        <v>3906529.5925783906</v>
      </c>
      <c r="AA211">
        <v>3348453.9364957637</v>
      </c>
      <c r="AB211">
        <v>71467</v>
      </c>
      <c r="AC211">
        <v>-912</v>
      </c>
      <c r="AD211" t="s">
        <v>497</v>
      </c>
      <c r="AE211" s="232">
        <f t="shared" si="31"/>
        <v>0</v>
      </c>
      <c r="AF211" s="232">
        <f t="shared" si="32"/>
        <v>-0.12602073680054854</v>
      </c>
      <c r="AG211" s="232">
        <f t="shared" si="33"/>
        <v>5.3483491595154489E-2</v>
      </c>
      <c r="AH211" s="232">
        <f t="shared" si="34"/>
        <v>8.571072371018347E-2</v>
      </c>
      <c r="AI211" s="232">
        <f t="shared" si="35"/>
        <v>-0.17960022440625842</v>
      </c>
      <c r="AJ211" s="232">
        <f t="shared" si="36"/>
        <v>1.7419189505544358E-2</v>
      </c>
      <c r="AK211" s="232">
        <f t="shared" si="37"/>
        <v>2.3191790723819366E-2</v>
      </c>
      <c r="AL211" s="232">
        <f t="shared" si="38"/>
        <v>-1.5791551519936833E-3</v>
      </c>
      <c r="AM211" s="232">
        <f t="shared" si="39"/>
        <v>0.87415674046177372</v>
      </c>
      <c r="AN211" s="232">
        <v>3.3300000000000003E-2</v>
      </c>
      <c r="AO211" s="232">
        <f t="shared" si="30"/>
        <v>0.16650000000000001</v>
      </c>
      <c r="AT211" t="s">
        <v>176</v>
      </c>
      <c r="AU211">
        <v>1345000</v>
      </c>
      <c r="AV211">
        <v>615000</v>
      </c>
      <c r="AW211">
        <v>2873379.0729087219</v>
      </c>
      <c r="AX211">
        <v>913379.07290872186</v>
      </c>
      <c r="AY211">
        <v>913379.07290872186</v>
      </c>
      <c r="AZ211">
        <v>28729000</v>
      </c>
      <c r="BA211">
        <v>3.1792929545362593E-2</v>
      </c>
    </row>
    <row r="212" spans="1:53" x14ac:dyDescent="0.25">
      <c r="A212" t="s">
        <v>365</v>
      </c>
      <c r="B212">
        <v>27818</v>
      </c>
      <c r="C212">
        <v>149143</v>
      </c>
      <c r="D212">
        <v>547</v>
      </c>
      <c r="E212">
        <v>7621</v>
      </c>
      <c r="F212">
        <v>3913</v>
      </c>
      <c r="G212">
        <v>12732</v>
      </c>
      <c r="H212">
        <v>28773</v>
      </c>
      <c r="I212">
        <v>0</v>
      </c>
      <c r="J212">
        <v>0</v>
      </c>
      <c r="K212">
        <v>8220</v>
      </c>
      <c r="L212">
        <v>-7538</v>
      </c>
      <c r="M212">
        <v>13591</v>
      </c>
      <c r="N212">
        <v>44525</v>
      </c>
      <c r="O212">
        <v>145543</v>
      </c>
      <c r="P212">
        <v>17810</v>
      </c>
      <c r="Q212">
        <v>102556</v>
      </c>
      <c r="R212">
        <v>78</v>
      </c>
      <c r="S212">
        <v>10000</v>
      </c>
      <c r="T212">
        <v>9498</v>
      </c>
      <c r="U212">
        <v>3860</v>
      </c>
      <c r="V212">
        <v>0</v>
      </c>
      <c r="W212">
        <v>137559</v>
      </c>
      <c r="X212">
        <v>11757</v>
      </c>
      <c r="Y212">
        <v>42661</v>
      </c>
      <c r="Z212">
        <v>8623232.928483</v>
      </c>
      <c r="AA212">
        <v>7391342.5101282857</v>
      </c>
      <c r="AB212">
        <v>154419</v>
      </c>
      <c r="AC212">
        <v>22542</v>
      </c>
      <c r="AD212" t="s">
        <v>365</v>
      </c>
      <c r="AE212" s="232">
        <f t="shared" si="31"/>
        <v>3.4560818400179716E-2</v>
      </c>
      <c r="AF212" s="232">
        <f t="shared" si="32"/>
        <v>0.31206973007945682</v>
      </c>
      <c r="AG212" s="232">
        <f t="shared" si="33"/>
        <v>8.3847658095798888E-2</v>
      </c>
      <c r="AH212" s="232">
        <f t="shared" si="34"/>
        <v>0.20916842954659456</v>
      </c>
      <c r="AI212" s="232">
        <f t="shared" si="35"/>
        <v>0.17571354836833653</v>
      </c>
      <c r="AJ212" s="232">
        <f t="shared" si="36"/>
        <v>8.5468780668658539E-2</v>
      </c>
      <c r="AK212" s="232">
        <f t="shared" si="37"/>
        <v>5.3732162273121248E-2</v>
      </c>
      <c r="AL212" s="232">
        <f t="shared" si="38"/>
        <v>4.0967875602468756E-2</v>
      </c>
      <c r="AM212" s="232">
        <f t="shared" si="39"/>
        <v>0.56456133681245568</v>
      </c>
      <c r="AN212" s="232">
        <v>2.5000000000000001E-2</v>
      </c>
      <c r="AO212" s="232">
        <f t="shared" si="30"/>
        <v>0.125</v>
      </c>
      <c r="AT212" t="s">
        <v>155</v>
      </c>
      <c r="AU212">
        <v>1349000</v>
      </c>
      <c r="AV212">
        <v>2083000</v>
      </c>
      <c r="AW212">
        <v>3282738.099257384</v>
      </c>
      <c r="AX212">
        <v>-149261.90074261604</v>
      </c>
      <c r="AY212">
        <v>0</v>
      </c>
      <c r="AZ212">
        <v>37250000</v>
      </c>
      <c r="BA212">
        <v>-4.0070308924192227E-3</v>
      </c>
    </row>
    <row r="213" spans="1:53" x14ac:dyDescent="0.25">
      <c r="A213" t="s">
        <v>501</v>
      </c>
      <c r="B213">
        <v>150</v>
      </c>
      <c r="C213">
        <v>43414</v>
      </c>
      <c r="D213">
        <v>-103</v>
      </c>
      <c r="E213">
        <v>3902</v>
      </c>
      <c r="F213">
        <v>490</v>
      </c>
      <c r="G213">
        <v>0</v>
      </c>
      <c r="H213">
        <v>79344</v>
      </c>
      <c r="I213">
        <v>1012</v>
      </c>
      <c r="J213">
        <v>0</v>
      </c>
      <c r="K213">
        <v>0</v>
      </c>
      <c r="L213">
        <v>598</v>
      </c>
      <c r="M213">
        <v>7501</v>
      </c>
      <c r="N213">
        <v>1938</v>
      </c>
      <c r="O213">
        <v>34808</v>
      </c>
      <c r="P213">
        <v>8191</v>
      </c>
      <c r="Q213">
        <v>57027</v>
      </c>
      <c r="R213">
        <v>3</v>
      </c>
      <c r="S213">
        <v>32000</v>
      </c>
      <c r="T213">
        <v>2074</v>
      </c>
      <c r="U213">
        <v>4143</v>
      </c>
      <c r="V213">
        <v>-1</v>
      </c>
      <c r="W213">
        <v>64562</v>
      </c>
      <c r="X213">
        <v>8790</v>
      </c>
      <c r="Y213">
        <v>23019</v>
      </c>
      <c r="Z213">
        <v>1883369.0325735314</v>
      </c>
      <c r="AA213">
        <v>1614316.3136344554</v>
      </c>
      <c r="AB213">
        <v>41876</v>
      </c>
      <c r="AC213">
        <v>1688</v>
      </c>
      <c r="AD213" t="s">
        <v>501</v>
      </c>
      <c r="AE213" s="232">
        <f t="shared" si="31"/>
        <v>0.23147143497822723</v>
      </c>
      <c r="AF213" s="232">
        <f t="shared" si="32"/>
        <v>1.251788978036616</v>
      </c>
      <c r="AG213" s="232">
        <f t="shared" si="33"/>
        <v>6.8027632353396733E-2</v>
      </c>
      <c r="AH213" s="232">
        <f t="shared" si="34"/>
        <v>1.2446330658901521</v>
      </c>
      <c r="AI213" s="232">
        <f t="shared" si="35"/>
        <v>0.38870914779591736</v>
      </c>
      <c r="AJ213" s="232">
        <f t="shared" si="36"/>
        <v>0.13614819863077351</v>
      </c>
      <c r="AK213" s="232">
        <f t="shared" si="37"/>
        <v>2.500412492850989E-2</v>
      </c>
      <c r="AL213" s="232">
        <f t="shared" si="38"/>
        <v>6.5363526532635297E-3</v>
      </c>
      <c r="AM213" s="232">
        <f t="shared" si="39"/>
        <v>0.31103250726964976</v>
      </c>
      <c r="AN213" s="232">
        <v>2.75E-2</v>
      </c>
      <c r="AO213" s="232">
        <f t="shared" si="30"/>
        <v>0.13750000000000001</v>
      </c>
      <c r="AT213" t="s">
        <v>135</v>
      </c>
      <c r="AU213">
        <v>3610000.0000000005</v>
      </c>
      <c r="AV213">
        <v>4225000</v>
      </c>
      <c r="AW213">
        <v>9705887.3992736377</v>
      </c>
      <c r="AX213">
        <v>1870887.3992736377</v>
      </c>
      <c r="AY213">
        <v>1870887.3992736377</v>
      </c>
      <c r="AZ213">
        <v>105598000</v>
      </c>
      <c r="BA213">
        <v>1.7717072286157293E-2</v>
      </c>
    </row>
    <row r="214" spans="1:53" x14ac:dyDescent="0.25">
      <c r="A214" t="s">
        <v>241</v>
      </c>
      <c r="B214">
        <v>0</v>
      </c>
      <c r="C214">
        <v>38177</v>
      </c>
      <c r="D214">
        <v>236</v>
      </c>
      <c r="E214">
        <v>0</v>
      </c>
      <c r="F214">
        <v>2030</v>
      </c>
      <c r="G214">
        <v>0</v>
      </c>
      <c r="H214">
        <v>25209</v>
      </c>
      <c r="I214">
        <v>0</v>
      </c>
      <c r="J214">
        <v>0</v>
      </c>
      <c r="K214">
        <v>2299</v>
      </c>
      <c r="L214">
        <v>447</v>
      </c>
      <c r="M214">
        <v>2046</v>
      </c>
      <c r="N214">
        <v>7247</v>
      </c>
      <c r="O214">
        <v>45718</v>
      </c>
      <c r="P214">
        <v>9114</v>
      </c>
      <c r="Q214">
        <v>14753</v>
      </c>
      <c r="R214">
        <v>0</v>
      </c>
      <c r="S214">
        <v>2000</v>
      </c>
      <c r="T214">
        <v>3656</v>
      </c>
      <c r="U214">
        <v>2450</v>
      </c>
      <c r="V214">
        <v>0</v>
      </c>
      <c r="W214">
        <v>57738</v>
      </c>
      <c r="X214">
        <v>-2800</v>
      </c>
      <c r="Y214">
        <v>27114</v>
      </c>
      <c r="Z214">
        <v>4663770.6131131146</v>
      </c>
      <c r="AA214">
        <v>3997517.6683826693</v>
      </c>
      <c r="AB214">
        <v>56166</v>
      </c>
      <c r="AC214">
        <v>-17989</v>
      </c>
      <c r="AD214" t="s">
        <v>241</v>
      </c>
      <c r="AE214" s="232">
        <f t="shared" si="31"/>
        <v>2.5743007555572718E-2</v>
      </c>
      <c r="AF214" s="232">
        <f t="shared" si="32"/>
        <v>0.15223942637431154</v>
      </c>
      <c r="AG214" s="232">
        <f t="shared" si="33"/>
        <v>3.5158820880529289E-2</v>
      </c>
      <c r="AH214" s="232">
        <f t="shared" si="34"/>
        <v>0.43661020471786344</v>
      </c>
      <c r="AI214" s="232">
        <f t="shared" si="35"/>
        <v>-0.14916865842252935</v>
      </c>
      <c r="AJ214" s="232">
        <f t="shared" si="36"/>
        <v>-4.8494925352454192E-2</v>
      </c>
      <c r="AK214" s="232">
        <f t="shared" si="37"/>
        <v>6.9235471758333667E-2</v>
      </c>
      <c r="AL214" s="232">
        <f t="shared" si="38"/>
        <v>-7.7890643943330215E-2</v>
      </c>
      <c r="AM214" s="232">
        <f t="shared" si="39"/>
        <v>0.70577029514358158</v>
      </c>
      <c r="AN214" s="232">
        <v>4.9000000000000002E-2</v>
      </c>
      <c r="AO214" s="232">
        <f t="shared" si="30"/>
        <v>0.245</v>
      </c>
      <c r="AT214" t="s">
        <v>393</v>
      </c>
      <c r="AU214">
        <v>4803000</v>
      </c>
      <c r="AV214">
        <v>4976000</v>
      </c>
      <c r="AW214">
        <v>13957290.477514848</v>
      </c>
      <c r="AX214">
        <v>4178290.4775148481</v>
      </c>
      <c r="AY214">
        <v>4178290.4775148481</v>
      </c>
      <c r="AZ214">
        <v>174171000</v>
      </c>
      <c r="BA214">
        <v>2.3989587689769526E-2</v>
      </c>
    </row>
    <row r="215" spans="1:53" x14ac:dyDescent="0.25">
      <c r="A215" t="s">
        <v>367</v>
      </c>
      <c r="B215">
        <v>735</v>
      </c>
      <c r="C215">
        <v>65076</v>
      </c>
      <c r="D215">
        <v>591</v>
      </c>
      <c r="E215">
        <v>0</v>
      </c>
      <c r="F215">
        <v>478</v>
      </c>
      <c r="G215">
        <v>0</v>
      </c>
      <c r="H215">
        <v>4879</v>
      </c>
      <c r="I215">
        <v>0</v>
      </c>
      <c r="J215">
        <v>0</v>
      </c>
      <c r="K215">
        <v>16204</v>
      </c>
      <c r="L215">
        <v>3</v>
      </c>
      <c r="M215">
        <v>10521</v>
      </c>
      <c r="N215">
        <v>253</v>
      </c>
      <c r="O215">
        <v>22892</v>
      </c>
      <c r="P215">
        <v>4401</v>
      </c>
      <c r="Q215">
        <v>66698</v>
      </c>
      <c r="R215">
        <v>4</v>
      </c>
      <c r="S215">
        <v>-440</v>
      </c>
      <c r="T215">
        <v>4371</v>
      </c>
      <c r="U215">
        <v>814</v>
      </c>
      <c r="V215">
        <v>1</v>
      </c>
      <c r="W215">
        <v>83875</v>
      </c>
      <c r="X215">
        <v>-124</v>
      </c>
      <c r="Y215">
        <v>23887</v>
      </c>
      <c r="Z215">
        <v>3547455.239590019</v>
      </c>
      <c r="AA215">
        <v>3040675.9196485877</v>
      </c>
      <c r="AB215">
        <v>60862</v>
      </c>
      <c r="AC215">
        <v>4949</v>
      </c>
      <c r="AD215" t="s">
        <v>367</v>
      </c>
      <c r="AE215" s="232">
        <f t="shared" si="31"/>
        <v>-4.4561474579704278E-3</v>
      </c>
      <c r="AF215" s="232">
        <f t="shared" si="32"/>
        <v>0.52444709388971689</v>
      </c>
      <c r="AG215" s="232">
        <f t="shared" si="33"/>
        <v>5.6989567809239937E-3</v>
      </c>
      <c r="AH215" s="232">
        <f t="shared" si="34"/>
        <v>5.8169895678092401E-2</v>
      </c>
      <c r="AI215" s="232">
        <f t="shared" si="35"/>
        <v>0.48441204172876312</v>
      </c>
      <c r="AJ215" s="232">
        <f t="shared" si="36"/>
        <v>-1.4783904619970194E-3</v>
      </c>
      <c r="AK215" s="232">
        <f t="shared" si="37"/>
        <v>3.6252469980907157E-2</v>
      </c>
      <c r="AL215" s="232">
        <f t="shared" si="38"/>
        <v>1.4751117734724293E-2</v>
      </c>
      <c r="AM215" s="232">
        <f t="shared" si="39"/>
        <v>0.27641280129633383</v>
      </c>
      <c r="AN215" s="232">
        <v>1.3299999999999999E-2</v>
      </c>
      <c r="AO215" s="232">
        <f t="shared" si="30"/>
        <v>6.6500000000000004E-2</v>
      </c>
      <c r="AT215" t="s">
        <v>362</v>
      </c>
      <c r="AU215">
        <v>2598000</v>
      </c>
      <c r="AV215">
        <v>1670000</v>
      </c>
      <c r="AW215">
        <v>6775404.2843513563</v>
      </c>
      <c r="AX215">
        <v>2507404.2843513563</v>
      </c>
      <c r="AY215">
        <v>2507404.2843513563</v>
      </c>
      <c r="AZ215">
        <v>38394000</v>
      </c>
      <c r="BA215">
        <v>6.5307190820215563E-2</v>
      </c>
    </row>
    <row r="216" spans="1:53" x14ac:dyDescent="0.25">
      <c r="A216" t="s">
        <v>440</v>
      </c>
      <c r="B216">
        <v>746</v>
      </c>
      <c r="C216">
        <v>46560</v>
      </c>
      <c r="D216">
        <v>21</v>
      </c>
      <c r="E216">
        <v>0</v>
      </c>
      <c r="F216">
        <v>1238</v>
      </c>
      <c r="G216">
        <v>0</v>
      </c>
      <c r="H216">
        <v>3152</v>
      </c>
      <c r="I216">
        <v>2</v>
      </c>
      <c r="J216">
        <v>0</v>
      </c>
      <c r="K216">
        <v>10152</v>
      </c>
      <c r="L216">
        <v>284</v>
      </c>
      <c r="M216">
        <v>5346</v>
      </c>
      <c r="N216">
        <v>2233</v>
      </c>
      <c r="O216">
        <v>32952</v>
      </c>
      <c r="P216">
        <v>5272</v>
      </c>
      <c r="Q216">
        <v>23891</v>
      </c>
      <c r="R216">
        <v>355</v>
      </c>
      <c r="S216">
        <v>0</v>
      </c>
      <c r="T216">
        <v>3460</v>
      </c>
      <c r="U216">
        <v>3804</v>
      </c>
      <c r="V216">
        <v>-5</v>
      </c>
      <c r="W216">
        <v>52259</v>
      </c>
      <c r="X216">
        <v>328</v>
      </c>
      <c r="Y216">
        <v>18558</v>
      </c>
      <c r="Z216">
        <v>1924808.2869249694</v>
      </c>
      <c r="AA216">
        <v>1649835.6745071167</v>
      </c>
      <c r="AB216">
        <v>50146</v>
      </c>
      <c r="AC216">
        <v>-2840</v>
      </c>
      <c r="AD216" t="s">
        <v>440</v>
      </c>
      <c r="AE216" s="232">
        <f t="shared" si="31"/>
        <v>0</v>
      </c>
      <c r="AF216" s="232">
        <f t="shared" si="32"/>
        <v>0.2345433322489906</v>
      </c>
      <c r="AG216" s="232">
        <f t="shared" si="33"/>
        <v>2.3689699381924646E-2</v>
      </c>
      <c r="AH216" s="232">
        <f t="shared" si="34"/>
        <v>6.0353240590137587E-2</v>
      </c>
      <c r="AI216" s="232">
        <f t="shared" si="35"/>
        <v>0.19513882776172525</v>
      </c>
      <c r="AJ216" s="232">
        <f t="shared" si="36"/>
        <v>6.2764308540155765E-3</v>
      </c>
      <c r="AK216" s="232">
        <f t="shared" si="37"/>
        <v>3.157036442540264E-2</v>
      </c>
      <c r="AL216" s="232">
        <f t="shared" si="38"/>
        <v>-1.3586176543753228E-2</v>
      </c>
      <c r="AM216" s="232">
        <f t="shared" si="39"/>
        <v>0.54814007514268503</v>
      </c>
      <c r="AN216" s="232">
        <v>3.8199999999999998E-2</v>
      </c>
      <c r="AO216" s="232">
        <f t="shared" si="30"/>
        <v>0.191</v>
      </c>
      <c r="AT216" t="s">
        <v>136</v>
      </c>
      <c r="AU216">
        <v>3269000</v>
      </c>
      <c r="AV216">
        <v>2996000</v>
      </c>
      <c r="AW216">
        <v>9973438.207875438</v>
      </c>
      <c r="AX216">
        <v>3708438.207875438</v>
      </c>
      <c r="AY216">
        <v>3708438.207875438</v>
      </c>
      <c r="AZ216">
        <v>74086000</v>
      </c>
      <c r="BA216">
        <v>5.0055856813371463E-2</v>
      </c>
    </row>
    <row r="217" spans="1:53" x14ac:dyDescent="0.25">
      <c r="A217" t="s">
        <v>441</v>
      </c>
      <c r="B217">
        <v>0</v>
      </c>
      <c r="C217">
        <v>51857</v>
      </c>
      <c r="D217">
        <v>729</v>
      </c>
      <c r="E217">
        <v>0</v>
      </c>
      <c r="F217">
        <v>340</v>
      </c>
      <c r="G217">
        <v>0</v>
      </c>
      <c r="H217">
        <v>15546</v>
      </c>
      <c r="I217">
        <v>0</v>
      </c>
      <c r="J217">
        <v>0</v>
      </c>
      <c r="K217">
        <v>761</v>
      </c>
      <c r="L217">
        <v>3093</v>
      </c>
      <c r="M217">
        <v>4408</v>
      </c>
      <c r="N217">
        <v>4340</v>
      </c>
      <c r="O217">
        <v>21286</v>
      </c>
      <c r="P217">
        <v>9180</v>
      </c>
      <c r="Q217">
        <v>43083</v>
      </c>
      <c r="R217">
        <v>0</v>
      </c>
      <c r="S217">
        <v>0</v>
      </c>
      <c r="T217">
        <v>744</v>
      </c>
      <c r="U217">
        <v>6781</v>
      </c>
      <c r="V217">
        <v>0</v>
      </c>
      <c r="W217">
        <v>70595</v>
      </c>
      <c r="X217">
        <v>4058</v>
      </c>
      <c r="Y217">
        <v>26132</v>
      </c>
      <c r="Z217">
        <v>2235375.8833333338</v>
      </c>
      <c r="AA217">
        <v>1916036.471428572</v>
      </c>
      <c r="AB217">
        <v>58006</v>
      </c>
      <c r="AC217">
        <v>-6149</v>
      </c>
      <c r="AD217" t="s">
        <v>441</v>
      </c>
      <c r="AE217" s="232">
        <f t="shared" si="31"/>
        <v>0</v>
      </c>
      <c r="AF217" s="232">
        <f t="shared" si="32"/>
        <v>0.53355053474042069</v>
      </c>
      <c r="AG217" s="232">
        <f t="shared" si="33"/>
        <v>4.8162051136766059E-3</v>
      </c>
      <c r="AH217" s="232">
        <f t="shared" si="34"/>
        <v>0.22021389616828388</v>
      </c>
      <c r="AI217" s="232">
        <f t="shared" si="35"/>
        <v>0.37997875203626319</v>
      </c>
      <c r="AJ217" s="232">
        <f t="shared" si="36"/>
        <v>5.7482824562646077E-2</v>
      </c>
      <c r="AK217" s="232">
        <f t="shared" si="37"/>
        <v>2.7141248975544614E-2</v>
      </c>
      <c r="AL217" s="232">
        <f t="shared" si="38"/>
        <v>-2.1775621502939303E-2</v>
      </c>
      <c r="AM217" s="232">
        <f t="shared" si="39"/>
        <v>0.37578015146656141</v>
      </c>
      <c r="AN217" s="232">
        <v>2.92E-2</v>
      </c>
      <c r="AO217" s="232">
        <f t="shared" si="30"/>
        <v>0.14599999999999999</v>
      </c>
      <c r="AT217" t="s">
        <v>438</v>
      </c>
      <c r="AU217">
        <v>1655000</v>
      </c>
      <c r="AV217">
        <v>1182000</v>
      </c>
      <c r="AW217">
        <v>3411443.9728219677</v>
      </c>
      <c r="AX217">
        <v>574443.97282196768</v>
      </c>
      <c r="AY217">
        <v>574443.97282196768</v>
      </c>
      <c r="AZ217">
        <v>23833000</v>
      </c>
      <c r="BA217">
        <v>2.410288141744504E-2</v>
      </c>
    </row>
    <row r="218" spans="1:53" x14ac:dyDescent="0.25">
      <c r="A218" t="s">
        <v>156</v>
      </c>
      <c r="B218">
        <v>18280</v>
      </c>
      <c r="C218">
        <v>104448</v>
      </c>
      <c r="D218">
        <v>2150</v>
      </c>
      <c r="E218">
        <v>10809</v>
      </c>
      <c r="F218">
        <v>1094</v>
      </c>
      <c r="G218">
        <v>0</v>
      </c>
      <c r="H218">
        <v>7375</v>
      </c>
      <c r="I218">
        <v>0</v>
      </c>
      <c r="J218">
        <v>0</v>
      </c>
      <c r="K218">
        <v>0</v>
      </c>
      <c r="L218">
        <v>861</v>
      </c>
      <c r="M218">
        <v>15908</v>
      </c>
      <c r="N218">
        <v>8115</v>
      </c>
      <c r="O218">
        <v>50556</v>
      </c>
      <c r="P218">
        <v>15379</v>
      </c>
      <c r="Q218">
        <v>78713</v>
      </c>
      <c r="R218">
        <v>1</v>
      </c>
      <c r="S218">
        <v>5000</v>
      </c>
      <c r="T218">
        <v>4945</v>
      </c>
      <c r="U218">
        <v>14446</v>
      </c>
      <c r="V218">
        <v>-6</v>
      </c>
      <c r="W218">
        <v>141835</v>
      </c>
      <c r="X218">
        <v>-4320</v>
      </c>
      <c r="Y218">
        <v>38075</v>
      </c>
      <c r="Z218">
        <v>-3966207.4651732296</v>
      </c>
      <c r="AA218">
        <v>-3399606.398719911</v>
      </c>
      <c r="AB218">
        <v>127356</v>
      </c>
      <c r="AC218">
        <v>-4628</v>
      </c>
      <c r="AD218" t="s">
        <v>156</v>
      </c>
      <c r="AE218" s="232">
        <f t="shared" si="31"/>
        <v>2.9578797917652628E-2</v>
      </c>
      <c r="AF218" s="232">
        <f t="shared" si="32"/>
        <v>0.4675714738957239</v>
      </c>
      <c r="AG218" s="232">
        <f t="shared" si="33"/>
        <v>8.3921458032220536E-2</v>
      </c>
      <c r="AH218" s="232">
        <f t="shared" si="34"/>
        <v>5.1997038812704906E-2</v>
      </c>
      <c r="AI218" s="232">
        <f t="shared" si="35"/>
        <v>0.44124412169069693</v>
      </c>
      <c r="AJ218" s="232">
        <f t="shared" si="36"/>
        <v>-3.0457926463848838E-2</v>
      </c>
      <c r="AK218" s="232">
        <f t="shared" si="37"/>
        <v>-2.3968741133852087E-2</v>
      </c>
      <c r="AL218" s="232">
        <f t="shared" si="38"/>
        <v>-8.1573659533965524E-3</v>
      </c>
      <c r="AM218" s="232">
        <f t="shared" si="39"/>
        <v>0.39005560814008516</v>
      </c>
      <c r="AN218" s="232">
        <v>4.8099999999999997E-2</v>
      </c>
      <c r="AO218" s="232">
        <f t="shared" si="30"/>
        <v>0.24049999999999999</v>
      </c>
      <c r="AT218" t="s">
        <v>439</v>
      </c>
      <c r="AU218">
        <v>3228000</v>
      </c>
      <c r="AV218">
        <v>12132000</v>
      </c>
      <c r="AW218">
        <v>18623970.415375318</v>
      </c>
      <c r="AX218">
        <v>3263970.4153753184</v>
      </c>
      <c r="AY218">
        <v>3263970.4153753184</v>
      </c>
      <c r="AZ218">
        <v>100723000</v>
      </c>
      <c r="BA218">
        <v>3.2405413017635679E-2</v>
      </c>
    </row>
    <row r="219" spans="1:53" x14ac:dyDescent="0.25">
      <c r="A219" t="s">
        <v>242</v>
      </c>
      <c r="B219">
        <v>716</v>
      </c>
      <c r="C219">
        <v>33217</v>
      </c>
      <c r="D219">
        <v>49</v>
      </c>
      <c r="E219">
        <v>0</v>
      </c>
      <c r="F219">
        <v>5542</v>
      </c>
      <c r="G219">
        <v>0</v>
      </c>
      <c r="H219">
        <v>3991</v>
      </c>
      <c r="I219">
        <v>65</v>
      </c>
      <c r="J219">
        <v>0</v>
      </c>
      <c r="K219">
        <v>13673</v>
      </c>
      <c r="L219">
        <v>0</v>
      </c>
      <c r="M219">
        <v>7878</v>
      </c>
      <c r="N219">
        <v>4767</v>
      </c>
      <c r="O219">
        <v>37346</v>
      </c>
      <c r="P219">
        <v>15830</v>
      </c>
      <c r="Q219">
        <v>6906</v>
      </c>
      <c r="R219">
        <v>3</v>
      </c>
      <c r="S219">
        <v>374</v>
      </c>
      <c r="T219">
        <v>5415</v>
      </c>
      <c r="U219">
        <v>4024</v>
      </c>
      <c r="V219">
        <v>-1</v>
      </c>
      <c r="W219">
        <v>66590</v>
      </c>
      <c r="X219">
        <v>5506</v>
      </c>
      <c r="Y219">
        <v>23504</v>
      </c>
      <c r="Z219">
        <v>2115036.0376383243</v>
      </c>
      <c r="AA219">
        <v>1812888.0322614207</v>
      </c>
      <c r="AB219">
        <v>22427</v>
      </c>
      <c r="AC219">
        <v>11506</v>
      </c>
      <c r="AD219" t="s">
        <v>242</v>
      </c>
      <c r="AE219" s="232">
        <f t="shared" si="31"/>
        <v>5.3506538098371916E-3</v>
      </c>
      <c r="AF219" s="232">
        <f t="shared" si="32"/>
        <v>-0.22733143114581769</v>
      </c>
      <c r="AG219" s="232">
        <f t="shared" si="33"/>
        <v>8.3225709566000908E-2</v>
      </c>
      <c r="AH219" s="232">
        <f t="shared" si="34"/>
        <v>6.0910046553536566E-2</v>
      </c>
      <c r="AI219" s="232">
        <f t="shared" si="35"/>
        <v>-0.25998137858537318</v>
      </c>
      <c r="AJ219" s="232">
        <f t="shared" si="36"/>
        <v>8.2685087851028682E-2</v>
      </c>
      <c r="AK219" s="232">
        <f t="shared" si="37"/>
        <v>2.7224628807049418E-2</v>
      </c>
      <c r="AL219" s="232">
        <f t="shared" si="38"/>
        <v>4.3197176753266259E-2</v>
      </c>
      <c r="AM219" s="232">
        <f t="shared" si="39"/>
        <v>0.76076568714412429</v>
      </c>
      <c r="AN219" s="232">
        <v>3.1699999999999999E-2</v>
      </c>
      <c r="AO219" s="232">
        <f t="shared" si="30"/>
        <v>0.1585</v>
      </c>
      <c r="AT219" t="s">
        <v>363</v>
      </c>
      <c r="AU219">
        <v>2953000</v>
      </c>
      <c r="AV219">
        <v>2071999.9999999995</v>
      </c>
      <c r="AW219">
        <v>8415255.3170692809</v>
      </c>
      <c r="AX219">
        <v>3390255.3170692814</v>
      </c>
      <c r="AY219">
        <v>3390255.3170692814</v>
      </c>
      <c r="AZ219">
        <v>60154000</v>
      </c>
      <c r="BA219">
        <v>5.6359598980438234E-2</v>
      </c>
    </row>
    <row r="220" spans="1:53" x14ac:dyDescent="0.25">
      <c r="A220" t="s">
        <v>197</v>
      </c>
      <c r="B220">
        <v>523</v>
      </c>
      <c r="C220">
        <v>99266</v>
      </c>
      <c r="D220">
        <v>818</v>
      </c>
      <c r="E220">
        <v>76</v>
      </c>
      <c r="F220">
        <v>6501</v>
      </c>
      <c r="G220">
        <v>0</v>
      </c>
      <c r="H220">
        <v>1793</v>
      </c>
      <c r="I220">
        <v>0</v>
      </c>
      <c r="J220">
        <v>0</v>
      </c>
      <c r="K220">
        <v>0</v>
      </c>
      <c r="L220">
        <v>2361</v>
      </c>
      <c r="M220">
        <v>7433</v>
      </c>
      <c r="N220">
        <v>618</v>
      </c>
      <c r="O220">
        <v>56111</v>
      </c>
      <c r="P220">
        <v>13917</v>
      </c>
      <c r="Q220">
        <v>30264</v>
      </c>
      <c r="R220">
        <v>0</v>
      </c>
      <c r="S220">
        <v>8000</v>
      </c>
      <c r="T220">
        <v>8483</v>
      </c>
      <c r="U220">
        <v>2614</v>
      </c>
      <c r="V220">
        <v>1</v>
      </c>
      <c r="W220">
        <v>102374</v>
      </c>
      <c r="X220">
        <v>5806</v>
      </c>
      <c r="Y220">
        <v>31915</v>
      </c>
      <c r="Z220">
        <v>2774892.0656887274</v>
      </c>
      <c r="AA220">
        <v>2378478.9134474806</v>
      </c>
      <c r="AB220">
        <v>91587</v>
      </c>
      <c r="AC220">
        <v>8202</v>
      </c>
      <c r="AD220" t="s">
        <v>197</v>
      </c>
      <c r="AE220" s="232">
        <f t="shared" si="31"/>
        <v>6.7007848294231467E-2</v>
      </c>
      <c r="AF220" s="232">
        <f t="shared" si="32"/>
        <v>0.31621310098267136</v>
      </c>
      <c r="AG220" s="232">
        <f t="shared" si="33"/>
        <v>6.424482778830562E-2</v>
      </c>
      <c r="AH220" s="232">
        <f t="shared" si="34"/>
        <v>1.7514212593041201E-2</v>
      </c>
      <c r="AI220" s="232">
        <f t="shared" si="35"/>
        <v>0.31166253150213924</v>
      </c>
      <c r="AJ220" s="232">
        <f t="shared" si="36"/>
        <v>5.671361869224608E-2</v>
      </c>
      <c r="AK220" s="232">
        <f t="shared" si="37"/>
        <v>2.3233232201999344E-2</v>
      </c>
      <c r="AL220" s="232">
        <f t="shared" si="38"/>
        <v>2.0029499677652531E-2</v>
      </c>
      <c r="AM220" s="232">
        <f t="shared" si="39"/>
        <v>0.58655320004355516</v>
      </c>
      <c r="AN220" s="232">
        <v>3.39E-2</v>
      </c>
      <c r="AO220" s="232">
        <f t="shared" si="30"/>
        <v>0.16949999999999998</v>
      </c>
      <c r="AT220" t="s">
        <v>236</v>
      </c>
      <c r="AU220">
        <v>4481999.9999999991</v>
      </c>
      <c r="AV220">
        <v>2171000</v>
      </c>
      <c r="AW220">
        <v>9370919.3337012846</v>
      </c>
      <c r="AX220">
        <v>2717919.3337012855</v>
      </c>
      <c r="AY220">
        <v>2717919.3337012855</v>
      </c>
      <c r="AZ220">
        <v>92739000</v>
      </c>
      <c r="BA220">
        <v>2.9307188277868917E-2</v>
      </c>
    </row>
    <row r="221" spans="1:53" x14ac:dyDescent="0.25">
      <c r="A221" s="250" t="s">
        <v>198</v>
      </c>
      <c r="B221">
        <v>283</v>
      </c>
      <c r="C221">
        <v>39995</v>
      </c>
      <c r="D221">
        <v>1650</v>
      </c>
      <c r="E221">
        <v>8590</v>
      </c>
      <c r="F221">
        <v>465</v>
      </c>
      <c r="G221">
        <v>0</v>
      </c>
      <c r="H221">
        <v>9059</v>
      </c>
      <c r="I221">
        <v>0</v>
      </c>
      <c r="J221">
        <v>0</v>
      </c>
      <c r="K221">
        <v>1</v>
      </c>
      <c r="L221">
        <v>23</v>
      </c>
      <c r="M221">
        <v>1635</v>
      </c>
      <c r="N221">
        <v>3646</v>
      </c>
      <c r="O221">
        <v>18157</v>
      </c>
      <c r="P221">
        <v>5540</v>
      </c>
      <c r="Q221">
        <v>32923</v>
      </c>
      <c r="R221">
        <v>0</v>
      </c>
      <c r="S221">
        <v>1460</v>
      </c>
      <c r="T221">
        <v>4142</v>
      </c>
      <c r="U221">
        <v>3125</v>
      </c>
      <c r="V221">
        <v>-1</v>
      </c>
      <c r="W221">
        <v>47115</v>
      </c>
      <c r="X221">
        <v>1970</v>
      </c>
      <c r="Y221">
        <v>18023</v>
      </c>
      <c r="Z221">
        <v>572169.4410715634</v>
      </c>
      <c r="AA221">
        <v>490430.94948991155</v>
      </c>
      <c r="AB221">
        <v>46446</v>
      </c>
      <c r="AC221">
        <v>-6168</v>
      </c>
      <c r="AD221" t="s">
        <v>198</v>
      </c>
      <c r="AE221" s="232">
        <f t="shared" si="31"/>
        <v>2.2342265138414922E-2</v>
      </c>
      <c r="AF221" s="232">
        <f t="shared" si="32"/>
        <v>0.57922105486575404</v>
      </c>
      <c r="AG221" s="232">
        <f t="shared" si="33"/>
        <v>0.19218932399448158</v>
      </c>
      <c r="AH221" s="232">
        <f t="shared" si="34"/>
        <v>0.19227422264671548</v>
      </c>
      <c r="AI221" s="232">
        <f t="shared" si="35"/>
        <v>0.46769181789239095</v>
      </c>
      <c r="AJ221" s="232">
        <f t="shared" si="36"/>
        <v>4.1812586225193675E-2</v>
      </c>
      <c r="AK221" s="232">
        <f t="shared" si="37"/>
        <v>1.0409231656370827E-2</v>
      </c>
      <c r="AL221" s="232">
        <f t="shared" si="38"/>
        <v>-3.2728430436166828E-2</v>
      </c>
      <c r="AM221" s="232">
        <f t="shared" si="39"/>
        <v>0.36263332670206744</v>
      </c>
      <c r="AN221" s="232">
        <v>2.93E-2</v>
      </c>
      <c r="AO221" s="232">
        <f t="shared" si="30"/>
        <v>0.14649999999999999</v>
      </c>
      <c r="AT221" t="s">
        <v>506</v>
      </c>
      <c r="AU221">
        <v>2010000</v>
      </c>
      <c r="AV221">
        <v>1328000</v>
      </c>
      <c r="AW221">
        <v>4126479.1522807023</v>
      </c>
      <c r="AX221">
        <v>788479.15228070226</v>
      </c>
      <c r="AY221">
        <v>788479.15228070226</v>
      </c>
      <c r="AZ221">
        <v>26654000</v>
      </c>
      <c r="BA221">
        <v>2.9582019669869522E-2</v>
      </c>
    </row>
    <row r="222" spans="1:53" x14ac:dyDescent="0.25">
      <c r="A222" t="s">
        <v>199</v>
      </c>
      <c r="B222">
        <v>1996</v>
      </c>
      <c r="C222">
        <v>27021</v>
      </c>
      <c r="D222">
        <v>303</v>
      </c>
      <c r="E222">
        <v>3708</v>
      </c>
      <c r="F222">
        <v>1625</v>
      </c>
      <c r="G222">
        <v>0</v>
      </c>
      <c r="H222">
        <v>17662</v>
      </c>
      <c r="I222">
        <v>0</v>
      </c>
      <c r="J222">
        <v>0</v>
      </c>
      <c r="K222">
        <v>4699</v>
      </c>
      <c r="L222">
        <v>2272</v>
      </c>
      <c r="M222">
        <v>6845</v>
      </c>
      <c r="N222">
        <v>2564</v>
      </c>
      <c r="O222">
        <v>11586</v>
      </c>
      <c r="P222">
        <v>9028</v>
      </c>
      <c r="Q222">
        <v>43872</v>
      </c>
      <c r="R222">
        <v>0</v>
      </c>
      <c r="S222">
        <v>0</v>
      </c>
      <c r="T222">
        <v>1711</v>
      </c>
      <c r="U222">
        <v>2498</v>
      </c>
      <c r="V222">
        <v>1</v>
      </c>
      <c r="W222">
        <v>56125</v>
      </c>
      <c r="X222">
        <v>5315</v>
      </c>
      <c r="Y222">
        <v>17630</v>
      </c>
      <c r="Z222">
        <v>2623095.7143322891</v>
      </c>
      <c r="AA222">
        <v>2248367.7551419619</v>
      </c>
      <c r="AB222">
        <v>52235</v>
      </c>
      <c r="AC222">
        <v>-23218</v>
      </c>
      <c r="AD222" t="s">
        <v>199</v>
      </c>
      <c r="AE222" s="232">
        <f t="shared" si="31"/>
        <v>0</v>
      </c>
      <c r="AF222" s="232">
        <f t="shared" si="32"/>
        <v>0.46980846325167036</v>
      </c>
      <c r="AG222" s="232">
        <f t="shared" si="33"/>
        <v>9.5020044543429841E-2</v>
      </c>
      <c r="AH222" s="232">
        <f t="shared" si="34"/>
        <v>0.3146904231625835</v>
      </c>
      <c r="AI222" s="232">
        <f t="shared" si="35"/>
        <v>0.26092757238307351</v>
      </c>
      <c r="AJ222" s="232">
        <f t="shared" si="36"/>
        <v>9.4699331848552337E-2</v>
      </c>
      <c r="AK222" s="232">
        <f t="shared" si="37"/>
        <v>4.0060004545959232E-2</v>
      </c>
      <c r="AL222" s="232">
        <f t="shared" si="38"/>
        <v>-0.10342093541202672</v>
      </c>
      <c r="AM222" s="232">
        <f t="shared" si="39"/>
        <v>0.30008006405124099</v>
      </c>
      <c r="AN222" s="232">
        <v>7.9000000000000008E-3</v>
      </c>
      <c r="AO222" s="232">
        <f t="shared" si="30"/>
        <v>3.9500000000000007E-2</v>
      </c>
      <c r="AT222" t="s">
        <v>477</v>
      </c>
      <c r="AU222">
        <v>1232000</v>
      </c>
      <c r="AV222">
        <v>347000.00000000006</v>
      </c>
      <c r="AW222">
        <v>2457909.4400201016</v>
      </c>
      <c r="AX222">
        <v>878909.44002010161</v>
      </c>
      <c r="AY222">
        <v>878909.44002010161</v>
      </c>
      <c r="AZ222">
        <v>15707000</v>
      </c>
      <c r="BA222">
        <v>5.5956544217234457E-2</v>
      </c>
    </row>
    <row r="223" spans="1:53" x14ac:dyDescent="0.25">
      <c r="A223" t="s">
        <v>243</v>
      </c>
      <c r="B223">
        <v>657</v>
      </c>
      <c r="C223">
        <v>97706</v>
      </c>
      <c r="D223">
        <v>434</v>
      </c>
      <c r="E223">
        <v>334</v>
      </c>
      <c r="F223">
        <v>8248</v>
      </c>
      <c r="G223">
        <v>0</v>
      </c>
      <c r="H223">
        <v>4147</v>
      </c>
      <c r="I223">
        <v>0</v>
      </c>
      <c r="J223">
        <v>0</v>
      </c>
      <c r="K223">
        <v>0</v>
      </c>
      <c r="L223">
        <v>-1367</v>
      </c>
      <c r="M223">
        <v>4509</v>
      </c>
      <c r="N223">
        <v>2906</v>
      </c>
      <c r="O223">
        <v>51370</v>
      </c>
      <c r="P223">
        <v>11172</v>
      </c>
      <c r="Q223">
        <v>45795</v>
      </c>
      <c r="R223">
        <v>13</v>
      </c>
      <c r="S223">
        <v>0</v>
      </c>
      <c r="T223">
        <v>1698</v>
      </c>
      <c r="U223">
        <v>7526</v>
      </c>
      <c r="V223">
        <v>1</v>
      </c>
      <c r="W223">
        <v>67516</v>
      </c>
      <c r="X223">
        <v>-2217</v>
      </c>
      <c r="Y223">
        <v>29672</v>
      </c>
      <c r="Z223">
        <v>2927588.5571157224</v>
      </c>
      <c r="AA223">
        <v>2509361.620384905</v>
      </c>
      <c r="AB223">
        <v>81953</v>
      </c>
      <c r="AC223">
        <v>16410</v>
      </c>
      <c r="AD223" t="s">
        <v>243</v>
      </c>
      <c r="AE223" s="232">
        <f t="shared" si="31"/>
        <v>0</v>
      </c>
      <c r="AF223" s="232">
        <f t="shared" si="32"/>
        <v>0.59840630369097692</v>
      </c>
      <c r="AG223" s="232">
        <f t="shared" si="33"/>
        <v>0.12711061081817643</v>
      </c>
      <c r="AH223" s="232">
        <f t="shared" si="34"/>
        <v>6.1422477634930979E-2</v>
      </c>
      <c r="AI223" s="232">
        <f t="shared" si="35"/>
        <v>0.57066384264470638</v>
      </c>
      <c r="AJ223" s="232">
        <f t="shared" si="36"/>
        <v>-3.2836660939629128E-2</v>
      </c>
      <c r="AK223" s="232">
        <f t="shared" si="37"/>
        <v>3.7166917773341211E-2</v>
      </c>
      <c r="AL223" s="232">
        <f t="shared" si="38"/>
        <v>6.0763374607500448E-2</v>
      </c>
      <c r="AM223" s="232">
        <f t="shared" si="39"/>
        <v>0.53193733308384505</v>
      </c>
      <c r="AN223" s="232">
        <v>4.2500000000000003E-2</v>
      </c>
      <c r="AO223" s="232">
        <f t="shared" si="30"/>
        <v>0.21250000000000002</v>
      </c>
      <c r="AT223" t="s">
        <v>237</v>
      </c>
      <c r="AU223">
        <v>3513000</v>
      </c>
      <c r="AV223">
        <v>1727000</v>
      </c>
      <c r="AW223">
        <v>5917300.5295641413</v>
      </c>
      <c r="AX223">
        <v>677300.5295641413</v>
      </c>
      <c r="AY223">
        <v>677300.5295641413</v>
      </c>
      <c r="AZ223">
        <v>52572000</v>
      </c>
      <c r="BA223">
        <v>1.2883293950470618E-2</v>
      </c>
    </row>
    <row r="224" spans="1:53" x14ac:dyDescent="0.25">
      <c r="A224" t="s">
        <v>442</v>
      </c>
      <c r="B224">
        <v>1677</v>
      </c>
      <c r="C224">
        <v>182741</v>
      </c>
      <c r="D224">
        <v>1995</v>
      </c>
      <c r="E224">
        <v>15764</v>
      </c>
      <c r="F224">
        <v>2045</v>
      </c>
      <c r="G224">
        <v>20</v>
      </c>
      <c r="H224">
        <v>25833</v>
      </c>
      <c r="I224">
        <v>4</v>
      </c>
      <c r="J224">
        <v>0</v>
      </c>
      <c r="K224">
        <v>7500</v>
      </c>
      <c r="L224">
        <v>997</v>
      </c>
      <c r="M224">
        <v>4954</v>
      </c>
      <c r="N224">
        <v>10329</v>
      </c>
      <c r="O224">
        <v>150732</v>
      </c>
      <c r="P224">
        <v>821</v>
      </c>
      <c r="Q224">
        <v>79764</v>
      </c>
      <c r="R224">
        <v>0</v>
      </c>
      <c r="S224">
        <v>0</v>
      </c>
      <c r="T224">
        <v>8671</v>
      </c>
      <c r="U224">
        <v>13871</v>
      </c>
      <c r="V224">
        <v>0</v>
      </c>
      <c r="W224">
        <v>176501</v>
      </c>
      <c r="X224">
        <v>-3526</v>
      </c>
      <c r="Y224">
        <v>55147</v>
      </c>
      <c r="Z224">
        <v>6728860.8840487264</v>
      </c>
      <c r="AA224">
        <v>5767595.0434703371</v>
      </c>
      <c r="AB224">
        <v>160603</v>
      </c>
      <c r="AC224">
        <v>23815</v>
      </c>
      <c r="AD224" t="s">
        <v>442</v>
      </c>
      <c r="AE224" s="232">
        <f t="shared" si="31"/>
        <v>0</v>
      </c>
      <c r="AF224" s="232">
        <f t="shared" si="32"/>
        <v>0.34389040288723577</v>
      </c>
      <c r="AG224" s="232">
        <f t="shared" si="33"/>
        <v>0.10090027818539271</v>
      </c>
      <c r="AH224" s="232">
        <f t="shared" si="34"/>
        <v>0.14638443974821672</v>
      </c>
      <c r="AI224" s="232">
        <f t="shared" si="35"/>
        <v>0.25352932844573123</v>
      </c>
      <c r="AJ224" s="232">
        <f t="shared" si="36"/>
        <v>-1.9977223925076913E-2</v>
      </c>
      <c r="AK224" s="232">
        <f t="shared" si="37"/>
        <v>3.26774071731624E-2</v>
      </c>
      <c r="AL224" s="232">
        <f t="shared" si="38"/>
        <v>3.3732103500830023E-2</v>
      </c>
      <c r="AM224" s="232">
        <f t="shared" si="39"/>
        <v>0.59699675804285057</v>
      </c>
      <c r="AN224" s="232">
        <v>2.86E-2</v>
      </c>
      <c r="AO224" s="232">
        <f t="shared" si="30"/>
        <v>0.14300000000000002</v>
      </c>
      <c r="AT224" t="s">
        <v>478</v>
      </c>
      <c r="AU224">
        <v>2222999.9999999995</v>
      </c>
      <c r="AV224">
        <v>1797999.9999999995</v>
      </c>
      <c r="AW224">
        <v>5357845.0420837691</v>
      </c>
      <c r="AX224">
        <v>1336845.04208377</v>
      </c>
      <c r="AY224">
        <v>1336845.04208377</v>
      </c>
      <c r="AZ224">
        <v>41865000</v>
      </c>
      <c r="BA224">
        <v>3.1932283341305864E-2</v>
      </c>
    </row>
    <row r="225" spans="1:53" x14ac:dyDescent="0.25">
      <c r="A225" t="s">
        <v>177</v>
      </c>
      <c r="B225">
        <v>1597</v>
      </c>
      <c r="C225">
        <v>60100</v>
      </c>
      <c r="D225">
        <v>151</v>
      </c>
      <c r="E225">
        <v>2767</v>
      </c>
      <c r="F225">
        <v>1049</v>
      </c>
      <c r="G225">
        <v>0</v>
      </c>
      <c r="H225">
        <v>2835</v>
      </c>
      <c r="I225">
        <v>0</v>
      </c>
      <c r="J225">
        <v>0</v>
      </c>
      <c r="K225">
        <v>0</v>
      </c>
      <c r="L225">
        <v>-1521</v>
      </c>
      <c r="M225">
        <v>6503</v>
      </c>
      <c r="N225">
        <v>-300</v>
      </c>
      <c r="O225">
        <v>29478</v>
      </c>
      <c r="P225">
        <v>10072</v>
      </c>
      <c r="Q225">
        <v>26367</v>
      </c>
      <c r="R225">
        <v>0</v>
      </c>
      <c r="S225">
        <v>0</v>
      </c>
      <c r="T225">
        <v>1297</v>
      </c>
      <c r="U225">
        <v>5967</v>
      </c>
      <c r="V225">
        <v>1</v>
      </c>
      <c r="W225">
        <v>66574</v>
      </c>
      <c r="X225">
        <v>-3607</v>
      </c>
      <c r="Y225">
        <v>25459</v>
      </c>
      <c r="Z225">
        <v>3474532.6853254754</v>
      </c>
      <c r="AA225">
        <v>2978170.8731361218</v>
      </c>
      <c r="AB225">
        <v>67889</v>
      </c>
      <c r="AC225">
        <v>-6192</v>
      </c>
      <c r="AD225" t="s">
        <v>177</v>
      </c>
      <c r="AE225" s="232">
        <f t="shared" si="31"/>
        <v>0</v>
      </c>
      <c r="AF225" s="232">
        <f t="shared" si="32"/>
        <v>0.37751975245591374</v>
      </c>
      <c r="AG225" s="232">
        <f t="shared" si="33"/>
        <v>5.7319674347342808E-2</v>
      </c>
      <c r="AH225" s="232">
        <f t="shared" si="34"/>
        <v>4.2584192026917413E-2</v>
      </c>
      <c r="AI225" s="232">
        <f t="shared" si="35"/>
        <v>0.35458917895875269</v>
      </c>
      <c r="AJ225" s="232">
        <f t="shared" si="36"/>
        <v>-5.4180310631778174E-2</v>
      </c>
      <c r="AK225" s="232">
        <f t="shared" si="37"/>
        <v>4.4734744391746357E-2</v>
      </c>
      <c r="AL225" s="232">
        <f t="shared" si="38"/>
        <v>-2.3252320725808875E-2</v>
      </c>
      <c r="AM225" s="232">
        <f t="shared" si="39"/>
        <v>0.54044082480425248</v>
      </c>
      <c r="AN225" s="232">
        <v>4.5999999999999999E-2</v>
      </c>
      <c r="AO225" s="232">
        <f t="shared" si="30"/>
        <v>0.22999999999999998</v>
      </c>
      <c r="AT225" t="s">
        <v>238</v>
      </c>
      <c r="AU225">
        <v>1106000</v>
      </c>
      <c r="AV225">
        <v>1082000</v>
      </c>
      <c r="AW225">
        <v>3821982.7081169914</v>
      </c>
      <c r="AX225">
        <v>1633982.7081169914</v>
      </c>
      <c r="AY225">
        <v>1633982.7081169914</v>
      </c>
      <c r="AZ225">
        <v>29781000</v>
      </c>
      <c r="BA225">
        <v>5.4866616571538615E-2</v>
      </c>
    </row>
    <row r="226" spans="1:53" x14ac:dyDescent="0.25">
      <c r="A226" t="s">
        <v>316</v>
      </c>
      <c r="B226">
        <v>722</v>
      </c>
      <c r="C226">
        <v>32647</v>
      </c>
      <c r="D226">
        <v>1158</v>
      </c>
      <c r="E226">
        <v>0</v>
      </c>
      <c r="F226">
        <v>465</v>
      </c>
      <c r="G226">
        <v>0</v>
      </c>
      <c r="H226">
        <v>59</v>
      </c>
      <c r="I226">
        <v>0</v>
      </c>
      <c r="J226">
        <v>0</v>
      </c>
      <c r="K226">
        <v>0</v>
      </c>
      <c r="L226">
        <v>34</v>
      </c>
      <c r="M226">
        <v>5968</v>
      </c>
      <c r="N226">
        <v>37</v>
      </c>
      <c r="O226">
        <v>5459</v>
      </c>
      <c r="P226">
        <v>1797</v>
      </c>
      <c r="Q226">
        <v>27600</v>
      </c>
      <c r="R226">
        <v>6</v>
      </c>
      <c r="S226">
        <v>2888</v>
      </c>
      <c r="T226">
        <v>2055</v>
      </c>
      <c r="U226">
        <v>1285</v>
      </c>
      <c r="V226">
        <v>2</v>
      </c>
      <c r="W226">
        <v>21651</v>
      </c>
      <c r="X226">
        <v>-401</v>
      </c>
      <c r="Y226">
        <v>9735</v>
      </c>
      <c r="Z226">
        <v>1333415.9736162894</v>
      </c>
      <c r="AA226">
        <v>1142927.9773853908</v>
      </c>
      <c r="AB226">
        <v>33855</v>
      </c>
      <c r="AC226">
        <v>-486</v>
      </c>
      <c r="AD226" t="s">
        <v>316</v>
      </c>
      <c r="AE226" s="232">
        <f t="shared" si="31"/>
        <v>7.0284740812849841E-2</v>
      </c>
      <c r="AF226" s="232">
        <f t="shared" si="32"/>
        <v>1.2622973534709714</v>
      </c>
      <c r="AG226" s="232">
        <f t="shared" si="33"/>
        <v>2.1477068033809062E-2</v>
      </c>
      <c r="AH226" s="232">
        <f t="shared" si="34"/>
        <v>2.7250473419241604E-3</v>
      </c>
      <c r="AI226" s="232">
        <f t="shared" si="35"/>
        <v>1.2629670684956815</v>
      </c>
      <c r="AJ226" s="232">
        <f t="shared" si="36"/>
        <v>-1.8521084476467598E-2</v>
      </c>
      <c r="AK226" s="232">
        <f t="shared" si="37"/>
        <v>5.2788692318386718E-2</v>
      </c>
      <c r="AL226" s="232">
        <f t="shared" si="38"/>
        <v>-5.6117500346404324E-3</v>
      </c>
      <c r="AM226" s="232">
        <f t="shared" si="39"/>
        <v>0.17658797761012412</v>
      </c>
      <c r="AN226" s="232">
        <v>3.2300000000000002E-2</v>
      </c>
      <c r="AO226" s="232">
        <f t="shared" si="30"/>
        <v>0.1615</v>
      </c>
      <c r="AT226" t="s">
        <v>273</v>
      </c>
      <c r="AU226">
        <v>6180000</v>
      </c>
      <c r="AV226">
        <v>9966000</v>
      </c>
      <c r="AW226">
        <v>19729794.936348092</v>
      </c>
      <c r="AX226">
        <v>3583794.9363480918</v>
      </c>
      <c r="AY226">
        <v>3583794.9363480918</v>
      </c>
      <c r="AZ226">
        <v>210921000</v>
      </c>
      <c r="BA226">
        <v>1.6991171748418091E-2</v>
      </c>
    </row>
    <row r="227" spans="1:53" x14ac:dyDescent="0.25">
      <c r="A227" t="s">
        <v>317</v>
      </c>
      <c r="B227">
        <v>459</v>
      </c>
      <c r="C227">
        <v>40857</v>
      </c>
      <c r="D227">
        <v>58</v>
      </c>
      <c r="E227">
        <v>0</v>
      </c>
      <c r="F227">
        <v>2844</v>
      </c>
      <c r="G227">
        <v>0</v>
      </c>
      <c r="H227">
        <v>4988</v>
      </c>
      <c r="I227">
        <v>0</v>
      </c>
      <c r="J227">
        <v>8662</v>
      </c>
      <c r="K227">
        <v>0</v>
      </c>
      <c r="L227">
        <v>252</v>
      </c>
      <c r="M227">
        <v>1919</v>
      </c>
      <c r="N227">
        <v>625</v>
      </c>
      <c r="O227">
        <v>45069</v>
      </c>
      <c r="P227">
        <v>5762</v>
      </c>
      <c r="Q227">
        <v>5389</v>
      </c>
      <c r="R227">
        <v>2</v>
      </c>
      <c r="S227">
        <v>0</v>
      </c>
      <c r="T227">
        <v>1067</v>
      </c>
      <c r="U227">
        <v>3375</v>
      </c>
      <c r="V227">
        <v>-1</v>
      </c>
      <c r="W227">
        <v>29308</v>
      </c>
      <c r="X227">
        <v>-2469</v>
      </c>
      <c r="Y227">
        <v>11526</v>
      </c>
      <c r="Z227">
        <v>1693712.7871040697</v>
      </c>
      <c r="AA227">
        <v>1451753.8175177739</v>
      </c>
      <c r="AB227">
        <v>44804</v>
      </c>
      <c r="AC227">
        <v>-3488</v>
      </c>
      <c r="AD227" t="s">
        <v>317</v>
      </c>
      <c r="AE227" s="232">
        <f t="shared" si="31"/>
        <v>0</v>
      </c>
      <c r="AF227" s="232">
        <f t="shared" si="32"/>
        <v>-0.1524839634229562</v>
      </c>
      <c r="AG227" s="232">
        <f t="shared" si="33"/>
        <v>9.7038351303398385E-2</v>
      </c>
      <c r="AH227" s="232">
        <f t="shared" si="34"/>
        <v>0.17019243892452574</v>
      </c>
      <c r="AI227" s="232">
        <f t="shared" si="35"/>
        <v>-0.25997406851371641</v>
      </c>
      <c r="AJ227" s="232">
        <f t="shared" si="36"/>
        <v>-8.4243210045038902E-2</v>
      </c>
      <c r="AK227" s="232">
        <f t="shared" si="37"/>
        <v>4.9534387113340177E-2</v>
      </c>
      <c r="AL227" s="232">
        <f t="shared" si="38"/>
        <v>-2.9752968472771941E-2</v>
      </c>
      <c r="AM227" s="232">
        <f t="shared" si="39"/>
        <v>0.83791045760253202</v>
      </c>
      <c r="AN227" s="232">
        <v>4.8099999999999997E-2</v>
      </c>
      <c r="AO227" s="232">
        <f t="shared" si="30"/>
        <v>0.24049999999999999</v>
      </c>
      <c r="AT227" t="s">
        <v>364</v>
      </c>
      <c r="AU227">
        <v>4401000</v>
      </c>
      <c r="AV227">
        <v>3053000</v>
      </c>
      <c r="AW227">
        <v>9296816.5870584957</v>
      </c>
      <c r="AX227">
        <v>1842816.5870584957</v>
      </c>
      <c r="AY227">
        <v>1842816.5870584957</v>
      </c>
      <c r="AZ227">
        <v>80616000</v>
      </c>
      <c r="BA227">
        <v>2.28591915631946E-2</v>
      </c>
    </row>
    <row r="228" spans="1:53" x14ac:dyDescent="0.25">
      <c r="A228" t="s">
        <v>178</v>
      </c>
      <c r="B228">
        <v>1247</v>
      </c>
      <c r="C228">
        <v>63391</v>
      </c>
      <c r="D228">
        <v>284</v>
      </c>
      <c r="E228">
        <v>13385</v>
      </c>
      <c r="F228">
        <v>451</v>
      </c>
      <c r="G228">
        <v>0</v>
      </c>
      <c r="H228">
        <v>3409</v>
      </c>
      <c r="I228">
        <v>0</v>
      </c>
      <c r="J228">
        <v>0</v>
      </c>
      <c r="K228">
        <v>0</v>
      </c>
      <c r="L228">
        <v>315</v>
      </c>
      <c r="M228">
        <v>6952</v>
      </c>
      <c r="N228">
        <v>-1364</v>
      </c>
      <c r="O228">
        <v>25176</v>
      </c>
      <c r="P228">
        <v>11509</v>
      </c>
      <c r="Q228">
        <v>32385</v>
      </c>
      <c r="R228">
        <v>0</v>
      </c>
      <c r="S228">
        <v>9500</v>
      </c>
      <c r="T228">
        <v>677</v>
      </c>
      <c r="U228">
        <v>8823</v>
      </c>
      <c r="V228">
        <v>0</v>
      </c>
      <c r="W228">
        <v>84020</v>
      </c>
      <c r="X228">
        <v>170</v>
      </c>
      <c r="Y228">
        <v>29753</v>
      </c>
      <c r="Z228">
        <v>3269887.8820005385</v>
      </c>
      <c r="AA228">
        <v>2802761.0417147474</v>
      </c>
      <c r="AB228">
        <v>61348</v>
      </c>
      <c r="AC228">
        <v>3290</v>
      </c>
      <c r="AD228" t="s">
        <v>178</v>
      </c>
      <c r="AE228" s="232">
        <f t="shared" si="31"/>
        <v>0.10786874077438401</v>
      </c>
      <c r="AF228" s="232">
        <f t="shared" si="32"/>
        <v>0.37664841704356106</v>
      </c>
      <c r="AG228" s="232">
        <f t="shared" si="33"/>
        <v>0.16467507736253273</v>
      </c>
      <c r="AH228" s="232">
        <f t="shared" si="34"/>
        <v>4.0573672935015473E-2</v>
      </c>
      <c r="AI228" s="232">
        <f t="shared" si="35"/>
        <v>0.36800785527255414</v>
      </c>
      <c r="AJ228" s="232">
        <f t="shared" si="36"/>
        <v>2.0233277791002141E-3</v>
      </c>
      <c r="AK228" s="232">
        <f t="shared" si="37"/>
        <v>3.3358260434595902E-2</v>
      </c>
      <c r="AL228" s="232">
        <f t="shared" si="38"/>
        <v>9.7893358724113304E-3</v>
      </c>
      <c r="AM228" s="232">
        <f t="shared" si="39"/>
        <v>0.41654365845350289</v>
      </c>
      <c r="AN228" s="232">
        <v>1.2200000000000001E-2</v>
      </c>
      <c r="AO228" s="232">
        <f t="shared" si="30"/>
        <v>6.1000000000000006E-2</v>
      </c>
      <c r="AT228" t="s">
        <v>239</v>
      </c>
      <c r="AU228">
        <v>4928000</v>
      </c>
      <c r="AV228">
        <v>3978000</v>
      </c>
      <c r="AW228">
        <v>14745797.494281558</v>
      </c>
      <c r="AX228">
        <v>5839797.4942815583</v>
      </c>
      <c r="AY228">
        <v>5839797.4942815583</v>
      </c>
      <c r="AZ228">
        <v>116569000</v>
      </c>
      <c r="BA228">
        <v>5.0097345728980759E-2</v>
      </c>
    </row>
    <row r="229" spans="1:53" x14ac:dyDescent="0.25">
      <c r="A229" t="s">
        <v>443</v>
      </c>
      <c r="B229">
        <v>7187</v>
      </c>
      <c r="C229">
        <v>200176</v>
      </c>
      <c r="D229">
        <v>153</v>
      </c>
      <c r="E229">
        <v>9671</v>
      </c>
      <c r="F229">
        <v>22259</v>
      </c>
      <c r="G229">
        <v>0</v>
      </c>
      <c r="H229">
        <v>56494</v>
      </c>
      <c r="I229">
        <v>0</v>
      </c>
      <c r="J229">
        <v>0</v>
      </c>
      <c r="K229">
        <v>0</v>
      </c>
      <c r="L229">
        <v>-5072</v>
      </c>
      <c r="M229">
        <v>36710</v>
      </c>
      <c r="N229">
        <v>5058</v>
      </c>
      <c r="O229">
        <v>120829</v>
      </c>
      <c r="P229">
        <v>37932</v>
      </c>
      <c r="Q229">
        <v>136007</v>
      </c>
      <c r="R229">
        <v>3131</v>
      </c>
      <c r="S229">
        <v>0</v>
      </c>
      <c r="T229">
        <v>17234</v>
      </c>
      <c r="U229">
        <v>17503</v>
      </c>
      <c r="V229">
        <v>0</v>
      </c>
      <c r="W229">
        <v>291353</v>
      </c>
      <c r="X229">
        <v>12393</v>
      </c>
      <c r="Y229">
        <v>90951</v>
      </c>
      <c r="Z229">
        <v>8136892.1141329631</v>
      </c>
      <c r="AA229">
        <v>6974478.9549711104</v>
      </c>
      <c r="AB229" s="154">
        <v>211199.07745480325</v>
      </c>
      <c r="AC229" s="154">
        <v>-3836.0774548032496</v>
      </c>
      <c r="AD229" t="s">
        <v>443</v>
      </c>
      <c r="AE229" s="232">
        <f t="shared" si="31"/>
        <v>0</v>
      </c>
      <c r="AF229" s="232">
        <f t="shared" si="32"/>
        <v>0.36124220447361105</v>
      </c>
      <c r="AG229" s="232">
        <f t="shared" si="33"/>
        <v>0.10959214423740274</v>
      </c>
      <c r="AH229" s="232">
        <f t="shared" si="34"/>
        <v>0.1939022422971447</v>
      </c>
      <c r="AI229" s="232">
        <f t="shared" si="35"/>
        <v>0.23866169217409808</v>
      </c>
      <c r="AJ229" s="232">
        <f t="shared" si="36"/>
        <v>4.2536030176452619E-2</v>
      </c>
      <c r="AK229" s="232">
        <f t="shared" si="37"/>
        <v>2.3938243144814401E-2</v>
      </c>
      <c r="AL229" s="232">
        <f t="shared" si="38"/>
        <v>-3.291606277267824E-3</v>
      </c>
      <c r="AM229" s="232">
        <f t="shared" si="39"/>
        <v>0.47728147284118377</v>
      </c>
      <c r="AN229" s="232">
        <v>2.9100000000000001E-2</v>
      </c>
      <c r="AO229" s="232">
        <f t="shared" si="30"/>
        <v>0.14550000000000002</v>
      </c>
      <c r="AT229" t="s">
        <v>240</v>
      </c>
      <c r="AU229">
        <v>39776000</v>
      </c>
      <c r="AV229">
        <v>36252000</v>
      </c>
      <c r="AW229">
        <v>52658400.689232416</v>
      </c>
      <c r="AX229">
        <v>-23369599.310767584</v>
      </c>
      <c r="AY229">
        <v>0</v>
      </c>
      <c r="AZ229">
        <v>733259000</v>
      </c>
      <c r="BA229">
        <v>-3.1870865970642821E-2</v>
      </c>
    </row>
    <row r="230" spans="1:53" x14ac:dyDescent="0.25">
      <c r="A230" t="s">
        <v>244</v>
      </c>
      <c r="B230">
        <v>7401</v>
      </c>
      <c r="C230">
        <v>136591</v>
      </c>
      <c r="D230">
        <v>279</v>
      </c>
      <c r="E230">
        <v>0</v>
      </c>
      <c r="F230">
        <v>11166</v>
      </c>
      <c r="G230">
        <v>0</v>
      </c>
      <c r="H230">
        <v>11213</v>
      </c>
      <c r="I230">
        <v>0</v>
      </c>
      <c r="J230">
        <v>0</v>
      </c>
      <c r="K230">
        <v>0</v>
      </c>
      <c r="L230">
        <v>373</v>
      </c>
      <c r="M230">
        <v>3877</v>
      </c>
      <c r="N230">
        <v>5106</v>
      </c>
      <c r="O230">
        <v>27332</v>
      </c>
      <c r="P230">
        <v>8637</v>
      </c>
      <c r="Q230">
        <v>116867</v>
      </c>
      <c r="R230">
        <v>33</v>
      </c>
      <c r="S230">
        <v>10000</v>
      </c>
      <c r="T230">
        <v>1865</v>
      </c>
      <c r="U230">
        <v>11272</v>
      </c>
      <c r="V230">
        <v>0</v>
      </c>
      <c r="W230">
        <v>105163</v>
      </c>
      <c r="X230">
        <v>-5</v>
      </c>
      <c r="Y230">
        <v>39520</v>
      </c>
      <c r="Z230">
        <v>2739438.1422418896</v>
      </c>
      <c r="AA230">
        <v>2348089.836207334</v>
      </c>
      <c r="AB230">
        <v>119879</v>
      </c>
      <c r="AC230">
        <v>24113</v>
      </c>
      <c r="AD230" t="s">
        <v>244</v>
      </c>
      <c r="AE230" s="232">
        <f t="shared" si="31"/>
        <v>5.6816244900742018E-2</v>
      </c>
      <c r="AF230" s="232">
        <f t="shared" si="32"/>
        <v>1.1364738548729116</v>
      </c>
      <c r="AG230" s="232">
        <f t="shared" si="33"/>
        <v>0.10617802839401691</v>
      </c>
      <c r="AH230" s="232">
        <f t="shared" si="34"/>
        <v>0.10662495364339168</v>
      </c>
      <c r="AI230" s="232">
        <f t="shared" si="35"/>
        <v>1.0745777507298193</v>
      </c>
      <c r="AJ230" s="232">
        <f t="shared" si="36"/>
        <v>-4.7545239295189369E-5</v>
      </c>
      <c r="AK230" s="232">
        <f t="shared" si="37"/>
        <v>2.2328098629815944E-2</v>
      </c>
      <c r="AL230" s="232">
        <f t="shared" si="38"/>
        <v>5.7322917756245068E-2</v>
      </c>
      <c r="AM230" s="232">
        <f t="shared" si="39"/>
        <v>0.20436235128347896</v>
      </c>
      <c r="AN230" s="232">
        <v>3.1800000000000002E-2</v>
      </c>
      <c r="AO230" s="232">
        <f t="shared" si="30"/>
        <v>0.159</v>
      </c>
      <c r="AT230" t="s">
        <v>550</v>
      </c>
      <c r="AU230">
        <v>9361000</v>
      </c>
      <c r="AV230">
        <v>6325000</v>
      </c>
      <c r="AW230">
        <v>20099719.422074702</v>
      </c>
      <c r="AX230">
        <v>4413719.4220747016</v>
      </c>
      <c r="AY230">
        <v>4413719.4220747016</v>
      </c>
      <c r="AZ230">
        <v>283221000</v>
      </c>
      <c r="BA230">
        <v>1.5584011856729203E-2</v>
      </c>
    </row>
    <row r="231" spans="1:53" x14ac:dyDescent="0.25">
      <c r="A231" t="s">
        <v>318</v>
      </c>
      <c r="B231">
        <v>3994</v>
      </c>
      <c r="C231">
        <v>19253</v>
      </c>
      <c r="D231">
        <v>0</v>
      </c>
      <c r="E231">
        <v>0</v>
      </c>
      <c r="F231">
        <v>-97</v>
      </c>
      <c r="G231">
        <v>0</v>
      </c>
      <c r="H231">
        <v>-505</v>
      </c>
      <c r="I231">
        <v>0</v>
      </c>
      <c r="J231">
        <v>0</v>
      </c>
      <c r="K231">
        <v>0</v>
      </c>
      <c r="L231">
        <v>3184</v>
      </c>
      <c r="M231">
        <v>2790</v>
      </c>
      <c r="N231">
        <v>2457</v>
      </c>
      <c r="O231">
        <v>19231</v>
      </c>
      <c r="P231">
        <v>7737</v>
      </c>
      <c r="Q231">
        <v>0</v>
      </c>
      <c r="R231">
        <v>0</v>
      </c>
      <c r="S231">
        <v>0</v>
      </c>
      <c r="T231">
        <v>3957</v>
      </c>
      <c r="U231">
        <v>151</v>
      </c>
      <c r="V231">
        <v>-2</v>
      </c>
      <c r="W231">
        <v>27877</v>
      </c>
      <c r="X231">
        <v>-2207</v>
      </c>
      <c r="Y231">
        <v>13496</v>
      </c>
      <c r="Z231">
        <v>2704996.5611295151</v>
      </c>
      <c r="AA231">
        <v>2318568.4809681554</v>
      </c>
      <c r="AB231">
        <v>13144</v>
      </c>
      <c r="AC231">
        <v>10103</v>
      </c>
      <c r="AD231" t="s">
        <v>318</v>
      </c>
      <c r="AE231" s="232">
        <f t="shared" si="31"/>
        <v>0</v>
      </c>
      <c r="AF231" s="232">
        <f t="shared" si="32"/>
        <v>-0.15159450443017541</v>
      </c>
      <c r="AG231" s="232">
        <f t="shared" si="33"/>
        <v>-3.479570972486279E-3</v>
      </c>
      <c r="AH231" s="232">
        <f t="shared" si="34"/>
        <v>-1.8115292176346092E-2</v>
      </c>
      <c r="AI231" s="232">
        <f t="shared" si="35"/>
        <v>-0.13933134842343148</v>
      </c>
      <c r="AJ231" s="232">
        <f t="shared" si="36"/>
        <v>-7.9169207590486776E-2</v>
      </c>
      <c r="AK231" s="232">
        <f t="shared" si="37"/>
        <v>8.3171377155653606E-2</v>
      </c>
      <c r="AL231" s="232">
        <f t="shared" si="38"/>
        <v>9.0603364781002255E-2</v>
      </c>
      <c r="AM231" s="232">
        <f t="shared" si="39"/>
        <v>0.86780795469172356</v>
      </c>
      <c r="AN231" s="232">
        <v>5.57E-2</v>
      </c>
      <c r="AO231" s="232">
        <f t="shared" si="30"/>
        <v>0.27849999999999997</v>
      </c>
      <c r="AT231" t="s">
        <v>394</v>
      </c>
      <c r="AU231">
        <v>1460000</v>
      </c>
      <c r="AV231">
        <v>689000.00000000012</v>
      </c>
      <c r="AW231">
        <v>3800094.2131459527</v>
      </c>
      <c r="AX231">
        <v>1651094.2131459527</v>
      </c>
      <c r="AY231">
        <v>1651094.2131459527</v>
      </c>
      <c r="AZ231">
        <v>25852000</v>
      </c>
      <c r="BA231">
        <v>6.3867175195186157E-2</v>
      </c>
    </row>
    <row r="232" spans="1:53" x14ac:dyDescent="0.25">
      <c r="A232" t="s">
        <v>274</v>
      </c>
      <c r="B232">
        <v>0</v>
      </c>
      <c r="C232">
        <v>12614</v>
      </c>
      <c r="D232">
        <v>0</v>
      </c>
      <c r="E232">
        <v>72</v>
      </c>
      <c r="F232">
        <v>387</v>
      </c>
      <c r="G232">
        <v>0</v>
      </c>
      <c r="H232">
        <v>-509</v>
      </c>
      <c r="I232">
        <v>0</v>
      </c>
      <c r="J232">
        <v>0</v>
      </c>
      <c r="K232">
        <v>0</v>
      </c>
      <c r="L232">
        <v>150</v>
      </c>
      <c r="M232">
        <v>6669</v>
      </c>
      <c r="N232">
        <v>1</v>
      </c>
      <c r="O232">
        <v>6350</v>
      </c>
      <c r="P232">
        <v>4437</v>
      </c>
      <c r="Q232">
        <v>5000</v>
      </c>
      <c r="R232">
        <v>66</v>
      </c>
      <c r="S232">
        <v>0</v>
      </c>
      <c r="T232">
        <v>3513</v>
      </c>
      <c r="U232">
        <v>18</v>
      </c>
      <c r="V232">
        <v>-2</v>
      </c>
      <c r="W232">
        <v>22113</v>
      </c>
      <c r="X232">
        <v>228</v>
      </c>
      <c r="Y232">
        <v>10180</v>
      </c>
      <c r="Z232">
        <v>1403108.5524568399</v>
      </c>
      <c r="AA232">
        <v>1202664.4735344341</v>
      </c>
      <c r="AB232">
        <v>11950</v>
      </c>
      <c r="AC232">
        <v>664</v>
      </c>
      <c r="AD232" t="s">
        <v>274</v>
      </c>
      <c r="AE232" s="232">
        <f t="shared" si="31"/>
        <v>0</v>
      </c>
      <c r="AF232" s="232">
        <f t="shared" si="32"/>
        <v>5.9602948491837379E-2</v>
      </c>
      <c r="AG232" s="232">
        <f t="shared" si="33"/>
        <v>2.0757020757020756E-2</v>
      </c>
      <c r="AH232" s="232">
        <f t="shared" si="34"/>
        <v>-2.3018134129245239E-2</v>
      </c>
      <c r="AI232" s="232">
        <f t="shared" si="35"/>
        <v>7.8206484873151544E-2</v>
      </c>
      <c r="AJ232" s="232">
        <f t="shared" si="36"/>
        <v>1.0310676977343645E-2</v>
      </c>
      <c r="AK232" s="232">
        <f t="shared" si="37"/>
        <v>5.4387214468160541E-2</v>
      </c>
      <c r="AL232" s="232">
        <f t="shared" si="38"/>
        <v>7.5068963957852846E-3</v>
      </c>
      <c r="AM232" s="232">
        <f t="shared" si="39"/>
        <v>0.55648988856789106</v>
      </c>
      <c r="AN232" s="232">
        <v>5.4600000000000003E-2</v>
      </c>
      <c r="AO232" s="232">
        <f t="shared" si="30"/>
        <v>0.27300000000000002</v>
      </c>
      <c r="AT232" t="s">
        <v>137</v>
      </c>
      <c r="AU232">
        <v>3562000</v>
      </c>
      <c r="AV232">
        <v>1987999.9999999998</v>
      </c>
      <c r="AW232">
        <v>10196953.168028638</v>
      </c>
      <c r="AX232">
        <v>4646953.1680286378</v>
      </c>
      <c r="AY232">
        <v>4646953.1680286378</v>
      </c>
      <c r="AZ232">
        <v>93583000</v>
      </c>
      <c r="BA232">
        <v>4.9655954265503753E-2</v>
      </c>
    </row>
    <row r="233" spans="1:53" x14ac:dyDescent="0.25">
      <c r="A233" t="s">
        <v>245</v>
      </c>
      <c r="B233">
        <v>1383</v>
      </c>
      <c r="C233">
        <v>124032</v>
      </c>
      <c r="D233">
        <v>754</v>
      </c>
      <c r="E233">
        <v>0</v>
      </c>
      <c r="F233">
        <v>7811</v>
      </c>
      <c r="G233">
        <v>0</v>
      </c>
      <c r="H233">
        <v>19713</v>
      </c>
      <c r="I233">
        <v>0</v>
      </c>
      <c r="J233">
        <v>0</v>
      </c>
      <c r="K233">
        <v>2076</v>
      </c>
      <c r="L233">
        <v>-462</v>
      </c>
      <c r="M233">
        <v>6469</v>
      </c>
      <c r="N233">
        <v>2479</v>
      </c>
      <c r="O233">
        <v>42107</v>
      </c>
      <c r="P233">
        <v>40275</v>
      </c>
      <c r="Q233">
        <v>63923</v>
      </c>
      <c r="R233">
        <v>31</v>
      </c>
      <c r="S233">
        <v>5000</v>
      </c>
      <c r="T233">
        <v>311</v>
      </c>
      <c r="U233">
        <v>12608</v>
      </c>
      <c r="V233">
        <v>-4</v>
      </c>
      <c r="W233">
        <v>105315</v>
      </c>
      <c r="X233">
        <v>-1796</v>
      </c>
      <c r="Y233">
        <v>47481</v>
      </c>
      <c r="Z233">
        <v>6567824.6582025513</v>
      </c>
      <c r="AA233">
        <v>5629563.9927450437</v>
      </c>
      <c r="AB233">
        <v>113134</v>
      </c>
      <c r="AC233">
        <v>12281</v>
      </c>
      <c r="AD233" t="s">
        <v>245</v>
      </c>
      <c r="AE233" s="232">
        <f t="shared" si="31"/>
        <v>3.0440473653770051E-2</v>
      </c>
      <c r="AF233" s="232">
        <f t="shared" si="32"/>
        <v>0.60295304562502972</v>
      </c>
      <c r="AG233" s="232">
        <f t="shared" si="33"/>
        <v>7.4167972273655222E-2</v>
      </c>
      <c r="AH233" s="232">
        <f t="shared" si="34"/>
        <v>0.18718131320324741</v>
      </c>
      <c r="AI233" s="232">
        <f t="shared" si="35"/>
        <v>0.48082628305559516</v>
      </c>
      <c r="AJ233" s="232">
        <f t="shared" si="36"/>
        <v>-1.7053601101457531E-2</v>
      </c>
      <c r="AK233" s="232">
        <f t="shared" si="37"/>
        <v>5.3454531574277583E-2</v>
      </c>
      <c r="AL233" s="232">
        <f t="shared" si="38"/>
        <v>2.9153017139059014E-2</v>
      </c>
      <c r="AM233" s="232">
        <f t="shared" si="39"/>
        <v>0.50154942010897685</v>
      </c>
      <c r="AN233" s="232">
        <v>4.58E-2</v>
      </c>
      <c r="AO233" s="232">
        <f t="shared" si="30"/>
        <v>0.22900000000000001</v>
      </c>
      <c r="AT233" t="s">
        <v>497</v>
      </c>
      <c r="AU233">
        <v>4864000.0000000009</v>
      </c>
      <c r="AV233">
        <v>6037000</v>
      </c>
      <c r="AW233">
        <v>14807529.592578394</v>
      </c>
      <c r="AX233">
        <v>3906529.5925783925</v>
      </c>
      <c r="AY233">
        <v>3906529.5925783925</v>
      </c>
      <c r="AZ233">
        <v>144381000</v>
      </c>
      <c r="BA233">
        <v>2.7057089177789269E-2</v>
      </c>
    </row>
    <row r="234" spans="1:53" x14ac:dyDescent="0.25">
      <c r="A234" t="s">
        <v>369</v>
      </c>
      <c r="B234">
        <v>224</v>
      </c>
      <c r="C234">
        <v>107891</v>
      </c>
      <c r="D234">
        <v>2260</v>
      </c>
      <c r="E234">
        <v>1555</v>
      </c>
      <c r="F234">
        <v>18817</v>
      </c>
      <c r="G234">
        <v>0</v>
      </c>
      <c r="H234">
        <v>15288</v>
      </c>
      <c r="I234">
        <v>403</v>
      </c>
      <c r="J234">
        <v>0</v>
      </c>
      <c r="K234">
        <v>5000</v>
      </c>
      <c r="L234">
        <v>53</v>
      </c>
      <c r="M234">
        <v>8151</v>
      </c>
      <c r="N234">
        <v>2419</v>
      </c>
      <c r="O234">
        <v>39551</v>
      </c>
      <c r="P234">
        <v>11966</v>
      </c>
      <c r="Q234">
        <v>90005</v>
      </c>
      <c r="R234">
        <v>16</v>
      </c>
      <c r="S234">
        <v>13890</v>
      </c>
      <c r="T234">
        <v>2481</v>
      </c>
      <c r="U234">
        <v>4152</v>
      </c>
      <c r="V234">
        <v>-1</v>
      </c>
      <c r="W234">
        <v>80070</v>
      </c>
      <c r="X234">
        <v>6412</v>
      </c>
      <c r="Y234">
        <v>32264</v>
      </c>
      <c r="Z234">
        <v>2978736.1254193112</v>
      </c>
      <c r="AA234">
        <v>2553202.3932165527</v>
      </c>
      <c r="AB234">
        <v>89660</v>
      </c>
      <c r="AC234">
        <v>18455</v>
      </c>
      <c r="AD234" t="s">
        <v>369</v>
      </c>
      <c r="AE234" s="232">
        <f t="shared" si="31"/>
        <v>8.5708467799162039E-2</v>
      </c>
      <c r="AF234" s="232">
        <f t="shared" si="32"/>
        <v>0.93104783314599726</v>
      </c>
      <c r="AG234" s="232">
        <f t="shared" si="33"/>
        <v>0.25442737604595977</v>
      </c>
      <c r="AH234" s="232">
        <f t="shared" si="34"/>
        <v>0.19596602972399152</v>
      </c>
      <c r="AI234" s="232">
        <f t="shared" si="35"/>
        <v>0.8244028974647184</v>
      </c>
      <c r="AJ234" s="232">
        <f t="shared" si="36"/>
        <v>8.0079930061196458E-2</v>
      </c>
      <c r="AK234" s="232">
        <f t="shared" si="37"/>
        <v>3.1887128677613993E-2</v>
      </c>
      <c r="AL234" s="232">
        <f t="shared" si="38"/>
        <v>5.762145622580242E-2</v>
      </c>
      <c r="AM234" s="232">
        <f t="shared" si="39"/>
        <v>0.31788647484589139</v>
      </c>
      <c r="AN234" s="232">
        <v>1.61E-2</v>
      </c>
      <c r="AO234" s="232">
        <f t="shared" si="30"/>
        <v>8.0500000000000002E-2</v>
      </c>
      <c r="AT234" t="s">
        <v>365</v>
      </c>
      <c r="AU234">
        <v>5017999.9999999991</v>
      </c>
      <c r="AV234">
        <v>2537000</v>
      </c>
      <c r="AW234">
        <v>13081152.692739677</v>
      </c>
      <c r="AX234">
        <v>5526152.6927396776</v>
      </c>
      <c r="AY234">
        <v>5526152.6927396776</v>
      </c>
      <c r="AZ234">
        <v>102048000</v>
      </c>
      <c r="BA234">
        <v>5.4152484053971439E-2</v>
      </c>
    </row>
    <row r="235" spans="1:53" x14ac:dyDescent="0.25">
      <c r="A235" t="s">
        <v>481</v>
      </c>
      <c r="B235">
        <v>6604</v>
      </c>
      <c r="C235">
        <v>131924</v>
      </c>
      <c r="D235">
        <v>1564</v>
      </c>
      <c r="E235">
        <v>6433</v>
      </c>
      <c r="F235">
        <v>2147</v>
      </c>
      <c r="G235">
        <v>0</v>
      </c>
      <c r="H235">
        <v>19566</v>
      </c>
      <c r="I235">
        <v>0</v>
      </c>
      <c r="J235">
        <v>0</v>
      </c>
      <c r="K235">
        <v>0</v>
      </c>
      <c r="L235">
        <v>25</v>
      </c>
      <c r="M235">
        <v>8939</v>
      </c>
      <c r="N235">
        <v>2685</v>
      </c>
      <c r="O235">
        <v>57635</v>
      </c>
      <c r="P235">
        <v>23946</v>
      </c>
      <c r="Q235">
        <v>82956</v>
      </c>
      <c r="R235">
        <v>4</v>
      </c>
      <c r="S235">
        <v>4905</v>
      </c>
      <c r="T235">
        <v>7190</v>
      </c>
      <c r="U235">
        <v>3251</v>
      </c>
      <c r="V235">
        <v>0</v>
      </c>
      <c r="W235">
        <v>99777</v>
      </c>
      <c r="X235">
        <v>3184</v>
      </c>
      <c r="Y235">
        <v>43312</v>
      </c>
      <c r="Z235">
        <v>5949508.0252305139</v>
      </c>
      <c r="AA235">
        <v>5099578.3073404403</v>
      </c>
      <c r="AB235">
        <v>109854</v>
      </c>
      <c r="AC235">
        <v>28674</v>
      </c>
      <c r="AD235" t="s">
        <v>481</v>
      </c>
      <c r="AE235" s="232">
        <f t="shared" si="31"/>
        <v>2.726711769055018E-2</v>
      </c>
      <c r="AF235" s="232">
        <f t="shared" si="32"/>
        <v>0.78251500846888566</v>
      </c>
      <c r="AG235" s="232">
        <f t="shared" si="33"/>
        <v>8.5991761628431404E-2</v>
      </c>
      <c r="AH235" s="232">
        <f t="shared" si="34"/>
        <v>0.19609729697224812</v>
      </c>
      <c r="AI235" s="232">
        <f t="shared" si="35"/>
        <v>0.65556591198372383</v>
      </c>
      <c r="AJ235" s="232">
        <f t="shared" si="36"/>
        <v>3.1911161891016969E-2</v>
      </c>
      <c r="AK235" s="232">
        <f t="shared" si="37"/>
        <v>5.1109757833372828E-2</v>
      </c>
      <c r="AL235" s="232">
        <f t="shared" si="38"/>
        <v>7.1845214829068818E-2</v>
      </c>
      <c r="AM235" s="232">
        <f t="shared" si="39"/>
        <v>0.45351248283644735</v>
      </c>
      <c r="AN235" s="232">
        <v>2.58E-2</v>
      </c>
      <c r="AO235" s="232">
        <f t="shared" si="30"/>
        <v>0.129</v>
      </c>
      <c r="AT235" t="s">
        <v>366</v>
      </c>
      <c r="AU235">
        <v>1615999.9999999998</v>
      </c>
      <c r="AV235">
        <v>1269000</v>
      </c>
      <c r="AW235">
        <v>5982080.2357433271</v>
      </c>
      <c r="AX235">
        <v>3097080.2357433271</v>
      </c>
      <c r="AY235">
        <v>3097080.2357433271</v>
      </c>
      <c r="AZ235">
        <v>35511000</v>
      </c>
      <c r="BA235">
        <v>8.7214672516778668E-2</v>
      </c>
    </row>
    <row r="236" spans="1:53" x14ac:dyDescent="0.25">
      <c r="A236" t="s">
        <v>157</v>
      </c>
      <c r="B236">
        <v>44</v>
      </c>
      <c r="C236">
        <v>20020</v>
      </c>
      <c r="D236">
        <v>149</v>
      </c>
      <c r="E236">
        <v>164</v>
      </c>
      <c r="F236">
        <v>242</v>
      </c>
      <c r="G236">
        <v>0</v>
      </c>
      <c r="H236">
        <v>3663</v>
      </c>
      <c r="I236">
        <v>0</v>
      </c>
      <c r="J236">
        <v>0</v>
      </c>
      <c r="K236">
        <v>1</v>
      </c>
      <c r="L236">
        <v>125</v>
      </c>
      <c r="M236">
        <v>4519</v>
      </c>
      <c r="N236">
        <v>931</v>
      </c>
      <c r="O236">
        <v>10748</v>
      </c>
      <c r="P236">
        <v>3964</v>
      </c>
      <c r="Q236">
        <v>9517</v>
      </c>
      <c r="R236">
        <v>0</v>
      </c>
      <c r="S236">
        <v>1068</v>
      </c>
      <c r="T236">
        <v>2922</v>
      </c>
      <c r="U236">
        <v>1639</v>
      </c>
      <c r="V236">
        <v>2</v>
      </c>
      <c r="W236">
        <v>42971</v>
      </c>
      <c r="X236">
        <v>76</v>
      </c>
      <c r="Y236">
        <v>12245</v>
      </c>
      <c r="Z236">
        <v>-378783.95818277495</v>
      </c>
      <c r="AA236">
        <v>-324671.96415666427</v>
      </c>
      <c r="AB236">
        <v>27215</v>
      </c>
      <c r="AC236">
        <v>-7151</v>
      </c>
      <c r="AD236" t="s">
        <v>157</v>
      </c>
      <c r="AE236" s="232">
        <f t="shared" si="31"/>
        <v>3.5769308058141873E-2</v>
      </c>
      <c r="AF236" s="232">
        <f t="shared" si="32"/>
        <v>0.21326010565264947</v>
      </c>
      <c r="AG236" s="232">
        <f t="shared" si="33"/>
        <v>9.4482325289148503E-3</v>
      </c>
      <c r="AH236" s="232">
        <f t="shared" si="34"/>
        <v>8.5243536338460824E-2</v>
      </c>
      <c r="AI236" s="232">
        <f t="shared" si="35"/>
        <v>0.15472341811919665</v>
      </c>
      <c r="AJ236" s="232">
        <f t="shared" si="36"/>
        <v>1.7686346605850457E-3</v>
      </c>
      <c r="AK236" s="232">
        <f t="shared" si="37"/>
        <v>-7.5556064358908159E-3</v>
      </c>
      <c r="AL236" s="232">
        <f t="shared" si="38"/>
        <v>-4.1603639663959413E-2</v>
      </c>
      <c r="AM236" s="232">
        <f t="shared" si="39"/>
        <v>0.49273226605934756</v>
      </c>
      <c r="AN236" s="232">
        <v>4.8899999999999999E-2</v>
      </c>
      <c r="AO236" s="232">
        <f t="shared" si="30"/>
        <v>0.2445</v>
      </c>
      <c r="AT236" t="s">
        <v>501</v>
      </c>
      <c r="AU236">
        <v>4782000</v>
      </c>
      <c r="AV236">
        <v>1529000</v>
      </c>
      <c r="AW236">
        <v>8194369.0325735323</v>
      </c>
      <c r="AX236">
        <v>1883369.0325735323</v>
      </c>
      <c r="AY236">
        <v>1883369.0325735323</v>
      </c>
      <c r="AZ236">
        <v>64562000</v>
      </c>
      <c r="BA236">
        <v>2.9171479083261551E-2</v>
      </c>
    </row>
    <row r="237" spans="1:53" x14ac:dyDescent="0.25">
      <c r="A237" t="s">
        <v>370</v>
      </c>
      <c r="B237">
        <v>278</v>
      </c>
      <c r="C237">
        <v>143175</v>
      </c>
      <c r="D237">
        <v>561</v>
      </c>
      <c r="E237">
        <v>13</v>
      </c>
      <c r="F237">
        <v>1392</v>
      </c>
      <c r="G237">
        <v>0</v>
      </c>
      <c r="H237">
        <v>62765</v>
      </c>
      <c r="I237">
        <v>0</v>
      </c>
      <c r="J237">
        <v>0</v>
      </c>
      <c r="K237">
        <v>58980</v>
      </c>
      <c r="L237">
        <v>582</v>
      </c>
      <c r="M237">
        <v>10986</v>
      </c>
      <c r="N237">
        <v>8157</v>
      </c>
      <c r="O237">
        <v>78672</v>
      </c>
      <c r="P237">
        <v>22115</v>
      </c>
      <c r="Q237">
        <v>164094</v>
      </c>
      <c r="R237">
        <v>11</v>
      </c>
      <c r="S237">
        <v>0</v>
      </c>
      <c r="T237">
        <v>10145</v>
      </c>
      <c r="U237">
        <v>11852</v>
      </c>
      <c r="V237">
        <v>0</v>
      </c>
      <c r="W237">
        <v>142231</v>
      </c>
      <c r="X237">
        <v>11246</v>
      </c>
      <c r="Y237">
        <v>53634</v>
      </c>
      <c r="Z237">
        <v>6978955.6406228654</v>
      </c>
      <c r="AA237">
        <v>5981961.9776767418</v>
      </c>
      <c r="AB237">
        <v>149036</v>
      </c>
      <c r="AC237">
        <v>-5583</v>
      </c>
      <c r="AD237" t="s">
        <v>370</v>
      </c>
      <c r="AE237" s="232">
        <f t="shared" si="31"/>
        <v>0</v>
      </c>
      <c r="AF237" s="232">
        <f t="shared" si="32"/>
        <v>0.74521025655447826</v>
      </c>
      <c r="AG237" s="232">
        <f t="shared" si="33"/>
        <v>9.8782965738833314E-3</v>
      </c>
      <c r="AH237" s="232">
        <f t="shared" si="34"/>
        <v>0.44128917043401228</v>
      </c>
      <c r="AI237" s="232">
        <f t="shared" si="35"/>
        <v>0.43749323283953567</v>
      </c>
      <c r="AJ237" s="232">
        <f t="shared" si="36"/>
        <v>7.9068557487467564E-2</v>
      </c>
      <c r="AK237" s="232">
        <f t="shared" si="37"/>
        <v>4.2058074383761218E-2</v>
      </c>
      <c r="AL237" s="232">
        <f t="shared" si="38"/>
        <v>-9.8132615252652378E-3</v>
      </c>
      <c r="AM237" s="232">
        <f t="shared" si="39"/>
        <v>0.35131008857084101</v>
      </c>
      <c r="AN237" s="232">
        <v>1.6999999999999999E-3</v>
      </c>
      <c r="AO237" s="232">
        <f t="shared" si="30"/>
        <v>8.4999999999999989E-3</v>
      </c>
      <c r="AT237" t="s">
        <v>241</v>
      </c>
      <c r="AU237">
        <v>2497000</v>
      </c>
      <c r="AV237">
        <v>1779000</v>
      </c>
      <c r="AW237">
        <v>8939770.6131131146</v>
      </c>
      <c r="AX237">
        <v>4663770.6131131146</v>
      </c>
      <c r="AY237">
        <v>4663770.6131131146</v>
      </c>
      <c r="AZ237">
        <v>57738000</v>
      </c>
      <c r="BA237">
        <v>8.0774717051389291E-2</v>
      </c>
    </row>
    <row r="238" spans="1:53" x14ac:dyDescent="0.25">
      <c r="A238" t="s">
        <v>319</v>
      </c>
      <c r="B238">
        <v>381</v>
      </c>
      <c r="C238">
        <v>229431</v>
      </c>
      <c r="D238">
        <v>38311</v>
      </c>
      <c r="E238">
        <v>14542</v>
      </c>
      <c r="F238">
        <v>3804</v>
      </c>
      <c r="G238">
        <v>0</v>
      </c>
      <c r="H238">
        <v>45541</v>
      </c>
      <c r="I238">
        <v>384</v>
      </c>
      <c r="J238">
        <v>0</v>
      </c>
      <c r="K238">
        <v>0</v>
      </c>
      <c r="L238">
        <v>-5596</v>
      </c>
      <c r="M238">
        <v>14513</v>
      </c>
      <c r="N238">
        <v>6771</v>
      </c>
      <c r="O238">
        <v>33675</v>
      </c>
      <c r="P238">
        <v>7168</v>
      </c>
      <c r="Q238">
        <v>269682</v>
      </c>
      <c r="R238">
        <v>37</v>
      </c>
      <c r="S238">
        <v>13000</v>
      </c>
      <c r="T238">
        <v>5097</v>
      </c>
      <c r="U238">
        <v>19423</v>
      </c>
      <c r="V238">
        <v>-1</v>
      </c>
      <c r="W238">
        <v>223643</v>
      </c>
      <c r="X238">
        <v>-83</v>
      </c>
      <c r="Y238">
        <v>79983</v>
      </c>
      <c r="Z238">
        <v>8042789.7089455612</v>
      </c>
      <c r="AA238">
        <v>6893819.7505247667</v>
      </c>
      <c r="AB238">
        <v>207653</v>
      </c>
      <c r="AC238">
        <v>22159</v>
      </c>
      <c r="AD238" t="s">
        <v>319</v>
      </c>
      <c r="AE238" s="232">
        <f t="shared" si="31"/>
        <v>3.7347521561011489E-2</v>
      </c>
      <c r="AF238" s="232">
        <f t="shared" si="32"/>
        <v>1.2216121228922883</v>
      </c>
      <c r="AG238" s="232">
        <f t="shared" si="33"/>
        <v>8.2032525051085881E-2</v>
      </c>
      <c r="AH238" s="232">
        <f t="shared" si="34"/>
        <v>0.20534959734934696</v>
      </c>
      <c r="AI238" s="232">
        <f t="shared" si="35"/>
        <v>1.0877113077538758</v>
      </c>
      <c r="AJ238" s="232">
        <f t="shared" si="36"/>
        <v>-3.7112719825793786E-4</v>
      </c>
      <c r="AK238" s="232">
        <f t="shared" si="37"/>
        <v>3.0825108545873409E-2</v>
      </c>
      <c r="AL238" s="232">
        <f t="shared" si="38"/>
        <v>2.4770504777703751E-2</v>
      </c>
      <c r="AM238" s="232">
        <f t="shared" si="39"/>
        <v>0.11733729408587631</v>
      </c>
      <c r="AN238" s="232">
        <v>2.8500000000000001E-2</v>
      </c>
      <c r="AO238" s="232">
        <f t="shared" si="30"/>
        <v>0.14250000000000002</v>
      </c>
      <c r="AT238" t="s">
        <v>479</v>
      </c>
      <c r="AU238">
        <v>2186000</v>
      </c>
      <c r="AV238">
        <v>1112000</v>
      </c>
      <c r="AW238">
        <v>4066214.4514367981</v>
      </c>
      <c r="AX238">
        <v>768214.45143679809</v>
      </c>
      <c r="AY238">
        <v>768214.45143679809</v>
      </c>
      <c r="AZ238">
        <v>32427000</v>
      </c>
      <c r="BA238">
        <v>2.3690580424855771E-2</v>
      </c>
    </row>
    <row r="239" spans="1:53" x14ac:dyDescent="0.25">
      <c r="A239" t="s">
        <v>246</v>
      </c>
      <c r="B239">
        <v>5171</v>
      </c>
      <c r="C239">
        <v>31565</v>
      </c>
      <c r="D239">
        <v>1779</v>
      </c>
      <c r="E239">
        <v>200</v>
      </c>
      <c r="F239">
        <v>10729</v>
      </c>
      <c r="G239">
        <v>0</v>
      </c>
      <c r="H239">
        <v>10037</v>
      </c>
      <c r="I239">
        <v>13</v>
      </c>
      <c r="J239">
        <v>1601</v>
      </c>
      <c r="K239">
        <v>9823</v>
      </c>
      <c r="L239">
        <v>1143</v>
      </c>
      <c r="M239">
        <v>8786</v>
      </c>
      <c r="N239">
        <v>-947</v>
      </c>
      <c r="O239">
        <v>51102</v>
      </c>
      <c r="P239">
        <v>20129</v>
      </c>
      <c r="Q239">
        <v>1320</v>
      </c>
      <c r="R239">
        <v>0</v>
      </c>
      <c r="S239">
        <v>0</v>
      </c>
      <c r="T239">
        <v>3527</v>
      </c>
      <c r="U239">
        <v>3822</v>
      </c>
      <c r="V239">
        <v>3</v>
      </c>
      <c r="W239">
        <v>48352</v>
      </c>
      <c r="X239">
        <v>-10</v>
      </c>
      <c r="Y239">
        <v>24313</v>
      </c>
      <c r="Z239">
        <v>4866139.0432113297</v>
      </c>
      <c r="AA239">
        <v>4170976.3227525684</v>
      </c>
      <c r="AB239">
        <v>24515</v>
      </c>
      <c r="AC239">
        <v>12221</v>
      </c>
      <c r="AD239" t="s">
        <v>246</v>
      </c>
      <c r="AE239" s="232">
        <f t="shared" si="31"/>
        <v>0</v>
      </c>
      <c r="AF239" s="232">
        <f t="shared" si="32"/>
        <v>-0.4687706816677697</v>
      </c>
      <c r="AG239" s="232">
        <f t="shared" si="33"/>
        <v>0.22602994705493051</v>
      </c>
      <c r="AH239" s="232">
        <f t="shared" si="34"/>
        <v>0.20785076108537393</v>
      </c>
      <c r="AI239" s="232">
        <f t="shared" si="35"/>
        <v>-0.58714262078093982</v>
      </c>
      <c r="AJ239" s="232">
        <f t="shared" si="36"/>
        <v>-2.0681667769688948E-4</v>
      </c>
      <c r="AK239" s="232">
        <f t="shared" si="37"/>
        <v>8.6262746582407526E-2</v>
      </c>
      <c r="AL239" s="232">
        <f t="shared" si="38"/>
        <v>6.3187665453342159E-2</v>
      </c>
      <c r="AM239" s="232">
        <f t="shared" si="39"/>
        <v>0.8915018773466834</v>
      </c>
      <c r="AN239" s="232">
        <v>4.1099999999999998E-2</v>
      </c>
      <c r="AO239" s="232">
        <f t="shared" si="30"/>
        <v>0.20549999999999999</v>
      </c>
      <c r="AT239" t="s">
        <v>367</v>
      </c>
      <c r="AU239">
        <v>4564999.9999999991</v>
      </c>
      <c r="AV239">
        <v>1875000.0000000002</v>
      </c>
      <c r="AW239">
        <v>9987455.2395900209</v>
      </c>
      <c r="AX239">
        <v>3547455.2395900218</v>
      </c>
      <c r="AY239">
        <v>3547455.2395900218</v>
      </c>
      <c r="AZ239">
        <v>83875000</v>
      </c>
      <c r="BA239">
        <v>4.2294548311058382E-2</v>
      </c>
    </row>
    <row r="240" spans="1:53" x14ac:dyDescent="0.25">
      <c r="A240" t="s">
        <v>200</v>
      </c>
      <c r="B240">
        <v>3375</v>
      </c>
      <c r="C240">
        <v>108293</v>
      </c>
      <c r="D240">
        <v>299</v>
      </c>
      <c r="E240">
        <v>3793</v>
      </c>
      <c r="F240">
        <v>3904</v>
      </c>
      <c r="G240">
        <v>0</v>
      </c>
      <c r="H240">
        <v>24534</v>
      </c>
      <c r="I240">
        <v>0</v>
      </c>
      <c r="J240">
        <v>0</v>
      </c>
      <c r="K240">
        <v>0</v>
      </c>
      <c r="L240">
        <v>16797</v>
      </c>
      <c r="M240">
        <v>2521</v>
      </c>
      <c r="N240">
        <v>6914</v>
      </c>
      <c r="O240">
        <v>56799</v>
      </c>
      <c r="P240">
        <v>5578</v>
      </c>
      <c r="Q240">
        <v>71765</v>
      </c>
      <c r="R240">
        <v>2459</v>
      </c>
      <c r="S240">
        <v>23750</v>
      </c>
      <c r="T240">
        <v>5589</v>
      </c>
      <c r="U240">
        <v>4490</v>
      </c>
      <c r="V240">
        <v>-4</v>
      </c>
      <c r="W240">
        <v>84446</v>
      </c>
      <c r="X240">
        <v>-3899</v>
      </c>
      <c r="Y240">
        <v>37158</v>
      </c>
      <c r="Z240">
        <v>3611729.5016966388</v>
      </c>
      <c r="AA240">
        <v>3095768.1443114048</v>
      </c>
      <c r="AB240">
        <v>88580</v>
      </c>
      <c r="AC240">
        <v>23088</v>
      </c>
      <c r="AD240" t="s">
        <v>200</v>
      </c>
      <c r="AE240" s="232">
        <f t="shared" si="31"/>
        <v>0.13935340022296544</v>
      </c>
      <c r="AF240" s="232">
        <f t="shared" si="32"/>
        <v>0.87776804111503204</v>
      </c>
      <c r="AG240" s="232">
        <f t="shared" si="33"/>
        <v>9.1147005186746566E-2</v>
      </c>
      <c r="AH240" s="232">
        <f t="shared" si="34"/>
        <v>0.29052885867891909</v>
      </c>
      <c r="AI240" s="232">
        <f t="shared" si="35"/>
        <v>0.68533548066219829</v>
      </c>
      <c r="AJ240" s="232">
        <f t="shared" si="36"/>
        <v>-4.6171517893091443E-2</v>
      </c>
      <c r="AK240" s="232">
        <f t="shared" si="37"/>
        <v>3.665973692432329E-2</v>
      </c>
      <c r="AL240" s="232">
        <f t="shared" si="38"/>
        <v>6.8351372474717564E-2</v>
      </c>
      <c r="AM240" s="232">
        <f t="shared" si="39"/>
        <v>0.36599777034559644</v>
      </c>
      <c r="AN240" s="232">
        <v>4.4299999999999999E-2</v>
      </c>
      <c r="AO240" s="232">
        <f t="shared" si="30"/>
        <v>0.2215</v>
      </c>
      <c r="AT240" t="s">
        <v>440</v>
      </c>
      <c r="AU240">
        <v>3044000</v>
      </c>
      <c r="AV240">
        <v>2707000.0000000009</v>
      </c>
      <c r="AW240">
        <v>7675808.2869249694</v>
      </c>
      <c r="AX240">
        <v>1924808.2869249685</v>
      </c>
      <c r="AY240">
        <v>1924808.2869249685</v>
      </c>
      <c r="AZ240">
        <v>52259000</v>
      </c>
      <c r="BA240">
        <v>3.6832091829636399E-2</v>
      </c>
    </row>
    <row r="241" spans="1:53" x14ac:dyDescent="0.25">
      <c r="A241" t="s">
        <v>395</v>
      </c>
      <c r="B241">
        <v>334</v>
      </c>
      <c r="C241">
        <v>61275</v>
      </c>
      <c r="D241">
        <v>845</v>
      </c>
      <c r="E241">
        <v>0</v>
      </c>
      <c r="F241">
        <v>1069</v>
      </c>
      <c r="G241">
        <v>0</v>
      </c>
      <c r="H241">
        <v>2653</v>
      </c>
      <c r="I241">
        <v>6</v>
      </c>
      <c r="J241">
        <v>0</v>
      </c>
      <c r="K241">
        <v>1378</v>
      </c>
      <c r="L241">
        <v>3</v>
      </c>
      <c r="M241">
        <v>4614</v>
      </c>
      <c r="N241">
        <v>1046</v>
      </c>
      <c r="O241">
        <v>32663</v>
      </c>
      <c r="P241">
        <v>7353</v>
      </c>
      <c r="Q241">
        <v>27316</v>
      </c>
      <c r="R241">
        <v>2</v>
      </c>
      <c r="S241">
        <v>0</v>
      </c>
      <c r="T241">
        <v>1909</v>
      </c>
      <c r="U241">
        <v>3980</v>
      </c>
      <c r="V241">
        <v>1</v>
      </c>
      <c r="W241">
        <v>50136</v>
      </c>
      <c r="X241">
        <v>1322</v>
      </c>
      <c r="Y241">
        <v>22555</v>
      </c>
      <c r="Z241">
        <v>2648628.8810308343</v>
      </c>
      <c r="AA241">
        <v>2270253.3265978578</v>
      </c>
      <c r="AB241">
        <v>65017</v>
      </c>
      <c r="AC241">
        <v>-3408</v>
      </c>
      <c r="AD241" t="s">
        <v>395</v>
      </c>
      <c r="AE241" s="232">
        <f t="shared" si="31"/>
        <v>0</v>
      </c>
      <c r="AF241" s="232">
        <f t="shared" si="32"/>
        <v>0.50057842667943198</v>
      </c>
      <c r="AG241" s="232">
        <f t="shared" si="33"/>
        <v>2.1322004148715493E-2</v>
      </c>
      <c r="AH241" s="232">
        <f t="shared" si="34"/>
        <v>5.3035742779639378E-2</v>
      </c>
      <c r="AI241" s="232">
        <f t="shared" si="35"/>
        <v>0.46601204723153022</v>
      </c>
      <c r="AJ241" s="232">
        <f t="shared" si="36"/>
        <v>2.6368278283070049E-2</v>
      </c>
      <c r="AK241" s="232">
        <f t="shared" si="37"/>
        <v>4.5281899764597448E-2</v>
      </c>
      <c r="AL241" s="232">
        <f t="shared" si="38"/>
        <v>-1.6993776926759217E-2</v>
      </c>
      <c r="AM241" s="232">
        <f t="shared" si="39"/>
        <v>0.54649495377135604</v>
      </c>
      <c r="AN241" s="232">
        <v>3.7199999999999997E-2</v>
      </c>
      <c r="AO241" s="232">
        <f t="shared" ref="AO241:AO301" si="40">5*AN241</f>
        <v>0.186</v>
      </c>
      <c r="AT241" t="s">
        <v>441</v>
      </c>
      <c r="AU241">
        <v>3218595.2</v>
      </c>
      <c r="AV241">
        <v>1345654.1</v>
      </c>
      <c r="AW241">
        <v>7908375.8833333347</v>
      </c>
      <c r="AX241">
        <v>3344126.5833333344</v>
      </c>
      <c r="AY241">
        <v>3344126.5833333344</v>
      </c>
      <c r="AZ241">
        <v>70595000</v>
      </c>
      <c r="BA241">
        <v>4.7370586915976121E-2</v>
      </c>
    </row>
    <row r="242" spans="1:53" x14ac:dyDescent="0.25">
      <c r="A242" t="s">
        <v>247</v>
      </c>
      <c r="B242">
        <v>11803</v>
      </c>
      <c r="C242">
        <v>42171</v>
      </c>
      <c r="D242">
        <v>1057</v>
      </c>
      <c r="E242">
        <v>0</v>
      </c>
      <c r="F242">
        <v>4668</v>
      </c>
      <c r="G242">
        <v>0</v>
      </c>
      <c r="H242">
        <v>1692</v>
      </c>
      <c r="I242">
        <v>0</v>
      </c>
      <c r="J242">
        <v>0</v>
      </c>
      <c r="K242">
        <v>0</v>
      </c>
      <c r="L242">
        <v>4711</v>
      </c>
      <c r="M242">
        <v>12393</v>
      </c>
      <c r="N242">
        <v>897</v>
      </c>
      <c r="O242">
        <v>21783</v>
      </c>
      <c r="P242">
        <v>16167</v>
      </c>
      <c r="Q242">
        <v>22186</v>
      </c>
      <c r="R242">
        <v>0</v>
      </c>
      <c r="S242">
        <v>8500</v>
      </c>
      <c r="T242">
        <v>9039</v>
      </c>
      <c r="U242">
        <v>1717</v>
      </c>
      <c r="V242">
        <v>0</v>
      </c>
      <c r="W242">
        <v>80466</v>
      </c>
      <c r="X242">
        <v>-3356</v>
      </c>
      <c r="Y242">
        <v>31338</v>
      </c>
      <c r="Z242">
        <v>3884748.0067791585</v>
      </c>
      <c r="AA242">
        <v>3329784.0058107073</v>
      </c>
      <c r="AB242">
        <v>36526</v>
      </c>
      <c r="AC242">
        <v>17448</v>
      </c>
      <c r="AD242" t="s">
        <v>247</v>
      </c>
      <c r="AE242" s="232">
        <f t="shared" si="31"/>
        <v>0.10706368399838774</v>
      </c>
      <c r="AF242" s="232">
        <f t="shared" si="32"/>
        <v>0.23330350707130962</v>
      </c>
      <c r="AG242" s="232">
        <f t="shared" si="33"/>
        <v>5.8012079636119603E-2</v>
      </c>
      <c r="AH242" s="232">
        <f t="shared" si="34"/>
        <v>2.1027514726716875E-2</v>
      </c>
      <c r="AI242" s="232">
        <f t="shared" si="35"/>
        <v>0.22554569631894217</v>
      </c>
      <c r="AJ242" s="232">
        <f t="shared" si="36"/>
        <v>-4.1707056396490444E-2</v>
      </c>
      <c r="AK242" s="232">
        <f t="shared" si="37"/>
        <v>4.1381254266531296E-2</v>
      </c>
      <c r="AL242" s="232">
        <f t="shared" si="38"/>
        <v>5.4209231228096337E-2</v>
      </c>
      <c r="AM242" s="232">
        <f t="shared" si="39"/>
        <v>0.47800785973397825</v>
      </c>
      <c r="AN242" s="232">
        <v>4.3099999999999999E-2</v>
      </c>
      <c r="AO242" s="232">
        <f t="shared" si="40"/>
        <v>0.2155</v>
      </c>
      <c r="AT242" t="s">
        <v>156</v>
      </c>
      <c r="AU242">
        <v>5948000</v>
      </c>
      <c r="AV242">
        <v>6759000</v>
      </c>
      <c r="AW242">
        <v>8740792.5348267704</v>
      </c>
      <c r="AX242">
        <v>-3966207.4651732296</v>
      </c>
      <c r="AY242">
        <v>0</v>
      </c>
      <c r="AZ242">
        <v>141835000</v>
      </c>
      <c r="BA242">
        <v>-2.7963531322827438E-2</v>
      </c>
    </row>
    <row r="243" spans="1:53" x14ac:dyDescent="0.25">
      <c r="A243" t="s">
        <v>275</v>
      </c>
      <c r="B243">
        <v>50</v>
      </c>
      <c r="C243">
        <v>21575</v>
      </c>
      <c r="D243">
        <v>60</v>
      </c>
      <c r="E243">
        <v>1078</v>
      </c>
      <c r="F243">
        <v>0</v>
      </c>
      <c r="G243">
        <v>0</v>
      </c>
      <c r="H243">
        <v>2176</v>
      </c>
      <c r="I243">
        <v>0</v>
      </c>
      <c r="J243">
        <v>0</v>
      </c>
      <c r="K243">
        <v>2701</v>
      </c>
      <c r="L243">
        <v>261</v>
      </c>
      <c r="M243">
        <v>791</v>
      </c>
      <c r="N243">
        <v>1256</v>
      </c>
      <c r="O243">
        <v>14601</v>
      </c>
      <c r="P243">
        <v>1955</v>
      </c>
      <c r="Q243">
        <v>8558</v>
      </c>
      <c r="R243">
        <v>45</v>
      </c>
      <c r="S243">
        <v>1000</v>
      </c>
      <c r="T243">
        <v>1561</v>
      </c>
      <c r="U243">
        <v>2228</v>
      </c>
      <c r="V243">
        <v>0</v>
      </c>
      <c r="W243">
        <v>17537</v>
      </c>
      <c r="X243">
        <v>288</v>
      </c>
      <c r="Y243">
        <v>5175</v>
      </c>
      <c r="Z243">
        <v>966923.97670909623</v>
      </c>
      <c r="AA243">
        <v>828791.98003636824</v>
      </c>
      <c r="AB243">
        <v>10190</v>
      </c>
      <c r="AC243">
        <v>11435</v>
      </c>
      <c r="AD243" t="s">
        <v>275</v>
      </c>
      <c r="AE243" s="232">
        <f t="shared" si="31"/>
        <v>3.3391211433150797E-2</v>
      </c>
      <c r="AF243" s="232">
        <f t="shared" si="32"/>
        <v>0.41654787021725492</v>
      </c>
      <c r="AG243" s="232">
        <f t="shared" si="33"/>
        <v>6.1470034783600386E-2</v>
      </c>
      <c r="AH243" s="232">
        <f t="shared" si="34"/>
        <v>0.12408051548155329</v>
      </c>
      <c r="AI243" s="232">
        <f t="shared" si="35"/>
        <v>0.33706791355419968</v>
      </c>
      <c r="AJ243" s="232">
        <f t="shared" si="36"/>
        <v>1.6422421166676169E-2</v>
      </c>
      <c r="AK243" s="232">
        <f t="shared" si="37"/>
        <v>4.7259621374030239E-2</v>
      </c>
      <c r="AL243" s="232">
        <f t="shared" si="38"/>
        <v>0.16301248788276215</v>
      </c>
      <c r="AM243" s="232">
        <f t="shared" si="39"/>
        <v>0.55282489648724453</v>
      </c>
      <c r="AN243" s="232">
        <v>2.8400000000000002E-2</v>
      </c>
      <c r="AO243" s="232">
        <f t="shared" si="40"/>
        <v>0.14200000000000002</v>
      </c>
      <c r="AT243" t="s">
        <v>242</v>
      </c>
      <c r="AU243">
        <v>2787000</v>
      </c>
      <c r="AV243">
        <v>2017000</v>
      </c>
      <c r="AW243">
        <v>6919036.0376383252</v>
      </c>
      <c r="AX243">
        <v>2115036.0376383252</v>
      </c>
      <c r="AY243">
        <v>2115036.0376383252</v>
      </c>
      <c r="AZ243">
        <v>66590000</v>
      </c>
      <c r="BA243">
        <v>3.1762066941557671E-2</v>
      </c>
    </row>
    <row r="244" spans="1:53" x14ac:dyDescent="0.25">
      <c r="A244" t="s">
        <v>444</v>
      </c>
      <c r="B244">
        <v>968</v>
      </c>
      <c r="C244">
        <v>22932</v>
      </c>
      <c r="D244">
        <v>12</v>
      </c>
      <c r="E244">
        <v>0</v>
      </c>
      <c r="F244">
        <v>536</v>
      </c>
      <c r="G244">
        <v>0</v>
      </c>
      <c r="H244">
        <v>32231</v>
      </c>
      <c r="I244">
        <v>0</v>
      </c>
      <c r="J244">
        <v>0</v>
      </c>
      <c r="K244">
        <v>0</v>
      </c>
      <c r="L244">
        <v>11</v>
      </c>
      <c r="M244">
        <v>4313</v>
      </c>
      <c r="N244">
        <v>1683</v>
      </c>
      <c r="O244">
        <v>7600</v>
      </c>
      <c r="P244">
        <v>20070</v>
      </c>
      <c r="Q244">
        <v>28269</v>
      </c>
      <c r="R244">
        <v>0</v>
      </c>
      <c r="S244">
        <v>1250</v>
      </c>
      <c r="T244">
        <v>2742</v>
      </c>
      <c r="U244">
        <v>2755</v>
      </c>
      <c r="V244">
        <v>-9</v>
      </c>
      <c r="W244">
        <v>30149</v>
      </c>
      <c r="X244">
        <v>529</v>
      </c>
      <c r="Y244">
        <v>13040</v>
      </c>
      <c r="Z244">
        <v>1763547.3254872356</v>
      </c>
      <c r="AA244">
        <v>1511611.9932747735</v>
      </c>
      <c r="AB244">
        <v>23133</v>
      </c>
      <c r="AC244">
        <v>767</v>
      </c>
      <c r="AD244" t="s">
        <v>444</v>
      </c>
      <c r="AE244" s="232">
        <f t="shared" si="31"/>
        <v>1.9940656605940719E-2</v>
      </c>
      <c r="AF244" s="232">
        <f t="shared" si="32"/>
        <v>0.94440943314869485</v>
      </c>
      <c r="AG244" s="232">
        <f t="shared" si="33"/>
        <v>1.7778367441706192E-2</v>
      </c>
      <c r="AH244" s="232">
        <f t="shared" si="34"/>
        <v>1.0690570168164781</v>
      </c>
      <c r="AI244" s="232">
        <f t="shared" si="35"/>
        <v>0.19820292547016494</v>
      </c>
      <c r="AJ244" s="232">
        <f t="shared" si="36"/>
        <v>1.7546187269892866E-2</v>
      </c>
      <c r="AK244" s="232">
        <f t="shared" si="37"/>
        <v>5.0138047473374685E-2</v>
      </c>
      <c r="AL244" s="232">
        <f t="shared" si="38"/>
        <v>6.3600782778864967E-3</v>
      </c>
      <c r="AM244" s="232">
        <f t="shared" si="39"/>
        <v>0.44140637462910381</v>
      </c>
      <c r="AN244" s="232">
        <v>4.3799999999999999E-2</v>
      </c>
      <c r="AO244" s="232">
        <f t="shared" si="40"/>
        <v>0.219</v>
      </c>
      <c r="AT244" t="s">
        <v>197</v>
      </c>
      <c r="AU244">
        <v>3556000</v>
      </c>
      <c r="AV244">
        <v>3547000.0000000005</v>
      </c>
      <c r="AW244">
        <v>9877892.0656887293</v>
      </c>
      <c r="AX244">
        <v>2774892.0656887288</v>
      </c>
      <c r="AY244">
        <v>2774892.0656887288</v>
      </c>
      <c r="AZ244">
        <v>102374000</v>
      </c>
      <c r="BA244">
        <v>2.7105437568999247E-2</v>
      </c>
    </row>
    <row r="245" spans="1:53" x14ac:dyDescent="0.25">
      <c r="A245" t="s">
        <v>248</v>
      </c>
      <c r="B245">
        <v>468</v>
      </c>
      <c r="C245">
        <v>108096</v>
      </c>
      <c r="D245">
        <v>609</v>
      </c>
      <c r="E245">
        <v>1949</v>
      </c>
      <c r="F245">
        <v>746</v>
      </c>
      <c r="G245">
        <v>0</v>
      </c>
      <c r="H245">
        <v>2164</v>
      </c>
      <c r="I245">
        <v>0</v>
      </c>
      <c r="J245">
        <v>0</v>
      </c>
      <c r="K245">
        <v>0</v>
      </c>
      <c r="L245">
        <v>13</v>
      </c>
      <c r="M245">
        <v>12021</v>
      </c>
      <c r="N245">
        <v>652</v>
      </c>
      <c r="O245">
        <v>41378</v>
      </c>
      <c r="P245">
        <v>5109</v>
      </c>
      <c r="Q245">
        <v>55091</v>
      </c>
      <c r="R245">
        <v>1</v>
      </c>
      <c r="S245">
        <v>8237</v>
      </c>
      <c r="T245">
        <v>16116</v>
      </c>
      <c r="U245">
        <v>786</v>
      </c>
      <c r="V245">
        <v>-1</v>
      </c>
      <c r="W245">
        <v>106803</v>
      </c>
      <c r="X245">
        <v>-9893</v>
      </c>
      <c r="Y245">
        <v>43527</v>
      </c>
      <c r="Z245">
        <v>3646648.2295973115</v>
      </c>
      <c r="AA245">
        <v>3125698.4825119809</v>
      </c>
      <c r="AB245">
        <v>102987</v>
      </c>
      <c r="AC245">
        <v>5577</v>
      </c>
      <c r="AD245" t="s">
        <v>248</v>
      </c>
      <c r="AE245" s="232">
        <f t="shared" si="31"/>
        <v>6.5002604207768433E-2</v>
      </c>
      <c r="AF245" s="232">
        <f t="shared" si="32"/>
        <v>0.60719268185350594</v>
      </c>
      <c r="AG245" s="232">
        <f t="shared" si="33"/>
        <v>2.5233373594374688E-2</v>
      </c>
      <c r="AH245" s="232">
        <f t="shared" si="34"/>
        <v>2.0261603138488619E-2</v>
      </c>
      <c r="AI245" s="232">
        <f t="shared" si="35"/>
        <v>0.5960375644878888</v>
      </c>
      <c r="AJ245" s="232">
        <f t="shared" si="36"/>
        <v>-9.2628484218608087E-2</v>
      </c>
      <c r="AK245" s="232">
        <f t="shared" si="37"/>
        <v>2.9266017644747629E-2</v>
      </c>
      <c r="AL245" s="232">
        <f t="shared" si="38"/>
        <v>1.3054408584028539E-2</v>
      </c>
      <c r="AM245" s="232">
        <f t="shared" si="39"/>
        <v>0.36685395918496189</v>
      </c>
      <c r="AN245" s="232">
        <v>5.9700000000000003E-2</v>
      </c>
      <c r="AO245" s="232">
        <f t="shared" si="40"/>
        <v>0.29849999999999999</v>
      </c>
      <c r="AT245" t="s">
        <v>198</v>
      </c>
      <c r="AU245">
        <v>2795000</v>
      </c>
      <c r="AV245">
        <v>1624000</v>
      </c>
      <c r="AW245">
        <v>4991169.4410715634</v>
      </c>
      <c r="AX245">
        <v>572169.4410715634</v>
      </c>
      <c r="AY245">
        <v>572169.4410715634</v>
      </c>
      <c r="AZ245">
        <v>47115000</v>
      </c>
      <c r="BA245">
        <v>1.2144103599099298E-2</v>
      </c>
    </row>
    <row r="246" spans="1:53" x14ac:dyDescent="0.25">
      <c r="A246" t="s">
        <v>276</v>
      </c>
      <c r="B246">
        <v>372</v>
      </c>
      <c r="C246">
        <v>51716</v>
      </c>
      <c r="D246">
        <v>167</v>
      </c>
      <c r="E246">
        <v>0</v>
      </c>
      <c r="F246">
        <v>6959</v>
      </c>
      <c r="G246">
        <v>0</v>
      </c>
      <c r="H246">
        <v>347</v>
      </c>
      <c r="I246">
        <v>0</v>
      </c>
      <c r="J246">
        <v>0</v>
      </c>
      <c r="K246">
        <v>682</v>
      </c>
      <c r="L246">
        <v>244</v>
      </c>
      <c r="M246">
        <v>5700</v>
      </c>
      <c r="N246">
        <v>4218</v>
      </c>
      <c r="O246">
        <v>25843</v>
      </c>
      <c r="P246">
        <v>2052</v>
      </c>
      <c r="Q246">
        <v>32110</v>
      </c>
      <c r="R246">
        <v>0</v>
      </c>
      <c r="S246">
        <v>0</v>
      </c>
      <c r="T246">
        <v>7855</v>
      </c>
      <c r="U246">
        <v>2545</v>
      </c>
      <c r="V246">
        <v>0</v>
      </c>
      <c r="W246">
        <v>45130</v>
      </c>
      <c r="X246">
        <v>1929</v>
      </c>
      <c r="Y246">
        <v>19816</v>
      </c>
      <c r="Z246">
        <v>1408635.5684856717</v>
      </c>
      <c r="AA246">
        <v>1207401.9158448614</v>
      </c>
      <c r="AB246">
        <v>42734</v>
      </c>
      <c r="AC246">
        <v>9354</v>
      </c>
      <c r="AD246" t="s">
        <v>276</v>
      </c>
      <c r="AE246" s="232">
        <f t="shared" si="31"/>
        <v>0</v>
      </c>
      <c r="AF246" s="232">
        <f t="shared" si="32"/>
        <v>0.54746288499889206</v>
      </c>
      <c r="AG246" s="232">
        <f t="shared" si="33"/>
        <v>0.15419898072235763</v>
      </c>
      <c r="AH246" s="232">
        <f t="shared" si="34"/>
        <v>7.6888987369820522E-3</v>
      </c>
      <c r="AI246" s="232">
        <f t="shared" si="35"/>
        <v>0.56058453356968752</v>
      </c>
      <c r="AJ246" s="232">
        <f t="shared" si="36"/>
        <v>4.2743186350542875E-2</v>
      </c>
      <c r="AK246" s="232">
        <f t="shared" si="37"/>
        <v>2.6753864742850908E-2</v>
      </c>
      <c r="AL246" s="232">
        <f t="shared" si="38"/>
        <v>5.1816973188566366E-2</v>
      </c>
      <c r="AM246" s="232">
        <f t="shared" si="39"/>
        <v>0.39620765570627087</v>
      </c>
      <c r="AN246" s="232">
        <v>3.44E-2</v>
      </c>
      <c r="AO246" s="232">
        <f t="shared" si="40"/>
        <v>0.17199999999999999</v>
      </c>
      <c r="AT246" t="s">
        <v>199</v>
      </c>
      <c r="AU246">
        <v>1906999.9999999998</v>
      </c>
      <c r="AV246">
        <v>1724000</v>
      </c>
      <c r="AW246">
        <v>6254095.7143322909</v>
      </c>
      <c r="AX246">
        <v>2623095.7143322909</v>
      </c>
      <c r="AY246">
        <v>2623095.7143322909</v>
      </c>
      <c r="AZ246">
        <v>56125000</v>
      </c>
      <c r="BA246">
        <v>4.673667197028581E-2</v>
      </c>
    </row>
    <row r="247" spans="1:53" x14ac:dyDescent="0.25">
      <c r="A247" t="s">
        <v>371</v>
      </c>
      <c r="B247">
        <v>83</v>
      </c>
      <c r="C247">
        <v>89864</v>
      </c>
      <c r="D247">
        <v>1256</v>
      </c>
      <c r="E247">
        <v>0</v>
      </c>
      <c r="F247">
        <v>1538</v>
      </c>
      <c r="G247">
        <v>0</v>
      </c>
      <c r="H247">
        <v>39810</v>
      </c>
      <c r="I247">
        <v>0</v>
      </c>
      <c r="J247">
        <v>0</v>
      </c>
      <c r="K247">
        <v>2062</v>
      </c>
      <c r="L247">
        <v>748</v>
      </c>
      <c r="M247">
        <v>4307</v>
      </c>
      <c r="N247">
        <v>10281</v>
      </c>
      <c r="O247">
        <v>58487</v>
      </c>
      <c r="P247">
        <v>19591</v>
      </c>
      <c r="Q247">
        <v>51926</v>
      </c>
      <c r="R247">
        <v>15</v>
      </c>
      <c r="S247">
        <v>9000</v>
      </c>
      <c r="T247">
        <v>10211</v>
      </c>
      <c r="U247">
        <v>685</v>
      </c>
      <c r="V247">
        <v>17</v>
      </c>
      <c r="W247">
        <v>109838</v>
      </c>
      <c r="X247">
        <v>367</v>
      </c>
      <c r="Y247">
        <v>45789</v>
      </c>
      <c r="Z247">
        <v>3563296.671034161</v>
      </c>
      <c r="AA247">
        <v>3054254.2894578525</v>
      </c>
      <c r="AB247">
        <v>99707</v>
      </c>
      <c r="AC247">
        <v>-9760</v>
      </c>
      <c r="AD247" t="s">
        <v>371</v>
      </c>
      <c r="AE247" s="232">
        <f t="shared" si="31"/>
        <v>6.0034019277590632E-2</v>
      </c>
      <c r="AF247" s="232">
        <f t="shared" si="32"/>
        <v>0.48162748775469327</v>
      </c>
      <c r="AG247" s="232">
        <f t="shared" si="33"/>
        <v>1.4002439957027622E-2</v>
      </c>
      <c r="AH247" s="232">
        <f t="shared" si="34"/>
        <v>0.36244287040914802</v>
      </c>
      <c r="AI247" s="232">
        <f t="shared" si="35"/>
        <v>0.22959777126313302</v>
      </c>
      <c r="AJ247" s="232">
        <f t="shared" si="36"/>
        <v>3.3412844370800635E-3</v>
      </c>
      <c r="AK247" s="232">
        <f t="shared" si="37"/>
        <v>2.7806900066077792E-2</v>
      </c>
      <c r="AL247" s="232">
        <f t="shared" si="38"/>
        <v>-2.2214534132085434E-2</v>
      </c>
      <c r="AM247" s="232">
        <f t="shared" si="39"/>
        <v>0.52081512857285794</v>
      </c>
      <c r="AN247" s="232">
        <v>3.8699999999999998E-2</v>
      </c>
      <c r="AO247" s="232">
        <f t="shared" si="40"/>
        <v>0.19350000000000001</v>
      </c>
      <c r="AT247" t="s">
        <v>480</v>
      </c>
      <c r="AU247">
        <v>1125999.9999999998</v>
      </c>
      <c r="AV247">
        <v>186000</v>
      </c>
      <c r="AW247">
        <v>1601601.5722284196</v>
      </c>
      <c r="AX247">
        <v>289601.57222841983</v>
      </c>
      <c r="AY247">
        <v>289601.57222841983</v>
      </c>
      <c r="AZ247">
        <v>21834000</v>
      </c>
      <c r="BA247">
        <v>1.3263789146671239E-2</v>
      </c>
    </row>
    <row r="248" spans="1:53" x14ac:dyDescent="0.25">
      <c r="A248" t="s">
        <v>201</v>
      </c>
      <c r="B248">
        <v>61</v>
      </c>
      <c r="C248">
        <v>97137</v>
      </c>
      <c r="D248">
        <v>794</v>
      </c>
      <c r="E248">
        <v>0</v>
      </c>
      <c r="F248">
        <v>4833</v>
      </c>
      <c r="G248">
        <v>0</v>
      </c>
      <c r="H248">
        <v>23853</v>
      </c>
      <c r="I248">
        <v>1</v>
      </c>
      <c r="J248">
        <v>0</v>
      </c>
      <c r="K248">
        <v>0</v>
      </c>
      <c r="L248">
        <v>1080</v>
      </c>
      <c r="M248">
        <v>6578</v>
      </c>
      <c r="N248">
        <v>1898</v>
      </c>
      <c r="O248">
        <v>67015</v>
      </c>
      <c r="P248">
        <v>15729</v>
      </c>
      <c r="Q248">
        <v>43443</v>
      </c>
      <c r="R248">
        <v>14</v>
      </c>
      <c r="S248">
        <v>0</v>
      </c>
      <c r="T248">
        <v>5189</v>
      </c>
      <c r="U248">
        <v>4845</v>
      </c>
      <c r="V248">
        <v>0</v>
      </c>
      <c r="W248">
        <v>126963</v>
      </c>
      <c r="X248">
        <v>2243</v>
      </c>
      <c r="Y248">
        <v>38097</v>
      </c>
      <c r="Z248">
        <v>4247026.5521394387</v>
      </c>
      <c r="AA248">
        <v>3640308.4732623762</v>
      </c>
      <c r="AB248">
        <v>99194</v>
      </c>
      <c r="AC248">
        <v>-1996</v>
      </c>
      <c r="AD248" t="s">
        <v>201</v>
      </c>
      <c r="AE248" s="232">
        <f t="shared" si="31"/>
        <v>0</v>
      </c>
      <c r="AF248" s="232">
        <f t="shared" si="32"/>
        <v>0.30797949008766334</v>
      </c>
      <c r="AG248" s="232">
        <f t="shared" si="33"/>
        <v>3.8066208265400157E-2</v>
      </c>
      <c r="AH248" s="232">
        <f t="shared" si="34"/>
        <v>0.18788150878602428</v>
      </c>
      <c r="AI248" s="232">
        <f t="shared" si="35"/>
        <v>0.18103037892929441</v>
      </c>
      <c r="AJ248" s="232">
        <f t="shared" si="36"/>
        <v>1.7666564274631192E-2</v>
      </c>
      <c r="AK248" s="232">
        <f t="shared" si="37"/>
        <v>2.8672199564143696E-2</v>
      </c>
      <c r="AL248" s="232">
        <f t="shared" si="38"/>
        <v>-3.9302789001520125E-3</v>
      </c>
      <c r="AM248" s="232">
        <f t="shared" si="39"/>
        <v>0.60736227841597235</v>
      </c>
      <c r="AN248" s="232">
        <v>3.2500000000000001E-2</v>
      </c>
      <c r="AO248" s="232">
        <f t="shared" si="40"/>
        <v>0.16250000000000001</v>
      </c>
      <c r="AT248" t="s">
        <v>243</v>
      </c>
      <c r="AU248">
        <v>3256000</v>
      </c>
      <c r="AV248">
        <v>2361000</v>
      </c>
      <c r="AW248">
        <v>8544588.5571157224</v>
      </c>
      <c r="AX248">
        <v>2927588.5571157224</v>
      </c>
      <c r="AY248">
        <v>2927588.5571157224</v>
      </c>
      <c r="AZ248">
        <v>67516000</v>
      </c>
      <c r="BA248">
        <v>4.3361404068898074E-2</v>
      </c>
    </row>
    <row r="249" spans="1:53" x14ac:dyDescent="0.25">
      <c r="A249" t="s">
        <v>372</v>
      </c>
      <c r="B249">
        <v>814</v>
      </c>
      <c r="C249">
        <v>148150</v>
      </c>
      <c r="D249">
        <v>3215</v>
      </c>
      <c r="E249">
        <v>759</v>
      </c>
      <c r="F249">
        <v>2172</v>
      </c>
      <c r="G249">
        <v>0</v>
      </c>
      <c r="H249">
        <v>145512</v>
      </c>
      <c r="I249">
        <v>0</v>
      </c>
      <c r="J249">
        <v>0</v>
      </c>
      <c r="K249">
        <v>35246</v>
      </c>
      <c r="L249">
        <v>1207</v>
      </c>
      <c r="M249">
        <v>15314</v>
      </c>
      <c r="N249">
        <v>4596</v>
      </c>
      <c r="O249">
        <v>40751</v>
      </c>
      <c r="P249">
        <v>6679</v>
      </c>
      <c r="Q249">
        <v>80347</v>
      </c>
      <c r="R249">
        <v>0</v>
      </c>
      <c r="S249">
        <v>193681</v>
      </c>
      <c r="T249">
        <v>15413</v>
      </c>
      <c r="U249">
        <v>20114</v>
      </c>
      <c r="V249">
        <v>-23</v>
      </c>
      <c r="W249">
        <v>165724</v>
      </c>
      <c r="X249">
        <v>-1298</v>
      </c>
      <c r="Y249">
        <v>52208</v>
      </c>
      <c r="Z249">
        <v>5213018.2245744467</v>
      </c>
      <c r="AA249">
        <v>4468301.3353495253</v>
      </c>
      <c r="AB249">
        <v>125817</v>
      </c>
      <c r="AC249">
        <v>23147</v>
      </c>
      <c r="AD249" t="s">
        <v>372</v>
      </c>
      <c r="AE249" s="232">
        <f t="shared" si="31"/>
        <v>0.54254660559967505</v>
      </c>
      <c r="AF249" s="232">
        <f t="shared" si="32"/>
        <v>1.5101071661316405</v>
      </c>
      <c r="AG249" s="232">
        <f t="shared" si="33"/>
        <v>1.7686032198112524E-2</v>
      </c>
      <c r="AH249" s="232">
        <f t="shared" si="34"/>
        <v>0.87803818396852595</v>
      </c>
      <c r="AI249" s="232">
        <f t="shared" si="35"/>
        <v>0.89760276121744598</v>
      </c>
      <c r="AJ249" s="232">
        <f t="shared" si="36"/>
        <v>-7.8322994858922058E-3</v>
      </c>
      <c r="AK249" s="232">
        <f t="shared" si="37"/>
        <v>2.6962306819468065E-2</v>
      </c>
      <c r="AL249" s="232">
        <f t="shared" si="38"/>
        <v>3.4917996186430447E-2</v>
      </c>
      <c r="AM249" s="232">
        <f t="shared" si="39"/>
        <v>0.13286272532459348</v>
      </c>
      <c r="AN249" s="232">
        <v>2.6700000000000002E-2</v>
      </c>
      <c r="AO249" s="232">
        <f t="shared" si="40"/>
        <v>0.13350000000000001</v>
      </c>
      <c r="AT249" t="s">
        <v>442</v>
      </c>
      <c r="AU249">
        <v>6199000</v>
      </c>
      <c r="AV249">
        <v>5297000</v>
      </c>
      <c r="AW249">
        <v>18224860.88404873</v>
      </c>
      <c r="AX249">
        <v>6728860.8840487301</v>
      </c>
      <c r="AY249">
        <v>6728860.8840487301</v>
      </c>
      <c r="AZ249">
        <v>176501000</v>
      </c>
      <c r="BA249">
        <v>3.8123641702022822E-2</v>
      </c>
    </row>
    <row r="250" spans="1:53" x14ac:dyDescent="0.25">
      <c r="A250" t="s">
        <v>482</v>
      </c>
      <c r="B250">
        <v>19987</v>
      </c>
      <c r="C250">
        <v>38625</v>
      </c>
      <c r="D250">
        <v>977</v>
      </c>
      <c r="E250">
        <v>1351</v>
      </c>
      <c r="F250">
        <v>0</v>
      </c>
      <c r="G250">
        <v>0</v>
      </c>
      <c r="H250">
        <v>-378</v>
      </c>
      <c r="I250">
        <v>30</v>
      </c>
      <c r="J250">
        <v>0</v>
      </c>
      <c r="K250">
        <v>0</v>
      </c>
      <c r="L250">
        <v>-818</v>
      </c>
      <c r="M250">
        <v>4980</v>
      </c>
      <c r="N250">
        <v>1155</v>
      </c>
      <c r="O250">
        <v>37360</v>
      </c>
      <c r="P250">
        <v>11205</v>
      </c>
      <c r="Q250">
        <v>9218</v>
      </c>
      <c r="R250">
        <v>0</v>
      </c>
      <c r="S250">
        <v>4000</v>
      </c>
      <c r="T250">
        <v>2063</v>
      </c>
      <c r="U250">
        <v>2063</v>
      </c>
      <c r="V250">
        <v>-4</v>
      </c>
      <c r="W250">
        <v>57320</v>
      </c>
      <c r="X250">
        <v>-2424</v>
      </c>
      <c r="Y250">
        <v>20728</v>
      </c>
      <c r="Z250">
        <v>2378774.7682104371</v>
      </c>
      <c r="AA250">
        <v>2038949.8013232315</v>
      </c>
      <c r="AB250">
        <v>38104</v>
      </c>
      <c r="AC250">
        <v>20508</v>
      </c>
      <c r="AD250" t="s">
        <v>482</v>
      </c>
      <c r="AE250" s="232">
        <f t="shared" si="31"/>
        <v>6.068973888239846E-2</v>
      </c>
      <c r="AF250" s="232">
        <f t="shared" si="32"/>
        <v>0.1862526168876483</v>
      </c>
      <c r="AG250" s="232">
        <f t="shared" si="33"/>
        <v>2.356943475226797E-2</v>
      </c>
      <c r="AH250" s="232">
        <f t="shared" si="34"/>
        <v>-6.0711793440334965E-3</v>
      </c>
      <c r="AI250" s="232">
        <f t="shared" si="35"/>
        <v>0.1933307745987439</v>
      </c>
      <c r="AJ250" s="232">
        <f t="shared" si="36"/>
        <v>-4.228890439637125E-2</v>
      </c>
      <c r="AK250" s="232">
        <f t="shared" si="37"/>
        <v>3.5571350337111507E-2</v>
      </c>
      <c r="AL250" s="232">
        <f t="shared" si="38"/>
        <v>8.944521981856246E-2</v>
      </c>
      <c r="AM250" s="232">
        <f t="shared" si="39"/>
        <v>0.73684929220592033</v>
      </c>
      <c r="AN250" s="232">
        <v>4.3999999999999997E-2</v>
      </c>
      <c r="AO250" s="232">
        <f t="shared" si="40"/>
        <v>0.21999999999999997</v>
      </c>
      <c r="AT250" t="s">
        <v>177</v>
      </c>
      <c r="AU250">
        <v>2274000</v>
      </c>
      <c r="AV250">
        <v>744000</v>
      </c>
      <c r="AW250">
        <v>6492532.6853254754</v>
      </c>
      <c r="AX250">
        <v>3474532.6853254754</v>
      </c>
      <c r="AY250">
        <v>3474532.6853254754</v>
      </c>
      <c r="AZ250">
        <v>66574000</v>
      </c>
      <c r="BA250">
        <v>5.2190535123704078E-2</v>
      </c>
    </row>
    <row r="251" spans="1:53" x14ac:dyDescent="0.25">
      <c r="A251" t="s">
        <v>483</v>
      </c>
      <c r="B251">
        <v>888</v>
      </c>
      <c r="C251">
        <v>173865</v>
      </c>
      <c r="D251">
        <v>130</v>
      </c>
      <c r="E251">
        <v>1260</v>
      </c>
      <c r="F251">
        <v>3586</v>
      </c>
      <c r="G251">
        <v>0</v>
      </c>
      <c r="H251">
        <v>310</v>
      </c>
      <c r="I251">
        <v>1589</v>
      </c>
      <c r="J251">
        <v>0</v>
      </c>
      <c r="K251">
        <v>0</v>
      </c>
      <c r="L251">
        <v>-2959</v>
      </c>
      <c r="M251">
        <v>25435</v>
      </c>
      <c r="N251">
        <v>10687</v>
      </c>
      <c r="O251">
        <v>63830</v>
      </c>
      <c r="P251">
        <v>20681</v>
      </c>
      <c r="Q251">
        <v>77813</v>
      </c>
      <c r="R251">
        <v>3</v>
      </c>
      <c r="S251">
        <v>10000</v>
      </c>
      <c r="T251">
        <v>23518</v>
      </c>
      <c r="U251">
        <v>18946</v>
      </c>
      <c r="V251">
        <v>0</v>
      </c>
      <c r="W251">
        <v>178164</v>
      </c>
      <c r="X251">
        <v>-3559</v>
      </c>
      <c r="Y251">
        <v>57761</v>
      </c>
      <c r="Z251">
        <v>5772960.2028132007</v>
      </c>
      <c r="AA251">
        <v>4948251.6024113148</v>
      </c>
      <c r="AB251">
        <v>161487</v>
      </c>
      <c r="AC251">
        <v>13266</v>
      </c>
      <c r="AD251" t="s">
        <v>483</v>
      </c>
      <c r="AE251" s="232">
        <f t="shared" si="31"/>
        <v>4.6556885530585547E-2</v>
      </c>
      <c r="AF251" s="232">
        <f t="shared" si="32"/>
        <v>0.51789923890348222</v>
      </c>
      <c r="AG251" s="232">
        <f t="shared" si="33"/>
        <v>2.7199658741384341E-2</v>
      </c>
      <c r="AH251" s="232">
        <f t="shared" si="34"/>
        <v>1.0658718933117801E-2</v>
      </c>
      <c r="AI251" s="232">
        <f t="shared" si="35"/>
        <v>0.51370209469926587</v>
      </c>
      <c r="AJ251" s="232">
        <f t="shared" si="36"/>
        <v>-1.997597718955569E-2</v>
      </c>
      <c r="AK251" s="232">
        <f t="shared" si="37"/>
        <v>2.7773577167167975E-2</v>
      </c>
      <c r="AL251" s="232">
        <f t="shared" si="38"/>
        <v>1.8614871691250756E-2</v>
      </c>
      <c r="AM251" s="232">
        <f t="shared" si="39"/>
        <v>0.39345689530753153</v>
      </c>
      <c r="AN251" s="232">
        <v>4.0800000000000003E-2</v>
      </c>
      <c r="AO251" s="232">
        <f t="shared" si="40"/>
        <v>0.20400000000000001</v>
      </c>
      <c r="AT251" t="s">
        <v>316</v>
      </c>
      <c r="AU251">
        <v>1285000.0000000002</v>
      </c>
      <c r="AV251">
        <v>644000</v>
      </c>
      <c r="AW251">
        <v>3262415.9736162899</v>
      </c>
      <c r="AX251">
        <v>1333415.9736162897</v>
      </c>
      <c r="AY251">
        <v>1333415.9736162897</v>
      </c>
      <c r="AZ251">
        <v>21651000</v>
      </c>
      <c r="BA251">
        <v>6.1586807704784523E-2</v>
      </c>
    </row>
    <row r="252" spans="1:53" x14ac:dyDescent="0.25">
      <c r="A252" t="s">
        <v>445</v>
      </c>
      <c r="B252">
        <v>796</v>
      </c>
      <c r="C252">
        <v>115288</v>
      </c>
      <c r="D252">
        <v>5593</v>
      </c>
      <c r="E252">
        <v>7600</v>
      </c>
      <c r="F252">
        <v>11538</v>
      </c>
      <c r="G252">
        <v>0</v>
      </c>
      <c r="H252">
        <v>48732</v>
      </c>
      <c r="I252">
        <v>0</v>
      </c>
      <c r="J252">
        <v>0</v>
      </c>
      <c r="K252">
        <v>0</v>
      </c>
      <c r="L252">
        <v>16</v>
      </c>
      <c r="M252">
        <v>33810</v>
      </c>
      <c r="N252">
        <v>14928</v>
      </c>
      <c r="O252">
        <v>69090</v>
      </c>
      <c r="P252">
        <v>27425</v>
      </c>
      <c r="Q252">
        <v>107324</v>
      </c>
      <c r="R252">
        <v>0</v>
      </c>
      <c r="S252">
        <v>13652</v>
      </c>
      <c r="T252">
        <v>16913</v>
      </c>
      <c r="U252">
        <v>3897</v>
      </c>
      <c r="V252">
        <v>-2</v>
      </c>
      <c r="W252">
        <v>238535</v>
      </c>
      <c r="X252">
        <v>-12025</v>
      </c>
      <c r="Y252">
        <v>77000</v>
      </c>
      <c r="Z252">
        <v>10534176.023906365</v>
      </c>
      <c r="AA252">
        <v>9029293.7347768843</v>
      </c>
      <c r="AB252">
        <v>137314</v>
      </c>
      <c r="AC252">
        <v>-21230</v>
      </c>
      <c r="AD252" t="s">
        <v>445</v>
      </c>
      <c r="AE252" s="232">
        <f t="shared" si="31"/>
        <v>5.7288890940449262E-2</v>
      </c>
      <c r="AF252" s="232">
        <f t="shared" si="32"/>
        <v>0.30978263147965707</v>
      </c>
      <c r="AG252" s="232">
        <f t="shared" si="33"/>
        <v>8.023141258096296E-2</v>
      </c>
      <c r="AH252" s="232">
        <f t="shared" si="34"/>
        <v>0.20429706332404049</v>
      </c>
      <c r="AI252" s="232">
        <f t="shared" si="35"/>
        <v>0.17640245666254428</v>
      </c>
      <c r="AJ252" s="232">
        <f t="shared" si="36"/>
        <v>-5.041188924057266E-2</v>
      </c>
      <c r="AK252" s="232">
        <f t="shared" si="37"/>
        <v>3.7853118975315507E-2</v>
      </c>
      <c r="AL252" s="232">
        <f t="shared" si="38"/>
        <v>-2.2250403504726769E-2</v>
      </c>
      <c r="AM252" s="232">
        <f t="shared" si="39"/>
        <v>0.40501298777596401</v>
      </c>
      <c r="AN252" s="232">
        <v>1.1900000000000001E-2</v>
      </c>
      <c r="AO252" s="232">
        <f t="shared" si="40"/>
        <v>5.9500000000000004E-2</v>
      </c>
      <c r="AT252" t="s">
        <v>317</v>
      </c>
      <c r="AU252">
        <v>1164000.0000000002</v>
      </c>
      <c r="AV252">
        <v>623000.00000000012</v>
      </c>
      <c r="AW252">
        <v>3480712.7871040697</v>
      </c>
      <c r="AX252">
        <v>1693712.7871040693</v>
      </c>
      <c r="AY252">
        <v>1693712.7871040693</v>
      </c>
      <c r="AZ252">
        <v>29308000</v>
      </c>
      <c r="BA252">
        <v>5.779011829889686E-2</v>
      </c>
    </row>
    <row r="253" spans="1:53" x14ac:dyDescent="0.25">
      <c r="A253" t="s">
        <v>373</v>
      </c>
      <c r="B253">
        <v>27097</v>
      </c>
      <c r="C253">
        <v>2487384</v>
      </c>
      <c r="D253">
        <v>401648</v>
      </c>
      <c r="E253">
        <v>376191</v>
      </c>
      <c r="F253">
        <v>21515</v>
      </c>
      <c r="G253">
        <v>0</v>
      </c>
      <c r="H253">
        <v>-154598</v>
      </c>
      <c r="I253">
        <v>4287</v>
      </c>
      <c r="J253">
        <v>0</v>
      </c>
      <c r="K253">
        <v>0</v>
      </c>
      <c r="L253">
        <v>955</v>
      </c>
      <c r="M253">
        <v>281472</v>
      </c>
      <c r="N253">
        <v>148512</v>
      </c>
      <c r="O253">
        <v>1117396</v>
      </c>
      <c r="P253">
        <v>89083</v>
      </c>
      <c r="Q253">
        <v>1529349</v>
      </c>
      <c r="R253">
        <v>2760</v>
      </c>
      <c r="S253">
        <v>420936</v>
      </c>
      <c r="T253">
        <v>110722</v>
      </c>
      <c r="U253">
        <v>324217</v>
      </c>
      <c r="V253">
        <v>0</v>
      </c>
      <c r="W253">
        <v>3477790</v>
      </c>
      <c r="X253">
        <v>-86153</v>
      </c>
      <c r="Y253">
        <v>638712</v>
      </c>
      <c r="Z253">
        <v>4415190.6541315913</v>
      </c>
      <c r="AA253">
        <v>3784449.1321127927</v>
      </c>
      <c r="AB253">
        <v>2505538</v>
      </c>
      <c r="AC253">
        <v>8943</v>
      </c>
      <c r="AD253" t="s">
        <v>373</v>
      </c>
      <c r="AE253" s="232">
        <f t="shared" si="31"/>
        <v>0.1171067834054767</v>
      </c>
      <c r="AF253" s="232">
        <f t="shared" si="32"/>
        <v>0.44837066067818931</v>
      </c>
      <c r="AG253" s="232">
        <f t="shared" si="33"/>
        <v>0.11435595593753504</v>
      </c>
      <c r="AH253" s="232">
        <f t="shared" si="34"/>
        <v>-4.3220263443163619E-2</v>
      </c>
      <c r="AI253" s="232">
        <f t="shared" si="35"/>
        <v>0.49234755980090805</v>
      </c>
      <c r="AJ253" s="232">
        <f t="shared" si="36"/>
        <v>-2.4772341055670413E-2</v>
      </c>
      <c r="AK253" s="232">
        <f t="shared" si="37"/>
        <v>1.0881764373676366E-3</v>
      </c>
      <c r="AL253" s="232">
        <f t="shared" si="38"/>
        <v>6.4286515287006974E-4</v>
      </c>
      <c r="AM253" s="232">
        <f t="shared" si="39"/>
        <v>0.33564930283049232</v>
      </c>
      <c r="AN253" s="232">
        <v>3.2599999999999997E-2</v>
      </c>
      <c r="AO253" s="232">
        <f t="shared" si="40"/>
        <v>0.16299999999999998</v>
      </c>
      <c r="AT253" t="s">
        <v>178</v>
      </c>
      <c r="AU253">
        <v>2965000</v>
      </c>
      <c r="AV253">
        <v>1719000.0000000005</v>
      </c>
      <c r="AW253">
        <v>7953887.8820005404</v>
      </c>
      <c r="AX253">
        <v>3269887.8820005399</v>
      </c>
      <c r="AY253">
        <v>3269887.8820005399</v>
      </c>
      <c r="AZ253">
        <v>84020000</v>
      </c>
      <c r="BA253">
        <v>3.8917970507028561E-2</v>
      </c>
    </row>
    <row r="254" spans="1:53" x14ac:dyDescent="0.25">
      <c r="A254" t="s">
        <v>250</v>
      </c>
      <c r="B254">
        <v>0</v>
      </c>
      <c r="C254">
        <v>1754</v>
      </c>
      <c r="D254">
        <v>0</v>
      </c>
      <c r="E254">
        <v>0</v>
      </c>
      <c r="F254">
        <v>1329</v>
      </c>
      <c r="G254">
        <v>6484</v>
      </c>
      <c r="H254">
        <v>0</v>
      </c>
      <c r="I254">
        <v>10</v>
      </c>
      <c r="J254">
        <v>0</v>
      </c>
      <c r="K254">
        <v>0</v>
      </c>
      <c r="L254">
        <v>1313</v>
      </c>
      <c r="M254">
        <v>929</v>
      </c>
      <c r="N254">
        <v>-3</v>
      </c>
      <c r="O254">
        <v>9731</v>
      </c>
      <c r="P254">
        <v>908</v>
      </c>
      <c r="Q254">
        <v>0</v>
      </c>
      <c r="R254">
        <v>-1</v>
      </c>
      <c r="S254">
        <v>0</v>
      </c>
      <c r="T254">
        <v>1120</v>
      </c>
      <c r="U254">
        <v>58</v>
      </c>
      <c r="V254">
        <v>6</v>
      </c>
      <c r="W254">
        <v>6670</v>
      </c>
      <c r="X254">
        <v>1964</v>
      </c>
      <c r="Y254">
        <v>1575</v>
      </c>
      <c r="Z254">
        <v>394209.81118126609</v>
      </c>
      <c r="AA254">
        <v>337894.12386965664</v>
      </c>
      <c r="AB254">
        <v>433</v>
      </c>
      <c r="AC254">
        <v>1321</v>
      </c>
      <c r="AD254" t="s">
        <v>250</v>
      </c>
      <c r="AE254" s="232">
        <f t="shared" si="31"/>
        <v>0</v>
      </c>
      <c r="AF254" s="232">
        <f t="shared" si="32"/>
        <v>-1.330584707646177</v>
      </c>
      <c r="AG254" s="232">
        <f t="shared" si="33"/>
        <v>0.19925037481259369</v>
      </c>
      <c r="AH254" s="232">
        <f t="shared" si="34"/>
        <v>1.4992503748125937E-3</v>
      </c>
      <c r="AI254" s="232">
        <f t="shared" si="35"/>
        <v>-1.3077241379310347</v>
      </c>
      <c r="AJ254" s="232">
        <f t="shared" si="36"/>
        <v>0.29445277361319339</v>
      </c>
      <c r="AK254" s="232">
        <f t="shared" si="37"/>
        <v>5.065878918585557E-2</v>
      </c>
      <c r="AL254" s="232">
        <f t="shared" si="38"/>
        <v>4.9512743628185904E-2</v>
      </c>
      <c r="AM254" s="232">
        <f t="shared" si="39"/>
        <v>0.90038930264048744</v>
      </c>
      <c r="AN254" s="232">
        <v>5.21E-2</v>
      </c>
      <c r="AO254" s="232">
        <f t="shared" si="40"/>
        <v>0.26050000000000001</v>
      </c>
      <c r="AT254" t="s">
        <v>443</v>
      </c>
      <c r="AU254">
        <v>10419000</v>
      </c>
      <c r="AV254">
        <v>8187000</v>
      </c>
      <c r="AW254">
        <v>26742892.114132967</v>
      </c>
      <c r="AX254">
        <v>8136892.1141329668</v>
      </c>
      <c r="AY254">
        <v>8136892.1141329668</v>
      </c>
      <c r="AZ254">
        <v>291353000</v>
      </c>
      <c r="BA254">
        <v>2.7927950335616819E-2</v>
      </c>
    </row>
    <row r="255" spans="1:53" x14ac:dyDescent="0.25">
      <c r="A255" t="s">
        <v>446</v>
      </c>
      <c r="B255">
        <v>4878</v>
      </c>
      <c r="C255">
        <v>65523</v>
      </c>
      <c r="D255">
        <v>1153</v>
      </c>
      <c r="E255">
        <v>0</v>
      </c>
      <c r="F255">
        <v>284</v>
      </c>
      <c r="G255">
        <v>0</v>
      </c>
      <c r="H255">
        <v>5753</v>
      </c>
      <c r="I255">
        <v>2</v>
      </c>
      <c r="J255">
        <v>0</v>
      </c>
      <c r="K255">
        <v>10984</v>
      </c>
      <c r="L255">
        <v>97</v>
      </c>
      <c r="M255">
        <v>6713</v>
      </c>
      <c r="N255">
        <v>181</v>
      </c>
      <c r="O255">
        <v>53010</v>
      </c>
      <c r="P255">
        <v>3476</v>
      </c>
      <c r="Q255">
        <v>30033</v>
      </c>
      <c r="R255">
        <v>13</v>
      </c>
      <c r="S255">
        <v>0</v>
      </c>
      <c r="T255">
        <v>5397</v>
      </c>
      <c r="U255">
        <v>3639</v>
      </c>
      <c r="V255">
        <v>0</v>
      </c>
      <c r="W255">
        <v>51348</v>
      </c>
      <c r="X255">
        <v>124</v>
      </c>
      <c r="Y255">
        <v>22401</v>
      </c>
      <c r="Z255">
        <v>3231102.5210925993</v>
      </c>
      <c r="AA255">
        <v>2769516.4466507994</v>
      </c>
      <c r="AB255">
        <v>60135</v>
      </c>
      <c r="AC255">
        <v>10266</v>
      </c>
      <c r="AD255" t="s">
        <v>446</v>
      </c>
      <c r="AE255" s="232">
        <f t="shared" si="31"/>
        <v>0</v>
      </c>
      <c r="AF255" s="232">
        <f t="shared" si="32"/>
        <v>0.40552699228791772</v>
      </c>
      <c r="AG255" s="232">
        <f t="shared" si="33"/>
        <v>5.5308872789592584E-3</v>
      </c>
      <c r="AH255" s="232">
        <f t="shared" si="34"/>
        <v>0.11207836721975539</v>
      </c>
      <c r="AI255" s="232">
        <f t="shared" si="35"/>
        <v>0.32773584170756409</v>
      </c>
      <c r="AJ255" s="232">
        <f t="shared" si="36"/>
        <v>2.4148944457427746E-3</v>
      </c>
      <c r="AK255" s="232">
        <f t="shared" si="37"/>
        <v>5.3936208745244206E-2</v>
      </c>
      <c r="AL255" s="232">
        <f t="shared" si="38"/>
        <v>4.9982472540313155E-2</v>
      </c>
      <c r="AM255" s="232">
        <f t="shared" si="39"/>
        <v>0.59105558345889841</v>
      </c>
      <c r="AN255" s="232">
        <v>4.5499999999999999E-2</v>
      </c>
      <c r="AO255" s="232">
        <f t="shared" si="40"/>
        <v>0.22749999999999998</v>
      </c>
      <c r="AT255" t="s">
        <v>368</v>
      </c>
      <c r="AU255">
        <v>3193000</v>
      </c>
      <c r="AV255">
        <v>3384000</v>
      </c>
      <c r="AW255">
        <v>7796548.695933287</v>
      </c>
      <c r="AX255">
        <v>1219548.695933287</v>
      </c>
      <c r="AY255">
        <v>1219548.695933287</v>
      </c>
      <c r="AZ255">
        <v>50605000</v>
      </c>
      <c r="BA255">
        <v>2.4099371523234603E-2</v>
      </c>
    </row>
    <row r="256" spans="1:53" x14ac:dyDescent="0.25">
      <c r="A256" t="s">
        <v>320</v>
      </c>
      <c r="B256">
        <v>8059</v>
      </c>
      <c r="C256">
        <v>90315</v>
      </c>
      <c r="D256">
        <v>326</v>
      </c>
      <c r="E256">
        <v>0</v>
      </c>
      <c r="F256">
        <v>3667</v>
      </c>
      <c r="G256">
        <v>0</v>
      </c>
      <c r="H256">
        <v>4549</v>
      </c>
      <c r="I256">
        <v>5</v>
      </c>
      <c r="J256">
        <v>0</v>
      </c>
      <c r="K256">
        <v>0</v>
      </c>
      <c r="L256">
        <v>-54</v>
      </c>
      <c r="M256">
        <v>19166</v>
      </c>
      <c r="N256">
        <v>-1164</v>
      </c>
      <c r="O256">
        <v>52932</v>
      </c>
      <c r="P256">
        <v>6449</v>
      </c>
      <c r="Q256">
        <v>44940</v>
      </c>
      <c r="R256">
        <v>299</v>
      </c>
      <c r="S256">
        <v>7000</v>
      </c>
      <c r="T256">
        <v>11870</v>
      </c>
      <c r="U256">
        <v>1379</v>
      </c>
      <c r="V256">
        <v>645</v>
      </c>
      <c r="W256">
        <v>111751</v>
      </c>
      <c r="X256">
        <v>-2786</v>
      </c>
      <c r="Y256">
        <v>46379</v>
      </c>
      <c r="Z256">
        <v>4695849.9973502178</v>
      </c>
      <c r="AA256">
        <v>4025014.2834430439</v>
      </c>
      <c r="AB256">
        <v>108242</v>
      </c>
      <c r="AC256">
        <v>-9868</v>
      </c>
      <c r="AD256" t="s">
        <v>320</v>
      </c>
      <c r="AE256" s="232">
        <f t="shared" si="31"/>
        <v>5.6058749569548885E-2</v>
      </c>
      <c r="AF256" s="232">
        <f t="shared" si="32"/>
        <v>0.39259603940904331</v>
      </c>
      <c r="AG256" s="232">
        <f t="shared" si="33"/>
        <v>3.2814024035579099E-2</v>
      </c>
      <c r="AH256" s="232">
        <f t="shared" si="34"/>
        <v>4.0751313187354025E-2</v>
      </c>
      <c r="AI256" s="232">
        <f t="shared" si="35"/>
        <v>0.36800780306216496</v>
      </c>
      <c r="AJ256" s="232">
        <f t="shared" si="36"/>
        <v>-2.4930425678517418E-2</v>
      </c>
      <c r="AK256" s="232">
        <f t="shared" si="37"/>
        <v>3.6017702601704178E-2</v>
      </c>
      <c r="AL256" s="232">
        <f t="shared" si="38"/>
        <v>-2.2075865092929817E-2</v>
      </c>
      <c r="AM256" s="232">
        <f t="shared" si="39"/>
        <v>0.4755463725984832</v>
      </c>
      <c r="AN256" s="232">
        <v>3.3399999999999999E-2</v>
      </c>
      <c r="AO256" s="232">
        <f t="shared" si="40"/>
        <v>0.16699999999999998</v>
      </c>
      <c r="AT256" t="s">
        <v>244</v>
      </c>
      <c r="AU256">
        <v>5406000</v>
      </c>
      <c r="AV256">
        <v>2627000</v>
      </c>
      <c r="AW256">
        <v>10772438.142241888</v>
      </c>
      <c r="AX256">
        <v>2739438.1422418877</v>
      </c>
      <c r="AY256">
        <v>2739438.1422418877</v>
      </c>
      <c r="AZ256">
        <v>105163000</v>
      </c>
      <c r="BA256">
        <v>2.6049448401451916E-2</v>
      </c>
    </row>
    <row r="257" spans="1:53" x14ac:dyDescent="0.25">
      <c r="A257" t="s">
        <v>251</v>
      </c>
      <c r="B257">
        <v>16</v>
      </c>
      <c r="C257">
        <v>21654</v>
      </c>
      <c r="D257">
        <v>0</v>
      </c>
      <c r="E257">
        <v>0</v>
      </c>
      <c r="F257">
        <v>4734</v>
      </c>
      <c r="G257">
        <v>0</v>
      </c>
      <c r="H257">
        <v>1438</v>
      </c>
      <c r="I257">
        <v>0</v>
      </c>
      <c r="J257">
        <v>0</v>
      </c>
      <c r="K257">
        <v>0</v>
      </c>
      <c r="L257">
        <v>194</v>
      </c>
      <c r="M257">
        <v>2508</v>
      </c>
      <c r="N257">
        <v>491</v>
      </c>
      <c r="O257">
        <v>19450</v>
      </c>
      <c r="P257">
        <v>7804</v>
      </c>
      <c r="Q257">
        <v>75</v>
      </c>
      <c r="R257">
        <v>0</v>
      </c>
      <c r="S257">
        <v>986</v>
      </c>
      <c r="T257">
        <v>2533</v>
      </c>
      <c r="U257">
        <v>187</v>
      </c>
      <c r="V257">
        <v>1</v>
      </c>
      <c r="W257">
        <v>16809</v>
      </c>
      <c r="X257">
        <v>-237</v>
      </c>
      <c r="Y257">
        <v>9751</v>
      </c>
      <c r="Z257">
        <v>1217828.0627652952</v>
      </c>
      <c r="AA257">
        <v>1043852.6252273958</v>
      </c>
      <c r="AB257">
        <v>17235</v>
      </c>
      <c r="AC257">
        <v>4435</v>
      </c>
      <c r="AD257" t="s">
        <v>251</v>
      </c>
      <c r="AE257" s="232">
        <f t="shared" si="31"/>
        <v>3.1770581601417755E-2</v>
      </c>
      <c r="AF257" s="232">
        <f t="shared" si="32"/>
        <v>-0.24665357844012137</v>
      </c>
      <c r="AG257" s="232">
        <f t="shared" si="33"/>
        <v>0.28163483847938603</v>
      </c>
      <c r="AH257" s="232">
        <f t="shared" si="34"/>
        <v>8.5549408055208526E-2</v>
      </c>
      <c r="AI257" s="232">
        <f t="shared" si="35"/>
        <v>-0.27274198346124101</v>
      </c>
      <c r="AJ257" s="232">
        <f t="shared" si="36"/>
        <v>-1.4099589505621988E-2</v>
      </c>
      <c r="AK257" s="232">
        <f t="shared" si="37"/>
        <v>6.2100816540388827E-2</v>
      </c>
      <c r="AL257" s="232">
        <f t="shared" si="38"/>
        <v>6.5961687191385565E-2</v>
      </c>
      <c r="AM257" s="232">
        <f t="shared" si="39"/>
        <v>0.87816980828097313</v>
      </c>
      <c r="AN257" s="232">
        <v>4.6800000000000001E-2</v>
      </c>
      <c r="AO257" s="232">
        <f t="shared" si="40"/>
        <v>0.23400000000000001</v>
      </c>
      <c r="AT257" t="s">
        <v>318</v>
      </c>
      <c r="AU257">
        <v>1476000</v>
      </c>
      <c r="AV257">
        <v>2347000</v>
      </c>
      <c r="AW257">
        <v>6527996.561129516</v>
      </c>
      <c r="AX257">
        <v>2704996.561129516</v>
      </c>
      <c r="AY257">
        <v>2704996.561129516</v>
      </c>
      <c r="AZ257">
        <v>27877000</v>
      </c>
      <c r="BA257">
        <v>9.7033273348262589E-2</v>
      </c>
    </row>
    <row r="258" spans="1:53" x14ac:dyDescent="0.25">
      <c r="A258" t="s">
        <v>374</v>
      </c>
      <c r="B258">
        <v>2612</v>
      </c>
      <c r="C258">
        <v>557449</v>
      </c>
      <c r="D258">
        <v>11431</v>
      </c>
      <c r="E258">
        <v>3549</v>
      </c>
      <c r="F258">
        <v>21617</v>
      </c>
      <c r="G258">
        <v>0</v>
      </c>
      <c r="H258">
        <v>1180</v>
      </c>
      <c r="I258">
        <v>8</v>
      </c>
      <c r="J258">
        <v>0</v>
      </c>
      <c r="K258">
        <v>700</v>
      </c>
      <c r="L258">
        <v>1904</v>
      </c>
      <c r="M258">
        <v>27421</v>
      </c>
      <c r="N258">
        <v>15356</v>
      </c>
      <c r="O258">
        <v>107612</v>
      </c>
      <c r="P258">
        <v>25136</v>
      </c>
      <c r="Q258">
        <v>328409</v>
      </c>
      <c r="R258">
        <v>123581</v>
      </c>
      <c r="S258">
        <v>23100</v>
      </c>
      <c r="T258">
        <v>7558</v>
      </c>
      <c r="U258">
        <v>27831</v>
      </c>
      <c r="V258">
        <v>0</v>
      </c>
      <c r="W258">
        <v>280202</v>
      </c>
      <c r="X258">
        <v>-201</v>
      </c>
      <c r="Y258">
        <v>77907</v>
      </c>
      <c r="Z258">
        <v>4621845.8714334108</v>
      </c>
      <c r="AA258">
        <v>3961582.1755143525</v>
      </c>
      <c r="AB258">
        <v>479279</v>
      </c>
      <c r="AC258">
        <v>80782</v>
      </c>
      <c r="AD258" t="s">
        <v>374</v>
      </c>
      <c r="AE258" s="232">
        <f t="shared" si="31"/>
        <v>3.5912671576286442E-2</v>
      </c>
      <c r="AF258" s="232">
        <f t="shared" si="32"/>
        <v>1.5700530331689282</v>
      </c>
      <c r="AG258" s="232">
        <f t="shared" si="33"/>
        <v>8.9813777203588838E-2</v>
      </c>
      <c r="AH258" s="232">
        <f t="shared" si="34"/>
        <v>4.2397984311318259E-3</v>
      </c>
      <c r="AI258" s="232">
        <f t="shared" si="35"/>
        <v>1.5778628275315665</v>
      </c>
      <c r="AJ258" s="232">
        <f t="shared" si="36"/>
        <v>-7.1733963355008175E-4</v>
      </c>
      <c r="AK258" s="232">
        <f t="shared" si="37"/>
        <v>1.4138307990358215E-2</v>
      </c>
      <c r="AL258" s="232">
        <f t="shared" si="38"/>
        <v>7.2074788902291922E-2</v>
      </c>
      <c r="AM258" s="232">
        <f t="shared" si="39"/>
        <v>0.20637815265839277</v>
      </c>
      <c r="AN258" s="232">
        <v>2.76E-2</v>
      </c>
      <c r="AO258" s="232">
        <f t="shared" si="40"/>
        <v>0.13800000000000001</v>
      </c>
      <c r="AT258" t="s">
        <v>274</v>
      </c>
      <c r="AU258">
        <v>1371000</v>
      </c>
      <c r="AV258">
        <v>777000</v>
      </c>
      <c r="AW258">
        <v>3551108.5524568404</v>
      </c>
      <c r="AX258">
        <v>1403108.5524568404</v>
      </c>
      <c r="AY258">
        <v>1403108.5524568404</v>
      </c>
      <c r="AZ258">
        <v>22113000</v>
      </c>
      <c r="BA258">
        <v>6.3451750212854E-2</v>
      </c>
    </row>
    <row r="259" spans="1:53" x14ac:dyDescent="0.25">
      <c r="A259" t="s">
        <v>179</v>
      </c>
      <c r="B259">
        <v>0</v>
      </c>
      <c r="C259">
        <v>8500</v>
      </c>
      <c r="D259">
        <v>41</v>
      </c>
      <c r="E259">
        <v>0</v>
      </c>
      <c r="F259">
        <v>237</v>
      </c>
      <c r="G259">
        <v>0</v>
      </c>
      <c r="H259">
        <v>0</v>
      </c>
      <c r="I259">
        <v>0</v>
      </c>
      <c r="J259">
        <v>0</v>
      </c>
      <c r="K259">
        <v>0</v>
      </c>
      <c r="L259">
        <v>582</v>
      </c>
      <c r="M259">
        <v>1151</v>
      </c>
      <c r="N259">
        <v>0</v>
      </c>
      <c r="O259">
        <v>2479</v>
      </c>
      <c r="P259">
        <v>648</v>
      </c>
      <c r="Q259">
        <v>6545</v>
      </c>
      <c r="R259">
        <v>1</v>
      </c>
      <c r="S259">
        <v>175</v>
      </c>
      <c r="T259">
        <v>646</v>
      </c>
      <c r="U259">
        <v>17</v>
      </c>
      <c r="V259">
        <v>0</v>
      </c>
      <c r="W259">
        <v>6215</v>
      </c>
      <c r="X259">
        <v>-384</v>
      </c>
      <c r="Y259">
        <v>932</v>
      </c>
      <c r="Z259">
        <v>395044.35952694947</v>
      </c>
      <c r="AA259">
        <v>338609.45102309959</v>
      </c>
      <c r="AB259">
        <v>7053</v>
      </c>
      <c r="AC259">
        <v>1447</v>
      </c>
      <c r="AD259" t="s">
        <v>179</v>
      </c>
      <c r="AE259" s="232">
        <f t="shared" ref="AE259:AE322" si="41">S259/SUM(O259:U259)</f>
        <v>1.6649224621824756E-2</v>
      </c>
      <c r="AF259" s="232">
        <f t="shared" ref="AF259:AF322" si="42">SUM(Q259,R259,S259,T259,U259,-E259,-F259,-G259,-J259,-K259,-L259,-M259,-N259)/W259</f>
        <v>0.8711182622687047</v>
      </c>
      <c r="AG259" s="232">
        <f t="shared" ref="AG259:AG322" si="43">SUM(E259,F259)/W259</f>
        <v>3.8133547868061141E-2</v>
      </c>
      <c r="AH259" s="232">
        <f t="shared" ref="AH259:AH322" si="44">SUM(H259,I259)/W259</f>
        <v>0</v>
      </c>
      <c r="AI259" s="232">
        <f t="shared" ref="AI259:AI322" si="45">SUM(AF259,0.12*AG259,-0.7*AH259)</f>
        <v>0.87569428801287208</v>
      </c>
      <c r="AJ259" s="232">
        <f t="shared" ref="AJ259:AJ322" si="46">X259/W259</f>
        <v>-6.178600160901046E-2</v>
      </c>
      <c r="AK259" s="232">
        <f t="shared" ref="AK259:AK322" si="47">AA259/(1000*W259)</f>
        <v>5.448261480661297E-2</v>
      </c>
      <c r="AL259" s="232">
        <f t="shared" ref="AL259:AL322" si="48">(AC259/4)/W259</f>
        <v>5.82059533386967E-2</v>
      </c>
      <c r="AM259" s="232">
        <f t="shared" ref="AM259:AM322" si="49">SUM(O259,P259)/SUM(O259,P259,Q259,R259,S259,T259,U259)</f>
        <v>0.29749785938540574</v>
      </c>
      <c r="AN259" s="232">
        <v>1.2E-2</v>
      </c>
      <c r="AO259" s="232">
        <f t="shared" si="40"/>
        <v>0.06</v>
      </c>
      <c r="AT259" t="s">
        <v>245</v>
      </c>
      <c r="AU259">
        <v>4814000.0000000009</v>
      </c>
      <c r="AV259">
        <v>2325000</v>
      </c>
      <c r="AW259">
        <v>13706824.658202551</v>
      </c>
      <c r="AX259">
        <v>6567824.6582025513</v>
      </c>
      <c r="AY259">
        <v>6567824.6582025513</v>
      </c>
      <c r="AZ259">
        <v>105315000</v>
      </c>
      <c r="BA259">
        <v>6.2363620169990516E-2</v>
      </c>
    </row>
    <row r="260" spans="1:53" x14ac:dyDescent="0.25">
      <c r="A260" t="s">
        <v>396</v>
      </c>
      <c r="B260">
        <v>555</v>
      </c>
      <c r="C260">
        <v>98555</v>
      </c>
      <c r="D260">
        <v>371</v>
      </c>
      <c r="E260">
        <v>0</v>
      </c>
      <c r="F260">
        <v>3215</v>
      </c>
      <c r="G260">
        <v>0</v>
      </c>
      <c r="H260">
        <v>12010</v>
      </c>
      <c r="I260">
        <v>134</v>
      </c>
      <c r="J260">
        <v>0</v>
      </c>
      <c r="K260">
        <v>0</v>
      </c>
      <c r="L260">
        <v>2688</v>
      </c>
      <c r="M260">
        <v>20592</v>
      </c>
      <c r="N260">
        <v>3562</v>
      </c>
      <c r="O260">
        <v>46079</v>
      </c>
      <c r="P260">
        <v>21141</v>
      </c>
      <c r="Q260">
        <v>63105</v>
      </c>
      <c r="R260">
        <v>0</v>
      </c>
      <c r="S260">
        <v>0</v>
      </c>
      <c r="T260">
        <v>7136</v>
      </c>
      <c r="U260">
        <v>4221</v>
      </c>
      <c r="V260">
        <v>0</v>
      </c>
      <c r="W260">
        <v>104988</v>
      </c>
      <c r="X260">
        <v>3324</v>
      </c>
      <c r="Y260">
        <v>33687</v>
      </c>
      <c r="Z260">
        <v>5869107.8775289617</v>
      </c>
      <c r="AA260">
        <v>5030663.895024824</v>
      </c>
      <c r="AB260">
        <v>90985</v>
      </c>
      <c r="AC260">
        <v>8125</v>
      </c>
      <c r="AD260" t="s">
        <v>396</v>
      </c>
      <c r="AE260" s="232">
        <f t="shared" si="41"/>
        <v>0</v>
      </c>
      <c r="AF260" s="232">
        <f t="shared" si="42"/>
        <v>0.4229530994018364</v>
      </c>
      <c r="AG260" s="232">
        <f t="shared" si="43"/>
        <v>3.0622547338743474E-2</v>
      </c>
      <c r="AH260" s="232">
        <f t="shared" si="44"/>
        <v>0.11567036232712311</v>
      </c>
      <c r="AI260" s="232">
        <f t="shared" si="45"/>
        <v>0.34565855145349944</v>
      </c>
      <c r="AJ260" s="232">
        <f t="shared" si="46"/>
        <v>3.1660761229854839E-2</v>
      </c>
      <c r="AK260" s="232">
        <f t="shared" si="47"/>
        <v>4.7916560892909896E-2</v>
      </c>
      <c r="AL260" s="232">
        <f t="shared" si="48"/>
        <v>1.9347449232293215E-2</v>
      </c>
      <c r="AM260" s="232">
        <f t="shared" si="49"/>
        <v>0.47444276619471776</v>
      </c>
      <c r="AN260" s="232">
        <v>2.18E-2</v>
      </c>
      <c r="AO260" s="232">
        <f t="shared" si="40"/>
        <v>0.109</v>
      </c>
      <c r="AT260" t="s">
        <v>369</v>
      </c>
      <c r="AU260">
        <v>3633000.0000000005</v>
      </c>
      <c r="AV260">
        <v>2126000</v>
      </c>
      <c r="AW260">
        <v>8737736.1254193112</v>
      </c>
      <c r="AX260">
        <v>2978736.1254193112</v>
      </c>
      <c r="AY260">
        <v>2978736.1254193112</v>
      </c>
      <c r="AZ260">
        <v>80070000</v>
      </c>
      <c r="BA260">
        <v>3.720165012388299E-2</v>
      </c>
    </row>
    <row r="261" spans="1:53" x14ac:dyDescent="0.25">
      <c r="A261" t="s">
        <v>511</v>
      </c>
      <c r="B261">
        <v>144998</v>
      </c>
      <c r="C261">
        <v>1574932</v>
      </c>
      <c r="D261">
        <v>97133</v>
      </c>
      <c r="E261">
        <v>112040</v>
      </c>
      <c r="F261">
        <v>87165</v>
      </c>
      <c r="G261">
        <v>0</v>
      </c>
      <c r="H261">
        <v>63863</v>
      </c>
      <c r="I261">
        <v>752</v>
      </c>
      <c r="J261">
        <v>0</v>
      </c>
      <c r="K261">
        <v>42750</v>
      </c>
      <c r="L261">
        <v>2290</v>
      </c>
      <c r="M261">
        <v>280167</v>
      </c>
      <c r="N261">
        <v>257829</v>
      </c>
      <c r="O261">
        <v>728936</v>
      </c>
      <c r="P261">
        <v>149792</v>
      </c>
      <c r="Q261">
        <v>1186896</v>
      </c>
      <c r="R261">
        <v>23116</v>
      </c>
      <c r="S261">
        <v>264256</v>
      </c>
      <c r="T261">
        <v>240879</v>
      </c>
      <c r="U261">
        <v>70044</v>
      </c>
      <c r="V261">
        <v>0</v>
      </c>
      <c r="W261">
        <v>2283782</v>
      </c>
      <c r="X261">
        <v>-90424</v>
      </c>
      <c r="Y261">
        <v>532561</v>
      </c>
      <c r="Z261">
        <v>78853758.1829485</v>
      </c>
      <c r="AA261">
        <v>67588935.585384429</v>
      </c>
      <c r="AB261">
        <v>1337690</v>
      </c>
      <c r="AC261">
        <v>382240</v>
      </c>
      <c r="AD261" t="s">
        <v>511</v>
      </c>
      <c r="AE261" s="232">
        <f t="shared" si="41"/>
        <v>9.9198211357027E-2</v>
      </c>
      <c r="AF261" s="232">
        <f t="shared" si="42"/>
        <v>0.43916188147555241</v>
      </c>
      <c r="AG261" s="232">
        <f t="shared" si="43"/>
        <v>8.7225926117291408E-2</v>
      </c>
      <c r="AH261" s="232">
        <f t="shared" si="44"/>
        <v>2.8292980678541121E-2</v>
      </c>
      <c r="AI261" s="232">
        <f t="shared" si="45"/>
        <v>0.42982390613464855</v>
      </c>
      <c r="AJ261" s="232">
        <f t="shared" si="46"/>
        <v>-3.9593971753871429E-2</v>
      </c>
      <c r="AK261" s="232">
        <f t="shared" si="47"/>
        <v>2.9595178342496975E-2</v>
      </c>
      <c r="AL261" s="232">
        <f t="shared" si="48"/>
        <v>4.1842872918693638E-2</v>
      </c>
      <c r="AM261" s="232">
        <f t="shared" si="49"/>
        <v>0.32986288246752249</v>
      </c>
      <c r="AN261" s="232">
        <v>4.0500000000000001E-2</v>
      </c>
      <c r="AO261" s="232">
        <f t="shared" si="40"/>
        <v>0.20250000000000001</v>
      </c>
      <c r="AT261" t="s">
        <v>481</v>
      </c>
      <c r="AU261">
        <v>4097000</v>
      </c>
      <c r="AV261">
        <v>3683000</v>
      </c>
      <c r="AW261">
        <v>13729508.025230516</v>
      </c>
      <c r="AX261">
        <v>5949508.0252305157</v>
      </c>
      <c r="AY261">
        <v>5949508.0252305157</v>
      </c>
      <c r="AZ261">
        <v>99777000</v>
      </c>
      <c r="BA261">
        <v>5.962805080560165E-2</v>
      </c>
    </row>
    <row r="262" spans="1:53" x14ac:dyDescent="0.25">
      <c r="A262" t="s">
        <v>551</v>
      </c>
      <c r="B262">
        <v>61438</v>
      </c>
      <c r="C262">
        <v>789143</v>
      </c>
      <c r="D262">
        <v>19771</v>
      </c>
      <c r="E262">
        <v>18355</v>
      </c>
      <c r="F262">
        <v>106235</v>
      </c>
      <c r="G262">
        <v>0</v>
      </c>
      <c r="H262">
        <v>39968</v>
      </c>
      <c r="I262">
        <v>149</v>
      </c>
      <c r="J262">
        <v>1442</v>
      </c>
      <c r="K262">
        <v>1634</v>
      </c>
      <c r="L262">
        <v>-6143</v>
      </c>
      <c r="M262">
        <v>65645</v>
      </c>
      <c r="N262">
        <v>28762</v>
      </c>
      <c r="O262">
        <v>582982</v>
      </c>
      <c r="P262">
        <v>70788</v>
      </c>
      <c r="Q262">
        <v>327187</v>
      </c>
      <c r="R262">
        <v>1501</v>
      </c>
      <c r="S262">
        <v>51352</v>
      </c>
      <c r="T262">
        <v>24218</v>
      </c>
      <c r="U262">
        <v>68371</v>
      </c>
      <c r="V262">
        <v>0</v>
      </c>
      <c r="W262">
        <v>754966</v>
      </c>
      <c r="X262">
        <v>-3657</v>
      </c>
      <c r="Y262">
        <v>153434</v>
      </c>
      <c r="Z262">
        <v>17812186.525391869</v>
      </c>
      <c r="AA262">
        <v>15267588.450335888</v>
      </c>
      <c r="AB262" s="154">
        <v>708283.92254519672</v>
      </c>
      <c r="AC262" s="154">
        <v>142297.07745480328</v>
      </c>
      <c r="AD262" t="s">
        <v>551</v>
      </c>
      <c r="AE262" s="232">
        <f t="shared" si="41"/>
        <v>4.5589529110022294E-2</v>
      </c>
      <c r="AF262" s="232">
        <f t="shared" si="42"/>
        <v>0.34001398738486238</v>
      </c>
      <c r="AG262" s="232">
        <f t="shared" si="43"/>
        <v>0.16502729924261489</v>
      </c>
      <c r="AH262" s="232">
        <f t="shared" si="44"/>
        <v>5.3137492284420752E-2</v>
      </c>
      <c r="AI262" s="232">
        <f t="shared" si="45"/>
        <v>0.32262101869488163</v>
      </c>
      <c r="AJ262" s="232">
        <f t="shared" si="46"/>
        <v>-4.8439267463700354E-3</v>
      </c>
      <c r="AK262" s="232">
        <f t="shared" si="47"/>
        <v>2.0222882156727441E-2</v>
      </c>
      <c r="AL262" s="232">
        <f t="shared" si="48"/>
        <v>4.7120359544271954E-2</v>
      </c>
      <c r="AM262" s="232">
        <f t="shared" si="49"/>
        <v>0.5804071203898441</v>
      </c>
      <c r="AN262" s="232">
        <v>2.8199999999999999E-2</v>
      </c>
      <c r="AO262" s="232">
        <f t="shared" si="40"/>
        <v>0.14099999999999999</v>
      </c>
      <c r="AT262" t="s">
        <v>157</v>
      </c>
      <c r="AU262">
        <v>1594000.0000000002</v>
      </c>
      <c r="AV262">
        <v>942000.00000000023</v>
      </c>
      <c r="AW262">
        <v>2157216.0418172255</v>
      </c>
      <c r="AX262">
        <v>-378783.95818277495</v>
      </c>
      <c r="AY262">
        <v>0</v>
      </c>
      <c r="AZ262">
        <v>42971000</v>
      </c>
      <c r="BA262">
        <v>-8.8148741752059525E-3</v>
      </c>
    </row>
    <row r="263" spans="1:53" x14ac:dyDescent="0.25">
      <c r="A263" t="s">
        <v>485</v>
      </c>
      <c r="B263">
        <v>0</v>
      </c>
      <c r="C263">
        <v>21146</v>
      </c>
      <c r="D263">
        <v>95</v>
      </c>
      <c r="E263">
        <v>7</v>
      </c>
      <c r="F263">
        <v>1686</v>
      </c>
      <c r="G263">
        <v>0</v>
      </c>
      <c r="H263">
        <v>0</v>
      </c>
      <c r="I263">
        <v>0</v>
      </c>
      <c r="J263">
        <v>0</v>
      </c>
      <c r="K263">
        <v>1578</v>
      </c>
      <c r="L263">
        <v>265</v>
      </c>
      <c r="M263">
        <v>1911</v>
      </c>
      <c r="N263">
        <v>325</v>
      </c>
      <c r="O263">
        <v>14107</v>
      </c>
      <c r="P263">
        <v>2744</v>
      </c>
      <c r="Q263">
        <v>7445</v>
      </c>
      <c r="R263">
        <v>22</v>
      </c>
      <c r="S263">
        <v>0</v>
      </c>
      <c r="T263">
        <v>1096</v>
      </c>
      <c r="U263">
        <v>1599</v>
      </c>
      <c r="V263">
        <v>0</v>
      </c>
      <c r="W263">
        <v>24374</v>
      </c>
      <c r="X263">
        <v>-809</v>
      </c>
      <c r="Y263">
        <v>10561</v>
      </c>
      <c r="Z263">
        <v>221922.80013084831</v>
      </c>
      <c r="AA263">
        <v>190219.54296929855</v>
      </c>
      <c r="AB263">
        <v>23760</v>
      </c>
      <c r="AC263">
        <v>-2614</v>
      </c>
      <c r="AD263" t="s">
        <v>485</v>
      </c>
      <c r="AE263" s="232">
        <f t="shared" si="41"/>
        <v>0</v>
      </c>
      <c r="AF263" s="232">
        <f t="shared" si="42"/>
        <v>0.18010995322885043</v>
      </c>
      <c r="AG263" s="232">
        <f t="shared" si="43"/>
        <v>6.9459259867071466E-2</v>
      </c>
      <c r="AH263" s="232">
        <f t="shared" si="44"/>
        <v>0</v>
      </c>
      <c r="AI263" s="232">
        <f t="shared" si="45"/>
        <v>0.18844506441289902</v>
      </c>
      <c r="AJ263" s="232">
        <f t="shared" si="46"/>
        <v>-3.3191105276113894E-2</v>
      </c>
      <c r="AK263" s="232">
        <f t="shared" si="47"/>
        <v>7.8041988581807886E-3</v>
      </c>
      <c r="AL263" s="232">
        <f t="shared" si="48"/>
        <v>-2.6811356363337983E-2</v>
      </c>
      <c r="AM263" s="232">
        <f t="shared" si="49"/>
        <v>0.62381075778328954</v>
      </c>
      <c r="AN263" s="232">
        <v>6.0699999999999997E-2</v>
      </c>
      <c r="AO263" s="232">
        <f t="shared" si="40"/>
        <v>0.30349999999999999</v>
      </c>
      <c r="AT263" t="s">
        <v>370</v>
      </c>
      <c r="AU263">
        <v>6098000</v>
      </c>
      <c r="AV263">
        <v>4153999.9999999991</v>
      </c>
      <c r="AW263">
        <v>17230955.640622869</v>
      </c>
      <c r="AX263">
        <v>6978955.6406228701</v>
      </c>
      <c r="AY263">
        <v>6978955.6406228701</v>
      </c>
      <c r="AZ263">
        <v>142231000</v>
      </c>
      <c r="BA263">
        <v>4.9067753447721456E-2</v>
      </c>
    </row>
    <row r="264" spans="1:53" x14ac:dyDescent="0.25">
      <c r="A264" t="s">
        <v>507</v>
      </c>
      <c r="B264">
        <v>-2</v>
      </c>
      <c r="C264">
        <v>29680</v>
      </c>
      <c r="D264">
        <v>32</v>
      </c>
      <c r="E264">
        <v>0</v>
      </c>
      <c r="F264">
        <v>379</v>
      </c>
      <c r="G264">
        <v>0</v>
      </c>
      <c r="H264">
        <v>2658</v>
      </c>
      <c r="I264">
        <v>0</v>
      </c>
      <c r="J264">
        <v>0</v>
      </c>
      <c r="K264">
        <v>9413</v>
      </c>
      <c r="L264">
        <v>212</v>
      </c>
      <c r="M264">
        <v>2061</v>
      </c>
      <c r="N264">
        <v>2749</v>
      </c>
      <c r="O264">
        <v>29571</v>
      </c>
      <c r="P264">
        <v>7493</v>
      </c>
      <c r="Q264">
        <v>5033</v>
      </c>
      <c r="R264">
        <v>0</v>
      </c>
      <c r="S264">
        <v>0</v>
      </c>
      <c r="T264">
        <v>3980</v>
      </c>
      <c r="U264">
        <v>1105</v>
      </c>
      <c r="V264">
        <v>1</v>
      </c>
      <c r="W264">
        <v>27994</v>
      </c>
      <c r="X264">
        <v>-842</v>
      </c>
      <c r="Y264">
        <v>11577</v>
      </c>
      <c r="Z264">
        <v>803413.34230395313</v>
      </c>
      <c r="AA264">
        <v>688640.00768910267</v>
      </c>
      <c r="AB264">
        <v>33498</v>
      </c>
      <c r="AC264">
        <v>-3820</v>
      </c>
      <c r="AD264" t="s">
        <v>507</v>
      </c>
      <c r="AE264" s="232">
        <f t="shared" si="41"/>
        <v>0</v>
      </c>
      <c r="AF264" s="232">
        <f t="shared" si="42"/>
        <v>-0.1677502321926127</v>
      </c>
      <c r="AG264" s="232">
        <f t="shared" si="43"/>
        <v>1.3538615417589484E-2</v>
      </c>
      <c r="AH264" s="232">
        <f t="shared" si="44"/>
        <v>9.4948917625205395E-2</v>
      </c>
      <c r="AI264" s="232">
        <f t="shared" si="45"/>
        <v>-0.23258984068014571</v>
      </c>
      <c r="AJ264" s="232">
        <f t="shared" si="46"/>
        <v>-3.007787383010645E-2</v>
      </c>
      <c r="AK264" s="232">
        <f t="shared" si="47"/>
        <v>2.459955732260851E-2</v>
      </c>
      <c r="AL264" s="232">
        <f t="shared" si="48"/>
        <v>-3.4114453097092233E-2</v>
      </c>
      <c r="AM264" s="232">
        <f t="shared" si="49"/>
        <v>0.78555381289474802</v>
      </c>
      <c r="AN264" s="232">
        <v>4.4200000000000003E-2</v>
      </c>
      <c r="AO264" s="232">
        <f t="shared" si="40"/>
        <v>0.22100000000000003</v>
      </c>
      <c r="AT264" t="s">
        <v>319</v>
      </c>
      <c r="AU264">
        <v>7999000</v>
      </c>
      <c r="AV264">
        <v>4383000</v>
      </c>
      <c r="AW264">
        <v>20424789.708945565</v>
      </c>
      <c r="AX264">
        <v>8042789.7089455649</v>
      </c>
      <c r="AY264">
        <v>8042789.7089455649</v>
      </c>
      <c r="AZ264">
        <v>223643000</v>
      </c>
      <c r="BA264">
        <v>3.5962626636852325E-2</v>
      </c>
    </row>
    <row r="265" spans="1:53" x14ac:dyDescent="0.25">
      <c r="A265" t="s">
        <v>447</v>
      </c>
      <c r="B265">
        <v>220</v>
      </c>
      <c r="C265">
        <v>27966</v>
      </c>
      <c r="D265">
        <v>2063</v>
      </c>
      <c r="E265">
        <v>1534</v>
      </c>
      <c r="F265">
        <v>209</v>
      </c>
      <c r="G265">
        <v>0</v>
      </c>
      <c r="H265">
        <v>3732</v>
      </c>
      <c r="I265">
        <v>0</v>
      </c>
      <c r="J265">
        <v>0</v>
      </c>
      <c r="K265">
        <v>8018</v>
      </c>
      <c r="L265">
        <v>-751</v>
      </c>
      <c r="M265">
        <v>8886</v>
      </c>
      <c r="N265">
        <v>640</v>
      </c>
      <c r="O265">
        <v>22591</v>
      </c>
      <c r="P265">
        <v>11374</v>
      </c>
      <c r="Q265">
        <v>6361</v>
      </c>
      <c r="R265">
        <v>0</v>
      </c>
      <c r="S265">
        <v>0</v>
      </c>
      <c r="T265">
        <v>10960</v>
      </c>
      <c r="U265">
        <v>1231</v>
      </c>
      <c r="V265">
        <v>0</v>
      </c>
      <c r="W265">
        <v>63650</v>
      </c>
      <c r="X265">
        <v>-1838</v>
      </c>
      <c r="Y265">
        <v>28673</v>
      </c>
      <c r="Z265">
        <v>3071966.6549799871</v>
      </c>
      <c r="AA265">
        <v>2633114.2756971316</v>
      </c>
      <c r="AB265">
        <v>32381</v>
      </c>
      <c r="AC265">
        <v>-4195</v>
      </c>
      <c r="AD265" t="s">
        <v>447</v>
      </c>
      <c r="AE265" s="232">
        <f t="shared" si="41"/>
        <v>0</v>
      </c>
      <c r="AF265" s="232">
        <f t="shared" si="42"/>
        <v>2.5137470542026708E-4</v>
      </c>
      <c r="AG265" s="232">
        <f t="shared" si="43"/>
        <v>2.7384131971720346E-2</v>
      </c>
      <c r="AH265" s="232">
        <f t="shared" si="44"/>
        <v>5.8633150039277299E-2</v>
      </c>
      <c r="AI265" s="232">
        <f t="shared" si="45"/>
        <v>-3.7505734485467394E-2</v>
      </c>
      <c r="AJ265" s="232">
        <f t="shared" si="46"/>
        <v>-2.8876669285153183E-2</v>
      </c>
      <c r="AK265" s="232">
        <f t="shared" si="47"/>
        <v>4.1368645336954148E-2</v>
      </c>
      <c r="AL265" s="232">
        <f t="shared" si="48"/>
        <v>-1.6476826394344068E-2</v>
      </c>
      <c r="AM265" s="232">
        <f t="shared" si="49"/>
        <v>0.64674295942266313</v>
      </c>
      <c r="AN265" s="232">
        <v>5.6300000000000003E-2</v>
      </c>
      <c r="AO265" s="232">
        <f t="shared" si="40"/>
        <v>0.28150000000000003</v>
      </c>
      <c r="AT265" t="s">
        <v>246</v>
      </c>
      <c r="AU265">
        <v>2180000</v>
      </c>
      <c r="AV265">
        <v>1346000</v>
      </c>
      <c r="AW265">
        <v>8392139.0432113297</v>
      </c>
      <c r="AX265">
        <v>4866139.0432113297</v>
      </c>
      <c r="AY265">
        <v>4866139.0432113297</v>
      </c>
      <c r="AZ265">
        <v>48352000</v>
      </c>
      <c r="BA265">
        <v>0.10063987101280877</v>
      </c>
    </row>
    <row r="266" spans="1:53" x14ac:dyDescent="0.25">
      <c r="A266" t="s">
        <v>486</v>
      </c>
      <c r="B266">
        <v>32465</v>
      </c>
      <c r="C266">
        <v>348758</v>
      </c>
      <c r="D266">
        <v>3586</v>
      </c>
      <c r="E266">
        <v>7999</v>
      </c>
      <c r="F266">
        <v>8057</v>
      </c>
      <c r="G266">
        <v>0</v>
      </c>
      <c r="H266">
        <v>13599</v>
      </c>
      <c r="I266">
        <v>2334</v>
      </c>
      <c r="J266">
        <v>0</v>
      </c>
      <c r="K266">
        <v>0</v>
      </c>
      <c r="L266">
        <v>8</v>
      </c>
      <c r="M266">
        <v>25455</v>
      </c>
      <c r="N266">
        <v>14241</v>
      </c>
      <c r="O266">
        <v>64703</v>
      </c>
      <c r="P266">
        <v>7085</v>
      </c>
      <c r="Q266">
        <v>329419</v>
      </c>
      <c r="R266">
        <v>545</v>
      </c>
      <c r="S266">
        <v>4430</v>
      </c>
      <c r="T266">
        <v>18220</v>
      </c>
      <c r="U266">
        <v>32100</v>
      </c>
      <c r="V266">
        <v>0</v>
      </c>
      <c r="W266">
        <v>318097</v>
      </c>
      <c r="X266">
        <v>84</v>
      </c>
      <c r="Y266">
        <v>92956</v>
      </c>
      <c r="Z266">
        <v>-10779933.115360234</v>
      </c>
      <c r="AA266">
        <v>-9239942.6703087725</v>
      </c>
      <c r="AB266">
        <v>361602</v>
      </c>
      <c r="AC266">
        <v>19621</v>
      </c>
      <c r="AD266" t="s">
        <v>486</v>
      </c>
      <c r="AE266" s="232">
        <f t="shared" si="41"/>
        <v>9.7042291161922624E-3</v>
      </c>
      <c r="AF266" s="232">
        <f t="shared" si="42"/>
        <v>1.0341310983756526</v>
      </c>
      <c r="AG266" s="232">
        <f t="shared" si="43"/>
        <v>5.0475169523761618E-2</v>
      </c>
      <c r="AH266" s="232">
        <f t="shared" si="44"/>
        <v>5.0088495018815016E-2</v>
      </c>
      <c r="AI266" s="232">
        <f t="shared" si="45"/>
        <v>1.0051261722053335</v>
      </c>
      <c r="AJ266" s="232">
        <f t="shared" si="46"/>
        <v>2.6407039362207123E-4</v>
      </c>
      <c r="AK266" s="232">
        <f t="shared" si="47"/>
        <v>-2.9047563071354879E-2</v>
      </c>
      <c r="AL266" s="232">
        <f t="shared" si="48"/>
        <v>1.5420610694222202E-2</v>
      </c>
      <c r="AM266" s="232">
        <f t="shared" si="49"/>
        <v>0.15725670424225963</v>
      </c>
      <c r="AN266" s="232">
        <v>2.0299999999999999E-2</v>
      </c>
      <c r="AO266" s="232">
        <f t="shared" si="40"/>
        <v>0.10149999999999999</v>
      </c>
      <c r="AT266" t="s">
        <v>200</v>
      </c>
      <c r="AU266">
        <v>4606000</v>
      </c>
      <c r="AV266">
        <v>3487000</v>
      </c>
      <c r="AW266">
        <v>11704729.501696641</v>
      </c>
      <c r="AX266">
        <v>3611729.5016966406</v>
      </c>
      <c r="AY266">
        <v>3611729.5016966406</v>
      </c>
      <c r="AZ266">
        <v>84446000</v>
      </c>
      <c r="BA266">
        <v>4.2769693078377198E-2</v>
      </c>
    </row>
    <row r="267" spans="1:53" x14ac:dyDescent="0.25">
      <c r="A267" t="s">
        <v>375</v>
      </c>
      <c r="B267">
        <v>2770</v>
      </c>
      <c r="C267">
        <v>57565</v>
      </c>
      <c r="D267">
        <v>1166</v>
      </c>
      <c r="E267">
        <v>0</v>
      </c>
      <c r="F267">
        <v>2088</v>
      </c>
      <c r="G267">
        <v>0</v>
      </c>
      <c r="H267">
        <v>1888</v>
      </c>
      <c r="I267">
        <v>0</v>
      </c>
      <c r="J267">
        <v>0</v>
      </c>
      <c r="K267">
        <v>0</v>
      </c>
      <c r="L267">
        <v>3</v>
      </c>
      <c r="M267">
        <v>5169</v>
      </c>
      <c r="N267">
        <v>3706</v>
      </c>
      <c r="O267">
        <v>29480</v>
      </c>
      <c r="P267">
        <v>8580</v>
      </c>
      <c r="Q267">
        <v>22680</v>
      </c>
      <c r="R267">
        <v>0</v>
      </c>
      <c r="S267">
        <v>7394</v>
      </c>
      <c r="T267">
        <v>1754</v>
      </c>
      <c r="U267">
        <v>4467</v>
      </c>
      <c r="V267">
        <v>3</v>
      </c>
      <c r="W267">
        <v>64291</v>
      </c>
      <c r="X267">
        <v>42</v>
      </c>
      <c r="Y267">
        <v>25020</v>
      </c>
      <c r="Z267">
        <v>3391193.8526073182</v>
      </c>
      <c r="AA267">
        <v>2906737.5879491298</v>
      </c>
      <c r="AB267">
        <v>49554</v>
      </c>
      <c r="AC267">
        <v>10781</v>
      </c>
      <c r="AD267" t="s">
        <v>375</v>
      </c>
      <c r="AE267" s="232">
        <f t="shared" si="41"/>
        <v>9.9441866720462652E-2</v>
      </c>
      <c r="AF267" s="232">
        <f t="shared" si="42"/>
        <v>0.39397427322642359</v>
      </c>
      <c r="AG267" s="232">
        <f t="shared" si="43"/>
        <v>3.2477329641785006E-2</v>
      </c>
      <c r="AH267" s="232">
        <f t="shared" si="44"/>
        <v>2.9366474312112114E-2</v>
      </c>
      <c r="AI267" s="232">
        <f t="shared" si="45"/>
        <v>0.37731502076495932</v>
      </c>
      <c r="AJ267" s="232">
        <f t="shared" si="46"/>
        <v>6.5327961923130761E-4</v>
      </c>
      <c r="AK267" s="232">
        <f t="shared" si="47"/>
        <v>4.5212200587160405E-2</v>
      </c>
      <c r="AL267" s="232">
        <f t="shared" si="48"/>
        <v>4.1922664136504334E-2</v>
      </c>
      <c r="AM267" s="232">
        <f t="shared" si="49"/>
        <v>0.51186873781184861</v>
      </c>
      <c r="AN267" s="232">
        <v>3.9600000000000003E-2</v>
      </c>
      <c r="AO267" s="232">
        <f t="shared" si="40"/>
        <v>0.19800000000000001</v>
      </c>
      <c r="AT267" t="s">
        <v>395</v>
      </c>
      <c r="AU267">
        <v>1801000</v>
      </c>
      <c r="AV267">
        <v>1785000</v>
      </c>
      <c r="AW267">
        <v>6234628.8810308343</v>
      </c>
      <c r="AX267">
        <v>2648628.8810308343</v>
      </c>
      <c r="AY267">
        <v>2648628.8810308343</v>
      </c>
      <c r="AZ267">
        <v>50136000</v>
      </c>
      <c r="BA267">
        <v>5.2828883058697026E-2</v>
      </c>
    </row>
    <row r="268" spans="1:53" x14ac:dyDescent="0.25">
      <c r="A268" t="s">
        <v>397</v>
      </c>
      <c r="B268">
        <v>25</v>
      </c>
      <c r="C268">
        <v>97611</v>
      </c>
      <c r="D268">
        <v>1633</v>
      </c>
      <c r="E268">
        <v>0</v>
      </c>
      <c r="F268">
        <v>1007</v>
      </c>
      <c r="G268">
        <v>0</v>
      </c>
      <c r="H268">
        <v>2923</v>
      </c>
      <c r="I268">
        <v>0</v>
      </c>
      <c r="J268">
        <v>0</v>
      </c>
      <c r="K268">
        <v>373</v>
      </c>
      <c r="L268">
        <v>392</v>
      </c>
      <c r="M268">
        <v>7478</v>
      </c>
      <c r="N268">
        <v>2284</v>
      </c>
      <c r="O268">
        <v>23827</v>
      </c>
      <c r="P268">
        <v>14049</v>
      </c>
      <c r="Q268">
        <v>53032</v>
      </c>
      <c r="R268">
        <v>0</v>
      </c>
      <c r="S268">
        <v>13500</v>
      </c>
      <c r="T268">
        <v>3973</v>
      </c>
      <c r="U268">
        <v>5345</v>
      </c>
      <c r="V268">
        <v>1</v>
      </c>
      <c r="W268">
        <v>74414</v>
      </c>
      <c r="X268">
        <v>415</v>
      </c>
      <c r="Y268">
        <v>23526</v>
      </c>
      <c r="Z268">
        <v>4263242.0749983657</v>
      </c>
      <c r="AA268">
        <v>3654207.4928557421</v>
      </c>
      <c r="AB268">
        <v>82078</v>
      </c>
      <c r="AC268">
        <v>15558</v>
      </c>
      <c r="AD268" t="s">
        <v>397</v>
      </c>
      <c r="AE268" s="232">
        <f t="shared" si="41"/>
        <v>0.11870636441974571</v>
      </c>
      <c r="AF268" s="232">
        <f t="shared" si="42"/>
        <v>0.8642997285457038</v>
      </c>
      <c r="AG268" s="232">
        <f t="shared" si="43"/>
        <v>1.3532399817238692E-2</v>
      </c>
      <c r="AH268" s="232">
        <f t="shared" si="44"/>
        <v>3.9280242965033463E-2</v>
      </c>
      <c r="AI268" s="232">
        <f t="shared" si="45"/>
        <v>0.83842744644824907</v>
      </c>
      <c r="AJ268" s="232">
        <f t="shared" si="46"/>
        <v>5.5769075711559653E-3</v>
      </c>
      <c r="AK268" s="232">
        <f t="shared" si="47"/>
        <v>4.9106451646944688E-2</v>
      </c>
      <c r="AL268" s="232">
        <f t="shared" si="48"/>
        <v>5.2268390356653316E-2</v>
      </c>
      <c r="AM268" s="232">
        <f t="shared" si="49"/>
        <v>0.33304609324165096</v>
      </c>
      <c r="AN268" s="232">
        <v>1.6400000000000001E-2</v>
      </c>
      <c r="AO268" s="232">
        <f t="shared" si="40"/>
        <v>8.2000000000000003E-2</v>
      </c>
      <c r="AT268" t="s">
        <v>247</v>
      </c>
      <c r="AU268">
        <v>4297999.9999999991</v>
      </c>
      <c r="AV268">
        <v>2181000</v>
      </c>
      <c r="AW268">
        <v>10363748.00677916</v>
      </c>
      <c r="AX268">
        <v>3884748.0067791613</v>
      </c>
      <c r="AY268">
        <v>3884748.0067791613</v>
      </c>
      <c r="AZ268">
        <v>80466000</v>
      </c>
      <c r="BA268">
        <v>4.8278129977619877E-2</v>
      </c>
    </row>
    <row r="269" spans="1:53" x14ac:dyDescent="0.25">
      <c r="A269" t="s">
        <v>180</v>
      </c>
      <c r="B269">
        <v>0</v>
      </c>
      <c r="C269">
        <v>178787</v>
      </c>
      <c r="D269">
        <v>450</v>
      </c>
      <c r="E269">
        <v>11326</v>
      </c>
      <c r="F269">
        <v>1879</v>
      </c>
      <c r="G269">
        <v>0</v>
      </c>
      <c r="H269">
        <v>7898</v>
      </c>
      <c r="I269">
        <v>56</v>
      </c>
      <c r="J269">
        <v>0</v>
      </c>
      <c r="K269">
        <v>13</v>
      </c>
      <c r="L269">
        <v>-9712</v>
      </c>
      <c r="M269">
        <v>27279</v>
      </c>
      <c r="N269">
        <v>8853</v>
      </c>
      <c r="O269">
        <v>86693</v>
      </c>
      <c r="P269">
        <v>24540</v>
      </c>
      <c r="Q269">
        <v>76111</v>
      </c>
      <c r="R269">
        <v>42</v>
      </c>
      <c r="S269">
        <v>0</v>
      </c>
      <c r="T269">
        <v>25760</v>
      </c>
      <c r="U269">
        <v>13683</v>
      </c>
      <c r="V269">
        <v>-1</v>
      </c>
      <c r="W269">
        <v>176226</v>
      </c>
      <c r="X269">
        <v>-5931</v>
      </c>
      <c r="Y269">
        <v>55889</v>
      </c>
      <c r="Z269">
        <v>1285855.0940087028</v>
      </c>
      <c r="AA269">
        <v>1102161.5091503167</v>
      </c>
      <c r="AB269">
        <v>165032</v>
      </c>
      <c r="AC269">
        <v>13755</v>
      </c>
      <c r="AD269" t="s">
        <v>180</v>
      </c>
      <c r="AE269" s="232">
        <f t="shared" si="41"/>
        <v>0</v>
      </c>
      <c r="AF269" s="232">
        <f t="shared" si="42"/>
        <v>0.43102606879802075</v>
      </c>
      <c r="AG269" s="232">
        <f t="shared" si="43"/>
        <v>7.4932189347769337E-2</v>
      </c>
      <c r="AH269" s="232">
        <f t="shared" si="44"/>
        <v>4.5135224087251596E-2</v>
      </c>
      <c r="AI269" s="232">
        <f t="shared" si="45"/>
        <v>0.40842327465867695</v>
      </c>
      <c r="AJ269" s="232">
        <f t="shared" si="46"/>
        <v>-3.3655646726362738E-2</v>
      </c>
      <c r="AK269" s="232">
        <f t="shared" si="47"/>
        <v>6.2542502760677583E-3</v>
      </c>
      <c r="AL269" s="232">
        <f t="shared" si="48"/>
        <v>1.9513295427462465E-2</v>
      </c>
      <c r="AM269" s="232">
        <f t="shared" si="49"/>
        <v>0.49038262303321006</v>
      </c>
      <c r="AN269" s="232">
        <v>4.3799999999999999E-2</v>
      </c>
      <c r="AO269" s="232">
        <f t="shared" si="40"/>
        <v>0.219</v>
      </c>
      <c r="AT269" t="s">
        <v>275</v>
      </c>
      <c r="AU269">
        <v>422000</v>
      </c>
      <c r="AV269">
        <v>464000</v>
      </c>
      <c r="AW269">
        <v>1852923.9767090962</v>
      </c>
      <c r="AX269">
        <v>966923.97670909623</v>
      </c>
      <c r="AY269">
        <v>966923.97670909623</v>
      </c>
      <c r="AZ269">
        <v>17537000</v>
      </c>
      <c r="BA269">
        <v>5.5136224936368605E-2</v>
      </c>
    </row>
    <row r="270" spans="1:53" x14ac:dyDescent="0.25">
      <c r="A270" t="s">
        <v>277</v>
      </c>
      <c r="B270">
        <v>466</v>
      </c>
      <c r="C270">
        <v>82318</v>
      </c>
      <c r="D270">
        <v>0</v>
      </c>
      <c r="E270">
        <v>364</v>
      </c>
      <c r="F270">
        <v>2108</v>
      </c>
      <c r="G270">
        <v>0</v>
      </c>
      <c r="H270">
        <v>8925</v>
      </c>
      <c r="I270">
        <v>120</v>
      </c>
      <c r="J270">
        <v>0</v>
      </c>
      <c r="K270">
        <v>0</v>
      </c>
      <c r="L270">
        <v>167</v>
      </c>
      <c r="M270">
        <v>13662</v>
      </c>
      <c r="N270">
        <v>23973</v>
      </c>
      <c r="O270">
        <v>53307</v>
      </c>
      <c r="P270">
        <v>8586</v>
      </c>
      <c r="Q270">
        <v>29550</v>
      </c>
      <c r="R270">
        <v>6</v>
      </c>
      <c r="S270">
        <v>8900</v>
      </c>
      <c r="T270">
        <v>23384</v>
      </c>
      <c r="U270">
        <v>8370</v>
      </c>
      <c r="V270">
        <v>0</v>
      </c>
      <c r="W270">
        <v>101450</v>
      </c>
      <c r="X270">
        <v>-1361</v>
      </c>
      <c r="Y270">
        <v>46089</v>
      </c>
      <c r="Z270">
        <v>8421919.8430970144</v>
      </c>
      <c r="AA270">
        <v>7218788.4369402975</v>
      </c>
      <c r="AB270">
        <v>77924</v>
      </c>
      <c r="AC270">
        <v>4860</v>
      </c>
      <c r="AD270" t="s">
        <v>277</v>
      </c>
      <c r="AE270" s="232">
        <f t="shared" si="41"/>
        <v>6.737167210434282E-2</v>
      </c>
      <c r="AF270" s="232">
        <f t="shared" si="42"/>
        <v>0.29508132084770822</v>
      </c>
      <c r="AG270" s="232">
        <f t="shared" si="43"/>
        <v>2.4366683095120748E-2</v>
      </c>
      <c r="AH270" s="232">
        <f t="shared" si="44"/>
        <v>8.9157220305569246E-2</v>
      </c>
      <c r="AI270" s="232">
        <f t="shared" si="45"/>
        <v>0.23559526860522426</v>
      </c>
      <c r="AJ270" s="232">
        <f t="shared" si="46"/>
        <v>-1.3415475603745687E-2</v>
      </c>
      <c r="AK270" s="232">
        <f t="shared" si="47"/>
        <v>7.1156120620407076E-2</v>
      </c>
      <c r="AL270" s="232">
        <f t="shared" si="48"/>
        <v>1.1976343026121243E-2</v>
      </c>
      <c r="AM270" s="232">
        <f t="shared" si="49"/>
        <v>0.46852077545551579</v>
      </c>
      <c r="AN270" s="232">
        <v>3.5799999999999998E-2</v>
      </c>
      <c r="AO270" s="232">
        <f t="shared" si="40"/>
        <v>0.17899999999999999</v>
      </c>
      <c r="AT270" t="s">
        <v>444</v>
      </c>
      <c r="AU270">
        <v>1526000.0000000002</v>
      </c>
      <c r="AV270">
        <v>1027000.0000000001</v>
      </c>
      <c r="AW270">
        <v>4316547.3254872356</v>
      </c>
      <c r="AX270">
        <v>1763547.3254872356</v>
      </c>
      <c r="AY270">
        <v>1763547.3254872356</v>
      </c>
      <c r="AZ270">
        <v>30149000</v>
      </c>
      <c r="BA270">
        <v>5.8494388718937133E-2</v>
      </c>
    </row>
    <row r="271" spans="1:53" x14ac:dyDescent="0.25">
      <c r="A271" t="s">
        <v>448</v>
      </c>
      <c r="B271">
        <v>17084</v>
      </c>
      <c r="C271">
        <v>32469</v>
      </c>
      <c r="D271">
        <v>37</v>
      </c>
      <c r="E271">
        <v>0</v>
      </c>
      <c r="F271">
        <v>3626</v>
      </c>
      <c r="G271">
        <v>0</v>
      </c>
      <c r="H271">
        <v>8920</v>
      </c>
      <c r="I271">
        <v>0</v>
      </c>
      <c r="J271">
        <v>0</v>
      </c>
      <c r="K271">
        <v>8888</v>
      </c>
      <c r="L271">
        <v>204</v>
      </c>
      <c r="M271">
        <v>4567</v>
      </c>
      <c r="N271">
        <v>1750</v>
      </c>
      <c r="O271">
        <v>61583</v>
      </c>
      <c r="P271">
        <v>6591</v>
      </c>
      <c r="Q271">
        <v>0</v>
      </c>
      <c r="R271">
        <v>77</v>
      </c>
      <c r="S271">
        <v>187</v>
      </c>
      <c r="T271">
        <v>4311</v>
      </c>
      <c r="U271">
        <v>4796</v>
      </c>
      <c r="V271">
        <v>-664</v>
      </c>
      <c r="W271">
        <v>47872</v>
      </c>
      <c r="X271">
        <v>-885</v>
      </c>
      <c r="Y271">
        <v>19120</v>
      </c>
      <c r="Z271">
        <v>2673172.5943193687</v>
      </c>
      <c r="AA271">
        <v>2291290.7951308875</v>
      </c>
      <c r="AB271">
        <v>50759</v>
      </c>
      <c r="AC271">
        <v>-1206</v>
      </c>
      <c r="AD271" t="s">
        <v>448</v>
      </c>
      <c r="AE271" s="232">
        <f t="shared" si="41"/>
        <v>2.4115029982590755E-3</v>
      </c>
      <c r="AF271" s="232">
        <f t="shared" si="42"/>
        <v>-0.2018716577540107</v>
      </c>
      <c r="AG271" s="232">
        <f t="shared" si="43"/>
        <v>7.5743649732620322E-2</v>
      </c>
      <c r="AH271" s="232">
        <f t="shared" si="44"/>
        <v>0.18633021390374332</v>
      </c>
      <c r="AI271" s="232">
        <f t="shared" si="45"/>
        <v>-0.3232135695187166</v>
      </c>
      <c r="AJ271" s="232">
        <f t="shared" si="46"/>
        <v>-1.8486798128342245E-2</v>
      </c>
      <c r="AK271" s="232">
        <f t="shared" si="47"/>
        <v>4.7862859189732779E-2</v>
      </c>
      <c r="AL271" s="232">
        <f t="shared" si="48"/>
        <v>-6.2980447860962567E-3</v>
      </c>
      <c r="AM271" s="232">
        <f t="shared" si="49"/>
        <v>0.87915403958991556</v>
      </c>
      <c r="AN271" s="232">
        <v>4.7500000000000001E-2</v>
      </c>
      <c r="AO271" s="232">
        <f t="shared" si="40"/>
        <v>0.23749999999999999</v>
      </c>
      <c r="AT271" t="s">
        <v>248</v>
      </c>
      <c r="AU271">
        <v>5783999.9999999991</v>
      </c>
      <c r="AV271">
        <v>2534000</v>
      </c>
      <c r="AW271">
        <v>11964648.229597311</v>
      </c>
      <c r="AX271">
        <v>3646648.2295973124</v>
      </c>
      <c r="AY271">
        <v>3646648.2295973124</v>
      </c>
      <c r="AZ271">
        <v>106803000</v>
      </c>
      <c r="BA271">
        <v>3.4143687252205582E-2</v>
      </c>
    </row>
    <row r="272" spans="1:53" x14ac:dyDescent="0.25">
      <c r="A272" t="s">
        <v>449</v>
      </c>
      <c r="B272">
        <v>559</v>
      </c>
      <c r="C272">
        <v>33638</v>
      </c>
      <c r="D272">
        <v>1</v>
      </c>
      <c r="E272">
        <v>116</v>
      </c>
      <c r="F272">
        <v>1025</v>
      </c>
      <c r="G272">
        <v>0</v>
      </c>
      <c r="H272">
        <v>15417</v>
      </c>
      <c r="I272">
        <v>6</v>
      </c>
      <c r="J272">
        <v>0</v>
      </c>
      <c r="K272">
        <v>0</v>
      </c>
      <c r="L272">
        <v>2549</v>
      </c>
      <c r="M272">
        <v>5302</v>
      </c>
      <c r="N272">
        <v>879</v>
      </c>
      <c r="O272">
        <v>39668</v>
      </c>
      <c r="P272">
        <v>3986</v>
      </c>
      <c r="Q272">
        <v>5335</v>
      </c>
      <c r="R272">
        <v>10</v>
      </c>
      <c r="S272">
        <v>3000</v>
      </c>
      <c r="T272">
        <v>4256</v>
      </c>
      <c r="U272">
        <v>3237</v>
      </c>
      <c r="V272">
        <v>-1</v>
      </c>
      <c r="W272">
        <v>39964</v>
      </c>
      <c r="X272">
        <v>1170</v>
      </c>
      <c r="Y272">
        <v>16753</v>
      </c>
      <c r="Z272">
        <v>3842785.6655891798</v>
      </c>
      <c r="AA272">
        <v>3293816.2847907254</v>
      </c>
      <c r="AB272">
        <v>24497</v>
      </c>
      <c r="AC272">
        <v>9700</v>
      </c>
      <c r="AD272" t="s">
        <v>449</v>
      </c>
      <c r="AE272" s="232">
        <f t="shared" si="41"/>
        <v>5.0426948161097288E-2</v>
      </c>
      <c r="AF272" s="232">
        <f t="shared" si="42"/>
        <v>0.14930937844059652</v>
      </c>
      <c r="AG272" s="232">
        <f t="shared" si="43"/>
        <v>2.8550695626063455E-2</v>
      </c>
      <c r="AH272" s="232">
        <f t="shared" si="44"/>
        <v>0.38592233009708737</v>
      </c>
      <c r="AI272" s="232">
        <f t="shared" si="45"/>
        <v>-0.11741016915223698</v>
      </c>
      <c r="AJ272" s="232">
        <f t="shared" si="46"/>
        <v>2.9276348713842458E-2</v>
      </c>
      <c r="AK272" s="232">
        <f t="shared" si="47"/>
        <v>8.2419584746039568E-2</v>
      </c>
      <c r="AL272" s="232">
        <f t="shared" si="48"/>
        <v>6.0679611650485438E-2</v>
      </c>
      <c r="AM272" s="232">
        <f t="shared" si="49"/>
        <v>0.73377933167484699</v>
      </c>
      <c r="AN272" s="232">
        <v>5.16E-2</v>
      </c>
      <c r="AO272" s="232">
        <f t="shared" si="40"/>
        <v>0.25800000000000001</v>
      </c>
      <c r="AT272" t="s">
        <v>276</v>
      </c>
      <c r="AU272">
        <v>2814000</v>
      </c>
      <c r="AV272">
        <v>1355000</v>
      </c>
      <c r="AW272">
        <v>5577635.5684856707</v>
      </c>
      <c r="AX272">
        <v>1408635.5684856707</v>
      </c>
      <c r="AY272">
        <v>1408635.5684856707</v>
      </c>
      <c r="AZ272">
        <v>45130000</v>
      </c>
      <c r="BA272">
        <v>3.1212842199992704E-2</v>
      </c>
    </row>
    <row r="273" spans="1:53" x14ac:dyDescent="0.25">
      <c r="A273" t="s">
        <v>159</v>
      </c>
      <c r="B273">
        <v>2627</v>
      </c>
      <c r="C273">
        <v>84547</v>
      </c>
      <c r="D273">
        <v>651</v>
      </c>
      <c r="E273">
        <v>1329</v>
      </c>
      <c r="F273">
        <v>2765</v>
      </c>
      <c r="G273">
        <v>0</v>
      </c>
      <c r="H273">
        <v>1207</v>
      </c>
      <c r="I273">
        <v>482</v>
      </c>
      <c r="J273">
        <v>0</v>
      </c>
      <c r="K273">
        <v>0</v>
      </c>
      <c r="L273">
        <v>98</v>
      </c>
      <c r="M273">
        <v>8958</v>
      </c>
      <c r="N273">
        <v>4091</v>
      </c>
      <c r="O273">
        <v>52672</v>
      </c>
      <c r="P273">
        <v>7443</v>
      </c>
      <c r="Q273">
        <v>30820</v>
      </c>
      <c r="R273">
        <v>1</v>
      </c>
      <c r="S273">
        <v>2802</v>
      </c>
      <c r="T273">
        <v>7469</v>
      </c>
      <c r="U273">
        <v>5548</v>
      </c>
      <c r="V273">
        <v>-1</v>
      </c>
      <c r="W273">
        <v>108962</v>
      </c>
      <c r="X273">
        <v>-3608</v>
      </c>
      <c r="Y273">
        <v>32258</v>
      </c>
      <c r="Z273">
        <v>-61818.01833114028</v>
      </c>
      <c r="AA273">
        <v>-52986.8728552631</v>
      </c>
      <c r="AB273">
        <v>78188</v>
      </c>
      <c r="AC273">
        <v>8986</v>
      </c>
      <c r="AD273" t="s">
        <v>159</v>
      </c>
      <c r="AE273" s="232">
        <f t="shared" si="41"/>
        <v>2.6247014191372771E-2</v>
      </c>
      <c r="AF273" s="232">
        <f t="shared" si="42"/>
        <v>0.26980965841302473</v>
      </c>
      <c r="AG273" s="232">
        <f t="shared" si="43"/>
        <v>3.7572731778051066E-2</v>
      </c>
      <c r="AH273" s="232">
        <f t="shared" si="44"/>
        <v>1.5500816798516915E-2</v>
      </c>
      <c r="AI273" s="232">
        <f t="shared" si="45"/>
        <v>0.26346781446742906</v>
      </c>
      <c r="AJ273" s="232">
        <f t="shared" si="46"/>
        <v>-3.3112461225014225E-2</v>
      </c>
      <c r="AK273" s="232">
        <f t="shared" si="47"/>
        <v>-4.8628763105727779E-4</v>
      </c>
      <c r="AL273" s="232">
        <f t="shared" si="48"/>
        <v>2.0617279418512876E-2</v>
      </c>
      <c r="AM273" s="232">
        <f t="shared" si="49"/>
        <v>0.56311179804224631</v>
      </c>
      <c r="AN273" s="232">
        <v>5.91E-2</v>
      </c>
      <c r="AO273" s="232">
        <f t="shared" si="40"/>
        <v>0.29549999999999998</v>
      </c>
      <c r="AT273" t="s">
        <v>371</v>
      </c>
      <c r="AU273">
        <v>5049000</v>
      </c>
      <c r="AV273">
        <v>3352999.9999999995</v>
      </c>
      <c r="AW273">
        <v>11965296.671034161</v>
      </c>
      <c r="AX273">
        <v>3563296.6710341615</v>
      </c>
      <c r="AY273">
        <v>3563296.6710341615</v>
      </c>
      <c r="AZ273">
        <v>109838000</v>
      </c>
      <c r="BA273">
        <v>3.2441383410424095E-2</v>
      </c>
    </row>
    <row r="274" spans="1:53" x14ac:dyDescent="0.25">
      <c r="A274" t="s">
        <v>202</v>
      </c>
      <c r="B274">
        <v>2286</v>
      </c>
      <c r="C274">
        <v>28650</v>
      </c>
      <c r="D274">
        <v>184</v>
      </c>
      <c r="E274">
        <v>704</v>
      </c>
      <c r="F274">
        <v>1430</v>
      </c>
      <c r="G274">
        <v>0</v>
      </c>
      <c r="H274">
        <v>2540</v>
      </c>
      <c r="I274">
        <v>0</v>
      </c>
      <c r="J274">
        <v>0</v>
      </c>
      <c r="K274">
        <v>20081</v>
      </c>
      <c r="L274">
        <v>244</v>
      </c>
      <c r="M274">
        <v>3203</v>
      </c>
      <c r="N274">
        <v>1695</v>
      </c>
      <c r="O274">
        <v>54426</v>
      </c>
      <c r="P274">
        <v>2256</v>
      </c>
      <c r="Q274">
        <v>1062</v>
      </c>
      <c r="R274">
        <v>0</v>
      </c>
      <c r="S274">
        <v>0</v>
      </c>
      <c r="T274">
        <v>1654</v>
      </c>
      <c r="U274">
        <v>1619</v>
      </c>
      <c r="V274">
        <v>0</v>
      </c>
      <c r="W274">
        <v>35011</v>
      </c>
      <c r="X274">
        <v>1590</v>
      </c>
      <c r="Y274">
        <v>16797</v>
      </c>
      <c r="Z274">
        <v>2360938.1002323618</v>
      </c>
      <c r="AA274">
        <v>2023661.2287705957</v>
      </c>
      <c r="AB274">
        <v>31957</v>
      </c>
      <c r="AC274">
        <v>-1021</v>
      </c>
      <c r="AD274" t="s">
        <v>202</v>
      </c>
      <c r="AE274" s="232">
        <f t="shared" si="41"/>
        <v>0</v>
      </c>
      <c r="AF274" s="232">
        <f t="shared" si="42"/>
        <v>-0.6575647653594584</v>
      </c>
      <c r="AG274" s="232">
        <f t="shared" si="43"/>
        <v>6.0952272143040762E-2</v>
      </c>
      <c r="AH274" s="232">
        <f t="shared" si="44"/>
        <v>7.2548627574190963E-2</v>
      </c>
      <c r="AI274" s="232">
        <f t="shared" si="45"/>
        <v>-0.70103453200422716</v>
      </c>
      <c r="AJ274" s="232">
        <f t="shared" si="46"/>
        <v>4.5414298363371512E-2</v>
      </c>
      <c r="AK274" s="232">
        <f t="shared" si="47"/>
        <v>5.7800726308034497E-2</v>
      </c>
      <c r="AL274" s="232">
        <f t="shared" si="48"/>
        <v>-7.2905658221701754E-3</v>
      </c>
      <c r="AM274" s="232">
        <f t="shared" si="49"/>
        <v>0.92895422587147847</v>
      </c>
      <c r="AN274" s="232">
        <v>5.0900000000000001E-2</v>
      </c>
      <c r="AO274" s="232">
        <f t="shared" si="40"/>
        <v>0.2545</v>
      </c>
      <c r="AT274" t="s">
        <v>249</v>
      </c>
      <c r="AU274">
        <v>1358000</v>
      </c>
      <c r="AV274">
        <v>665999.99999999988</v>
      </c>
      <c r="AW274">
        <v>2623884.8664238011</v>
      </c>
      <c r="AX274">
        <v>599884.86642380117</v>
      </c>
      <c r="AY274">
        <v>599884.86642380117</v>
      </c>
      <c r="AZ274">
        <v>28142000</v>
      </c>
      <c r="BA274">
        <v>2.1316355142626722E-2</v>
      </c>
    </row>
    <row r="275" spans="1:53" x14ac:dyDescent="0.25">
      <c r="A275" t="s">
        <v>321</v>
      </c>
      <c r="B275">
        <v>333</v>
      </c>
      <c r="C275">
        <v>48257</v>
      </c>
      <c r="D275">
        <v>116</v>
      </c>
      <c r="E275">
        <v>12484</v>
      </c>
      <c r="F275">
        <v>17277</v>
      </c>
      <c r="G275">
        <v>0</v>
      </c>
      <c r="H275">
        <v>-1925</v>
      </c>
      <c r="I275">
        <v>3</v>
      </c>
      <c r="J275">
        <v>4</v>
      </c>
      <c r="K275">
        <v>8873</v>
      </c>
      <c r="L275">
        <v>190</v>
      </c>
      <c r="M275">
        <v>2212</v>
      </c>
      <c r="N275">
        <v>9629</v>
      </c>
      <c r="O275">
        <v>25865</v>
      </c>
      <c r="P275">
        <v>5433</v>
      </c>
      <c r="Q275">
        <v>58681</v>
      </c>
      <c r="R275">
        <v>16</v>
      </c>
      <c r="S275">
        <v>0</v>
      </c>
      <c r="T275">
        <v>4184</v>
      </c>
      <c r="U275">
        <v>3274</v>
      </c>
      <c r="V275">
        <v>0</v>
      </c>
      <c r="W275">
        <v>46691</v>
      </c>
      <c r="X275">
        <v>-4064</v>
      </c>
      <c r="Y275">
        <v>21670</v>
      </c>
      <c r="Z275">
        <v>2115564.5817321474</v>
      </c>
      <c r="AA275">
        <v>1813341.0700561265</v>
      </c>
      <c r="AB275">
        <v>49093</v>
      </c>
      <c r="AC275">
        <v>-503</v>
      </c>
      <c r="AD275" t="s">
        <v>321</v>
      </c>
      <c r="AE275" s="232">
        <f t="shared" si="41"/>
        <v>0</v>
      </c>
      <c r="AF275" s="232">
        <f t="shared" si="42"/>
        <v>0.33166991497290699</v>
      </c>
      <c r="AG275" s="232">
        <f t="shared" si="43"/>
        <v>0.63740335396543235</v>
      </c>
      <c r="AH275" s="232">
        <f t="shared" si="44"/>
        <v>-4.1164250069606563E-2</v>
      </c>
      <c r="AI275" s="232">
        <f t="shared" si="45"/>
        <v>0.43697329249748346</v>
      </c>
      <c r="AJ275" s="232">
        <f t="shared" si="46"/>
        <v>-8.7040328971322092E-2</v>
      </c>
      <c r="AK275" s="232">
        <f t="shared" si="47"/>
        <v>3.8837057892444508E-2</v>
      </c>
      <c r="AL275" s="232">
        <f t="shared" si="48"/>
        <v>-2.6932385256259236E-3</v>
      </c>
      <c r="AM275" s="232">
        <f t="shared" si="49"/>
        <v>0.32115994376776497</v>
      </c>
      <c r="AN275" s="232">
        <v>4.07E-2</v>
      </c>
      <c r="AO275" s="232">
        <f t="shared" si="40"/>
        <v>0.20350000000000001</v>
      </c>
      <c r="AT275" t="s">
        <v>201</v>
      </c>
      <c r="AU275">
        <v>3435000</v>
      </c>
      <c r="AV275">
        <v>3208000</v>
      </c>
      <c r="AW275">
        <v>10890026.552139441</v>
      </c>
      <c r="AX275">
        <v>4247026.5521394406</v>
      </c>
      <c r="AY275">
        <v>4247026.5521394406</v>
      </c>
      <c r="AZ275">
        <v>126963000</v>
      </c>
      <c r="BA275">
        <v>3.3450899491500992E-2</v>
      </c>
    </row>
    <row r="276" spans="1:53" x14ac:dyDescent="0.25">
      <c r="A276" t="s">
        <v>450</v>
      </c>
      <c r="B276">
        <v>0</v>
      </c>
      <c r="C276">
        <v>43628</v>
      </c>
      <c r="D276">
        <v>151</v>
      </c>
      <c r="E276">
        <v>0</v>
      </c>
      <c r="F276">
        <v>1971</v>
      </c>
      <c r="G276">
        <v>0</v>
      </c>
      <c r="H276">
        <v>1810</v>
      </c>
      <c r="I276">
        <v>45</v>
      </c>
      <c r="J276">
        <v>0</v>
      </c>
      <c r="K276">
        <v>0</v>
      </c>
      <c r="L276">
        <v>14637</v>
      </c>
      <c r="M276">
        <v>11923</v>
      </c>
      <c r="N276">
        <v>130</v>
      </c>
      <c r="O276">
        <v>41261</v>
      </c>
      <c r="P276">
        <v>20164</v>
      </c>
      <c r="Q276">
        <v>0</v>
      </c>
      <c r="R276">
        <v>2</v>
      </c>
      <c r="S276">
        <v>0</v>
      </c>
      <c r="T276">
        <v>6693</v>
      </c>
      <c r="U276">
        <v>6175</v>
      </c>
      <c r="V276">
        <v>-1</v>
      </c>
      <c r="W276">
        <v>57701</v>
      </c>
      <c r="X276">
        <v>338</v>
      </c>
      <c r="Y276">
        <v>24781</v>
      </c>
      <c r="Z276">
        <v>2287032.076386705</v>
      </c>
      <c r="AA276">
        <v>1960313.2083314615</v>
      </c>
      <c r="AB276">
        <v>43737</v>
      </c>
      <c r="AC276">
        <v>-109</v>
      </c>
      <c r="AD276" t="s">
        <v>450</v>
      </c>
      <c r="AE276" s="232">
        <f t="shared" si="41"/>
        <v>0</v>
      </c>
      <c r="AF276" s="232">
        <f t="shared" si="42"/>
        <v>-0.27366943380530667</v>
      </c>
      <c r="AG276" s="232">
        <f t="shared" si="43"/>
        <v>3.4158853399421152E-2</v>
      </c>
      <c r="AH276" s="232">
        <f t="shared" si="44"/>
        <v>3.2148489627562782E-2</v>
      </c>
      <c r="AI276" s="232">
        <f t="shared" si="45"/>
        <v>-0.29207431413667007</v>
      </c>
      <c r="AJ276" s="232">
        <f t="shared" si="46"/>
        <v>5.8577840938631911E-3</v>
      </c>
      <c r="AK276" s="232">
        <f t="shared" si="47"/>
        <v>3.3973643582112294E-2</v>
      </c>
      <c r="AL276" s="232">
        <f t="shared" si="48"/>
        <v>-4.7226217916500579E-4</v>
      </c>
      <c r="AM276" s="232">
        <f t="shared" si="49"/>
        <v>0.82677165354330706</v>
      </c>
      <c r="AN276" s="232">
        <v>4.3200000000000002E-2</v>
      </c>
      <c r="AO276" s="232">
        <f t="shared" si="40"/>
        <v>0.21600000000000003</v>
      </c>
      <c r="AT276" t="s">
        <v>372</v>
      </c>
      <c r="AU276">
        <v>5458000.0000000009</v>
      </c>
      <c r="AV276">
        <v>7016000.0000000009</v>
      </c>
      <c r="AW276">
        <v>17687018.224574447</v>
      </c>
      <c r="AX276">
        <v>5213018.2245744457</v>
      </c>
      <c r="AY276">
        <v>5213018.2245744457</v>
      </c>
      <c r="AZ276">
        <v>165724000</v>
      </c>
      <c r="BA276">
        <v>3.1456024622712735E-2</v>
      </c>
    </row>
    <row r="277" spans="1:53" x14ac:dyDescent="0.25">
      <c r="A277" t="s">
        <v>203</v>
      </c>
      <c r="B277">
        <v>0</v>
      </c>
      <c r="C277">
        <v>93360</v>
      </c>
      <c r="D277">
        <v>1246</v>
      </c>
      <c r="E277">
        <v>12765</v>
      </c>
      <c r="F277">
        <v>2541</v>
      </c>
      <c r="G277">
        <v>-7</v>
      </c>
      <c r="H277">
        <v>22163</v>
      </c>
      <c r="I277">
        <v>0</v>
      </c>
      <c r="J277">
        <v>0</v>
      </c>
      <c r="K277">
        <v>0</v>
      </c>
      <c r="L277">
        <v>58</v>
      </c>
      <c r="M277">
        <v>9054</v>
      </c>
      <c r="N277">
        <v>2773</v>
      </c>
      <c r="O277">
        <v>55423</v>
      </c>
      <c r="P277">
        <v>7352</v>
      </c>
      <c r="Q277">
        <v>61682</v>
      </c>
      <c r="R277">
        <v>66</v>
      </c>
      <c r="S277">
        <v>5833</v>
      </c>
      <c r="T277">
        <v>7402</v>
      </c>
      <c r="U277">
        <v>6195</v>
      </c>
      <c r="V277">
        <v>0</v>
      </c>
      <c r="W277">
        <v>120035</v>
      </c>
      <c r="X277">
        <v>391</v>
      </c>
      <c r="Y277">
        <v>43768</v>
      </c>
      <c r="Z277">
        <v>5333897.1911701579</v>
      </c>
      <c r="AA277">
        <v>4571911.8781458493</v>
      </c>
      <c r="AB277">
        <v>92244</v>
      </c>
      <c r="AC277">
        <v>1116</v>
      </c>
      <c r="AD277" t="s">
        <v>203</v>
      </c>
      <c r="AE277" s="232">
        <f t="shared" si="41"/>
        <v>4.0520169777635756E-2</v>
      </c>
      <c r="AF277" s="232">
        <f t="shared" si="42"/>
        <v>0.44981880284916897</v>
      </c>
      <c r="AG277" s="232">
        <f t="shared" si="43"/>
        <v>0.12751280876411047</v>
      </c>
      <c r="AH277" s="232">
        <f t="shared" si="44"/>
        <v>0.18463781397092516</v>
      </c>
      <c r="AI277" s="232">
        <f t="shared" si="45"/>
        <v>0.33587387012121461</v>
      </c>
      <c r="AJ277" s="232">
        <f t="shared" si="46"/>
        <v>3.2573832632148956E-3</v>
      </c>
      <c r="AK277" s="232">
        <f t="shared" si="47"/>
        <v>3.8088156605538798E-2</v>
      </c>
      <c r="AL277" s="232">
        <f t="shared" si="48"/>
        <v>2.3243220727287876E-3</v>
      </c>
      <c r="AM277" s="232">
        <f t="shared" si="49"/>
        <v>0.4360798316117066</v>
      </c>
      <c r="AN277" s="232">
        <v>4.3299999999999998E-2</v>
      </c>
      <c r="AO277" s="232">
        <f t="shared" si="40"/>
        <v>0.2165</v>
      </c>
      <c r="AT277" t="s">
        <v>482</v>
      </c>
      <c r="AU277">
        <v>2321000</v>
      </c>
      <c r="AV277">
        <v>836000</v>
      </c>
      <c r="AW277">
        <v>5535774.7682104371</v>
      </c>
      <c r="AX277">
        <v>2378774.7682104371</v>
      </c>
      <c r="AY277">
        <v>2378774.7682104371</v>
      </c>
      <c r="AZ277">
        <v>57320000</v>
      </c>
      <c r="BA277">
        <v>4.1499908726630098E-2</v>
      </c>
    </row>
    <row r="278" spans="1:53" x14ac:dyDescent="0.25">
      <c r="A278" t="s">
        <v>487</v>
      </c>
      <c r="B278">
        <v>3675</v>
      </c>
      <c r="C278">
        <v>75407</v>
      </c>
      <c r="D278">
        <v>502</v>
      </c>
      <c r="E278">
        <v>6512</v>
      </c>
      <c r="F278">
        <v>632</v>
      </c>
      <c r="G278">
        <v>0</v>
      </c>
      <c r="H278">
        <v>44</v>
      </c>
      <c r="I278">
        <v>2</v>
      </c>
      <c r="J278">
        <v>0</v>
      </c>
      <c r="K278">
        <v>0</v>
      </c>
      <c r="L278">
        <v>15</v>
      </c>
      <c r="M278">
        <v>5443</v>
      </c>
      <c r="N278">
        <v>887</v>
      </c>
      <c r="O278">
        <v>33101</v>
      </c>
      <c r="P278">
        <v>4741</v>
      </c>
      <c r="Q278">
        <v>40694</v>
      </c>
      <c r="R278">
        <v>70</v>
      </c>
      <c r="S278">
        <v>5805</v>
      </c>
      <c r="T278">
        <v>4664</v>
      </c>
      <c r="U278">
        <v>4044</v>
      </c>
      <c r="V278">
        <v>-631</v>
      </c>
      <c r="W278">
        <v>58478</v>
      </c>
      <c r="X278">
        <v>566</v>
      </c>
      <c r="Y278">
        <v>24987</v>
      </c>
      <c r="Z278">
        <v>714974.5791082764</v>
      </c>
      <c r="AA278">
        <v>612835.35352137988</v>
      </c>
      <c r="AB278">
        <v>59168</v>
      </c>
      <c r="AC278">
        <v>19914</v>
      </c>
      <c r="AD278" t="s">
        <v>487</v>
      </c>
      <c r="AE278" s="232">
        <f t="shared" si="41"/>
        <v>6.2339586980100732E-2</v>
      </c>
      <c r="AF278" s="232">
        <f t="shared" si="42"/>
        <v>0.71459352235028561</v>
      </c>
      <c r="AG278" s="232">
        <f t="shared" si="43"/>
        <v>0.12216560073873936</v>
      </c>
      <c r="AH278" s="232">
        <f t="shared" si="44"/>
        <v>7.8662060945996787E-4</v>
      </c>
      <c r="AI278" s="232">
        <f t="shared" si="45"/>
        <v>0.72870276001231238</v>
      </c>
      <c r="AJ278" s="232">
        <f t="shared" si="46"/>
        <v>9.6788535859639521E-3</v>
      </c>
      <c r="AK278" s="232">
        <f t="shared" si="47"/>
        <v>1.0479759114904407E-2</v>
      </c>
      <c r="AL278" s="232">
        <f t="shared" si="48"/>
        <v>8.5134580526009779E-2</v>
      </c>
      <c r="AM278" s="232">
        <f t="shared" si="49"/>
        <v>0.40638323006046029</v>
      </c>
      <c r="AN278" s="232">
        <v>4.2099999999999999E-2</v>
      </c>
      <c r="AO278" s="232">
        <f t="shared" si="40"/>
        <v>0.21049999999999999</v>
      </c>
      <c r="AT278" t="s">
        <v>483</v>
      </c>
      <c r="AU278">
        <v>7355000</v>
      </c>
      <c r="AV278">
        <v>6429000</v>
      </c>
      <c r="AW278">
        <v>19556960.202813201</v>
      </c>
      <c r="AX278">
        <v>5772960.2028132007</v>
      </c>
      <c r="AY278">
        <v>5772960.2028132007</v>
      </c>
      <c r="AZ278">
        <v>178164000</v>
      </c>
      <c r="BA278">
        <v>3.2402506695029303E-2</v>
      </c>
    </row>
    <row r="279" spans="1:53" x14ac:dyDescent="0.25">
      <c r="A279" t="s">
        <v>278</v>
      </c>
      <c r="B279">
        <v>28</v>
      </c>
      <c r="C279">
        <v>148034</v>
      </c>
      <c r="D279">
        <v>127</v>
      </c>
      <c r="E279">
        <v>2320</v>
      </c>
      <c r="F279">
        <v>1514</v>
      </c>
      <c r="G279">
        <v>0</v>
      </c>
      <c r="H279">
        <v>-123</v>
      </c>
      <c r="I279">
        <v>0</v>
      </c>
      <c r="J279">
        <v>0</v>
      </c>
      <c r="K279">
        <v>2330</v>
      </c>
      <c r="L279">
        <v>782</v>
      </c>
      <c r="M279">
        <v>14224</v>
      </c>
      <c r="N279">
        <v>2496</v>
      </c>
      <c r="O279">
        <v>42704</v>
      </c>
      <c r="P279">
        <v>25827</v>
      </c>
      <c r="Q279">
        <v>64871</v>
      </c>
      <c r="R279">
        <v>74</v>
      </c>
      <c r="S279">
        <v>20000</v>
      </c>
      <c r="T279">
        <v>13305</v>
      </c>
      <c r="U279">
        <v>4951</v>
      </c>
      <c r="V279">
        <v>0</v>
      </c>
      <c r="W279">
        <v>126746</v>
      </c>
      <c r="X279">
        <v>-2235</v>
      </c>
      <c r="Y279">
        <v>64513</v>
      </c>
      <c r="Z279">
        <v>7529194.7274574675</v>
      </c>
      <c r="AA279">
        <v>6453595.4806778291</v>
      </c>
      <c r="AB279">
        <v>138258</v>
      </c>
      <c r="AC279">
        <v>9804</v>
      </c>
      <c r="AD279" t="s">
        <v>278</v>
      </c>
      <c r="AE279" s="232">
        <f t="shared" si="41"/>
        <v>0.11646053152586588</v>
      </c>
      <c r="AF279" s="232">
        <f t="shared" si="42"/>
        <v>0.62751487226421343</v>
      </c>
      <c r="AG279" s="232">
        <f t="shared" si="43"/>
        <v>3.0249475328609977E-2</v>
      </c>
      <c r="AH279" s="232">
        <f t="shared" si="44"/>
        <v>-9.7044482666119641E-4</v>
      </c>
      <c r="AI279" s="232">
        <f t="shared" si="45"/>
        <v>0.63182412068230942</v>
      </c>
      <c r="AJ279" s="232">
        <f t="shared" si="46"/>
        <v>-1.7633692582014422E-2</v>
      </c>
      <c r="AK279" s="232">
        <f t="shared" si="47"/>
        <v>5.0917547541364849E-2</v>
      </c>
      <c r="AL279" s="232">
        <f t="shared" si="48"/>
        <v>1.9337888375175548E-2</v>
      </c>
      <c r="AM279" s="232">
        <f t="shared" si="49"/>
        <v>0.39905783429995573</v>
      </c>
      <c r="AN279" s="232">
        <v>3.9E-2</v>
      </c>
      <c r="AO279" s="232">
        <f t="shared" si="40"/>
        <v>0.19500000000000001</v>
      </c>
      <c r="AT279" t="s">
        <v>445</v>
      </c>
      <c r="AU279">
        <v>7641000</v>
      </c>
      <c r="AV279">
        <v>5083000</v>
      </c>
      <c r="AW279">
        <v>23258176.023906369</v>
      </c>
      <c r="AX279">
        <v>10534176.023906369</v>
      </c>
      <c r="AY279">
        <v>10534176.023906369</v>
      </c>
      <c r="AZ279">
        <v>238535000</v>
      </c>
      <c r="BA279">
        <v>4.4161972137868107E-2</v>
      </c>
    </row>
    <row r="280" spans="1:53" x14ac:dyDescent="0.25">
      <c r="A280" t="s">
        <v>508</v>
      </c>
      <c r="B280">
        <v>1154</v>
      </c>
      <c r="C280">
        <v>210838</v>
      </c>
      <c r="D280">
        <v>1415</v>
      </c>
      <c r="E280">
        <v>30184</v>
      </c>
      <c r="F280">
        <v>5287</v>
      </c>
      <c r="G280">
        <v>0</v>
      </c>
      <c r="H280">
        <v>8099</v>
      </c>
      <c r="I280">
        <v>22</v>
      </c>
      <c r="J280">
        <v>0</v>
      </c>
      <c r="K280">
        <v>3334</v>
      </c>
      <c r="L280">
        <v>6292</v>
      </c>
      <c r="M280">
        <v>21906</v>
      </c>
      <c r="N280">
        <v>11500</v>
      </c>
      <c r="O280">
        <v>54392</v>
      </c>
      <c r="P280">
        <v>26379</v>
      </c>
      <c r="Q280">
        <v>164751</v>
      </c>
      <c r="R280">
        <v>0</v>
      </c>
      <c r="S280">
        <v>19943</v>
      </c>
      <c r="T280">
        <v>12657</v>
      </c>
      <c r="U280">
        <v>21909</v>
      </c>
      <c r="V280">
        <v>0</v>
      </c>
      <c r="W280">
        <v>253002</v>
      </c>
      <c r="X280">
        <v>-8062</v>
      </c>
      <c r="Y280">
        <v>89477</v>
      </c>
      <c r="Z280">
        <v>4318295.9304584339</v>
      </c>
      <c r="AA280">
        <v>3701396.5118215149</v>
      </c>
      <c r="AB280" s="154">
        <v>247168.13346580334</v>
      </c>
      <c r="AC280" s="154">
        <v>-35176.133465803345</v>
      </c>
      <c r="AD280" t="s">
        <v>508</v>
      </c>
      <c r="AE280" s="232">
        <f t="shared" si="41"/>
        <v>6.6469798120860846E-2</v>
      </c>
      <c r="AF280" s="232">
        <f t="shared" si="42"/>
        <v>0.5563473806531174</v>
      </c>
      <c r="AG280" s="232">
        <f t="shared" si="43"/>
        <v>0.14020047272353578</v>
      </c>
      <c r="AH280" s="232">
        <f t="shared" si="44"/>
        <v>3.2098560485687863E-2</v>
      </c>
      <c r="AI280" s="232">
        <f t="shared" si="45"/>
        <v>0.55070244503996024</v>
      </c>
      <c r="AJ280" s="232">
        <f t="shared" si="46"/>
        <v>-3.1865360748136382E-2</v>
      </c>
      <c r="AK280" s="232">
        <f t="shared" si="47"/>
        <v>1.4629910086961823E-2</v>
      </c>
      <c r="AL280" s="232">
        <f t="shared" si="48"/>
        <v>-3.475875039110693E-2</v>
      </c>
      <c r="AM280" s="232">
        <f t="shared" si="49"/>
        <v>0.26920884841899673</v>
      </c>
      <c r="AN280" s="232">
        <v>3.56E-2</v>
      </c>
      <c r="AO280" s="232">
        <f t="shared" si="40"/>
        <v>0.17799999999999999</v>
      </c>
      <c r="AT280" t="s">
        <v>373</v>
      </c>
      <c r="AU280">
        <v>58875000.000000007</v>
      </c>
      <c r="AV280">
        <v>179509000</v>
      </c>
      <c r="AW280">
        <v>242799190.65413165</v>
      </c>
      <c r="AX280">
        <v>4415190.6541316509</v>
      </c>
      <c r="AY280">
        <v>4415190.6541316509</v>
      </c>
      <c r="AZ280">
        <v>3477790000</v>
      </c>
      <c r="BA280">
        <v>1.2695391769289265E-3</v>
      </c>
    </row>
    <row r="281" spans="1:53" x14ac:dyDescent="0.25">
      <c r="A281" t="s">
        <v>398</v>
      </c>
      <c r="B281">
        <v>1580</v>
      </c>
      <c r="C281">
        <v>198059</v>
      </c>
      <c r="D281">
        <v>0</v>
      </c>
      <c r="E281">
        <v>0</v>
      </c>
      <c r="F281">
        <v>964</v>
      </c>
      <c r="G281">
        <v>0</v>
      </c>
      <c r="H281">
        <v>10631</v>
      </c>
      <c r="I281">
        <v>0</v>
      </c>
      <c r="J281">
        <v>0</v>
      </c>
      <c r="K281">
        <v>7843</v>
      </c>
      <c r="L281">
        <v>216</v>
      </c>
      <c r="M281">
        <v>5725</v>
      </c>
      <c r="N281">
        <v>5614</v>
      </c>
      <c r="O281">
        <v>44030</v>
      </c>
      <c r="P281">
        <v>6888</v>
      </c>
      <c r="Q281">
        <v>164189</v>
      </c>
      <c r="R281">
        <v>0</v>
      </c>
      <c r="S281">
        <v>0</v>
      </c>
      <c r="T281">
        <v>8113</v>
      </c>
      <c r="U281">
        <v>7412</v>
      </c>
      <c r="V281">
        <v>0</v>
      </c>
      <c r="W281">
        <v>153832</v>
      </c>
      <c r="X281">
        <v>6118</v>
      </c>
      <c r="Y281">
        <v>54440</v>
      </c>
      <c r="Z281">
        <v>1844661.1979419217</v>
      </c>
      <c r="AA281">
        <v>1581138.1696645042</v>
      </c>
      <c r="AB281">
        <v>203523</v>
      </c>
      <c r="AC281">
        <v>-3884</v>
      </c>
      <c r="AD281" t="s">
        <v>398</v>
      </c>
      <c r="AE281" s="232">
        <f t="shared" si="41"/>
        <v>0</v>
      </c>
      <c r="AF281" s="232">
        <f t="shared" si="42"/>
        <v>1.0358833012637163</v>
      </c>
      <c r="AG281" s="232">
        <f t="shared" si="43"/>
        <v>6.266576525040304E-3</v>
      </c>
      <c r="AH281" s="232">
        <f t="shared" si="44"/>
        <v>6.9107857922928909E-2</v>
      </c>
      <c r="AI281" s="232">
        <f t="shared" si="45"/>
        <v>0.98825978990067087</v>
      </c>
      <c r="AJ281" s="232">
        <f t="shared" si="46"/>
        <v>3.9770658900618858E-2</v>
      </c>
      <c r="AK281" s="232">
        <f t="shared" si="47"/>
        <v>1.0278343710440637E-2</v>
      </c>
      <c r="AL281" s="232">
        <f t="shared" si="48"/>
        <v>-6.312080711425451E-3</v>
      </c>
      <c r="AM281" s="232">
        <f t="shared" si="49"/>
        <v>0.22077595476776857</v>
      </c>
      <c r="AN281" s="232">
        <v>1.35E-2</v>
      </c>
      <c r="AO281" s="232">
        <f t="shared" si="40"/>
        <v>6.7500000000000004E-2</v>
      </c>
      <c r="AT281" t="s">
        <v>250</v>
      </c>
      <c r="AU281">
        <v>315000.00000000006</v>
      </c>
      <c r="AV281">
        <v>59000</v>
      </c>
      <c r="AW281">
        <v>768209.81118126621</v>
      </c>
      <c r="AX281">
        <v>394209.81118126615</v>
      </c>
      <c r="AY281">
        <v>394209.81118126615</v>
      </c>
      <c r="AZ281">
        <v>6670000</v>
      </c>
      <c r="BA281">
        <v>5.9101920716831506E-2</v>
      </c>
    </row>
    <row r="282" spans="1:53" x14ac:dyDescent="0.25">
      <c r="A282" t="s">
        <v>181</v>
      </c>
      <c r="B282">
        <v>97</v>
      </c>
      <c r="C282">
        <v>23228</v>
      </c>
      <c r="D282">
        <v>71</v>
      </c>
      <c r="E282">
        <v>297</v>
      </c>
      <c r="F282">
        <v>135</v>
      </c>
      <c r="G282">
        <v>0</v>
      </c>
      <c r="H282">
        <v>1209</v>
      </c>
      <c r="I282">
        <v>5</v>
      </c>
      <c r="J282">
        <v>0</v>
      </c>
      <c r="K282">
        <v>0</v>
      </c>
      <c r="L282">
        <v>604</v>
      </c>
      <c r="M282">
        <v>2197</v>
      </c>
      <c r="N282">
        <v>2574</v>
      </c>
      <c r="O282">
        <v>8860</v>
      </c>
      <c r="P282">
        <v>3786</v>
      </c>
      <c r="Q282">
        <v>10454</v>
      </c>
      <c r="R282">
        <v>0</v>
      </c>
      <c r="S282">
        <v>4417</v>
      </c>
      <c r="T282">
        <v>1192</v>
      </c>
      <c r="U282">
        <v>1708</v>
      </c>
      <c r="V282">
        <v>0</v>
      </c>
      <c r="W282">
        <v>19953</v>
      </c>
      <c r="X282">
        <v>-421</v>
      </c>
      <c r="Y282">
        <v>4906</v>
      </c>
      <c r="Z282">
        <v>1484086.8569310601</v>
      </c>
      <c r="AA282">
        <v>1272074.4487980516</v>
      </c>
      <c r="AB282">
        <v>17704</v>
      </c>
      <c r="AC282">
        <v>5621</v>
      </c>
      <c r="AD282" t="s">
        <v>181</v>
      </c>
      <c r="AE282" s="232">
        <f t="shared" si="41"/>
        <v>0.14521484696058126</v>
      </c>
      <c r="AF282" s="232">
        <f t="shared" si="42"/>
        <v>0.59960908134115176</v>
      </c>
      <c r="AG282" s="232">
        <f t="shared" si="43"/>
        <v>2.165087956698241E-2</v>
      </c>
      <c r="AH282" s="232">
        <f t="shared" si="44"/>
        <v>6.0842981005362604E-2</v>
      </c>
      <c r="AI282" s="232">
        <f t="shared" si="45"/>
        <v>0.55961710018543576</v>
      </c>
      <c r="AJ282" s="232">
        <f t="shared" si="46"/>
        <v>-2.1099584022452763E-2</v>
      </c>
      <c r="AK282" s="232">
        <f t="shared" si="47"/>
        <v>6.3753543266579032E-2</v>
      </c>
      <c r="AL282" s="232">
        <f t="shared" si="48"/>
        <v>7.0428005813662112E-2</v>
      </c>
      <c r="AM282" s="232">
        <f t="shared" si="49"/>
        <v>0.41575434789755727</v>
      </c>
      <c r="AN282" s="232">
        <v>1.77E-2</v>
      </c>
      <c r="AO282" s="232">
        <f t="shared" si="40"/>
        <v>8.8499999999999995E-2</v>
      </c>
      <c r="AT282" t="s">
        <v>446</v>
      </c>
      <c r="AU282">
        <v>2605000</v>
      </c>
      <c r="AV282">
        <v>1097000</v>
      </c>
      <c r="AW282">
        <v>6933102.5210925993</v>
      </c>
      <c r="AX282">
        <v>3231102.5210925993</v>
      </c>
      <c r="AY282">
        <v>3231102.5210925993</v>
      </c>
      <c r="AZ282">
        <v>51348000</v>
      </c>
      <c r="BA282">
        <v>6.2925576869451577E-2</v>
      </c>
    </row>
    <row r="283" spans="1:53" x14ac:dyDescent="0.25">
      <c r="A283" t="s">
        <v>322</v>
      </c>
      <c r="B283">
        <v>356</v>
      </c>
      <c r="C283">
        <v>46293</v>
      </c>
      <c r="D283">
        <v>2397</v>
      </c>
      <c r="E283">
        <v>6450</v>
      </c>
      <c r="F283">
        <v>754</v>
      </c>
      <c r="G283">
        <v>0</v>
      </c>
      <c r="H283">
        <v>1651</v>
      </c>
      <c r="I283">
        <v>197</v>
      </c>
      <c r="J283">
        <v>0</v>
      </c>
      <c r="K283">
        <v>0</v>
      </c>
      <c r="L283">
        <v>900</v>
      </c>
      <c r="M283">
        <v>8211</v>
      </c>
      <c r="N283">
        <v>5081</v>
      </c>
      <c r="O283">
        <v>21020</v>
      </c>
      <c r="P283">
        <v>11555</v>
      </c>
      <c r="Q283">
        <v>30536</v>
      </c>
      <c r="R283">
        <v>0</v>
      </c>
      <c r="S283">
        <v>900</v>
      </c>
      <c r="T283">
        <v>3329</v>
      </c>
      <c r="U283">
        <v>4950</v>
      </c>
      <c r="V283">
        <v>0</v>
      </c>
      <c r="W283">
        <v>61822</v>
      </c>
      <c r="X283">
        <v>1255</v>
      </c>
      <c r="Y283">
        <v>13584</v>
      </c>
      <c r="Z283">
        <v>6026540.6095519615</v>
      </c>
      <c r="AA283">
        <v>5165606.2367588235</v>
      </c>
      <c r="AB283">
        <v>40558</v>
      </c>
      <c r="AC283">
        <v>6091</v>
      </c>
      <c r="AD283" t="s">
        <v>322</v>
      </c>
      <c r="AE283" s="232">
        <f t="shared" si="41"/>
        <v>1.2449854751694564E-2</v>
      </c>
      <c r="AF283" s="232">
        <f t="shared" si="42"/>
        <v>0.29631846268318723</v>
      </c>
      <c r="AG283" s="232">
        <f t="shared" si="43"/>
        <v>0.11652809679402154</v>
      </c>
      <c r="AH283" s="232">
        <f t="shared" si="44"/>
        <v>2.9892271359710135E-2</v>
      </c>
      <c r="AI283" s="232">
        <f t="shared" si="45"/>
        <v>0.28937724434667272</v>
      </c>
      <c r="AJ283" s="232">
        <f t="shared" si="46"/>
        <v>2.0300216751318302E-2</v>
      </c>
      <c r="AK283" s="232">
        <f t="shared" si="47"/>
        <v>8.3556116540371123E-2</v>
      </c>
      <c r="AL283" s="232">
        <f t="shared" si="48"/>
        <v>2.463119924945812E-2</v>
      </c>
      <c r="AM283" s="232">
        <f t="shared" si="49"/>
        <v>0.45061557615161157</v>
      </c>
      <c r="AN283" s="232">
        <v>1.7899999999999999E-2</v>
      </c>
      <c r="AO283" s="232">
        <f t="shared" si="40"/>
        <v>8.9499999999999996E-2</v>
      </c>
      <c r="AT283" t="s">
        <v>320</v>
      </c>
      <c r="AU283">
        <v>6597000</v>
      </c>
      <c r="AV283">
        <v>3578000</v>
      </c>
      <c r="AW283">
        <v>14870849.99735022</v>
      </c>
      <c r="AX283">
        <v>4695849.9973502196</v>
      </c>
      <c r="AY283">
        <v>4695849.9973502196</v>
      </c>
      <c r="AZ283">
        <v>111751000</v>
      </c>
      <c r="BA283">
        <v>4.2020653035321563E-2</v>
      </c>
    </row>
    <row r="284" spans="1:53" x14ac:dyDescent="0.25">
      <c r="A284" t="s">
        <v>377</v>
      </c>
      <c r="B284">
        <v>177</v>
      </c>
      <c r="C284">
        <v>79251</v>
      </c>
      <c r="D284">
        <v>277</v>
      </c>
      <c r="E284">
        <v>29378</v>
      </c>
      <c r="F284">
        <v>6269</v>
      </c>
      <c r="G284">
        <v>0</v>
      </c>
      <c r="H284">
        <v>-1393</v>
      </c>
      <c r="I284">
        <v>0</v>
      </c>
      <c r="J284">
        <v>0</v>
      </c>
      <c r="K284">
        <v>1768</v>
      </c>
      <c r="L284">
        <v>1089</v>
      </c>
      <c r="M284">
        <v>21836</v>
      </c>
      <c r="N284">
        <v>90</v>
      </c>
      <c r="O284">
        <v>91929</v>
      </c>
      <c r="P284">
        <v>10383</v>
      </c>
      <c r="Q284">
        <v>18374</v>
      </c>
      <c r="R284">
        <v>42</v>
      </c>
      <c r="S284">
        <v>7000</v>
      </c>
      <c r="T284">
        <v>7930</v>
      </c>
      <c r="U284">
        <v>3084</v>
      </c>
      <c r="V284">
        <v>2</v>
      </c>
      <c r="W284">
        <v>75879</v>
      </c>
      <c r="X284">
        <v>2325</v>
      </c>
      <c r="Y284">
        <v>36584</v>
      </c>
      <c r="Z284">
        <v>7548626.3632053118</v>
      </c>
      <c r="AA284">
        <v>6470251.1684616953</v>
      </c>
      <c r="AB284">
        <v>66768</v>
      </c>
      <c r="AC284">
        <v>12660</v>
      </c>
      <c r="AD284" t="s">
        <v>377</v>
      </c>
      <c r="AE284" s="232">
        <f t="shared" si="41"/>
        <v>5.0453359472978625E-2</v>
      </c>
      <c r="AF284" s="232">
        <f t="shared" si="42"/>
        <v>-0.31629304550666193</v>
      </c>
      <c r="AG284" s="232">
        <f t="shared" si="43"/>
        <v>0.46978742471566576</v>
      </c>
      <c r="AH284" s="232">
        <f t="shared" si="44"/>
        <v>-1.8358175516282504E-2</v>
      </c>
      <c r="AI284" s="232">
        <f t="shared" si="45"/>
        <v>-0.24706783167938431</v>
      </c>
      <c r="AJ284" s="232">
        <f t="shared" si="46"/>
        <v>3.0640888783457873E-2</v>
      </c>
      <c r="AK284" s="232">
        <f t="shared" si="47"/>
        <v>8.5270643636074478E-2</v>
      </c>
      <c r="AL284" s="232">
        <f t="shared" si="48"/>
        <v>4.1711145376191042E-2</v>
      </c>
      <c r="AM284" s="232">
        <f t="shared" si="49"/>
        <v>0.7374263020570555</v>
      </c>
      <c r="AN284" s="232">
        <v>3.7900000000000003E-2</v>
      </c>
      <c r="AO284" s="232">
        <f t="shared" si="40"/>
        <v>0.1895</v>
      </c>
      <c r="AT284" t="s">
        <v>251</v>
      </c>
      <c r="AU284">
        <v>1177999.9999999998</v>
      </c>
      <c r="AV284">
        <v>545000.00000000012</v>
      </c>
      <c r="AW284">
        <v>2940828.0627652956</v>
      </c>
      <c r="AX284">
        <v>1217828.0627652956</v>
      </c>
      <c r="AY284">
        <v>1217828.0627652956</v>
      </c>
      <c r="AZ284">
        <v>16809000</v>
      </c>
      <c r="BA284">
        <v>7.2450952630453661E-2</v>
      </c>
    </row>
    <row r="285" spans="1:53" x14ac:dyDescent="0.25">
      <c r="A285" t="s">
        <v>399</v>
      </c>
      <c r="B285">
        <v>3484</v>
      </c>
      <c r="C285">
        <v>42553</v>
      </c>
      <c r="D285">
        <v>287</v>
      </c>
      <c r="E285">
        <v>8847</v>
      </c>
      <c r="F285">
        <v>722</v>
      </c>
      <c r="G285">
        <v>0</v>
      </c>
      <c r="H285">
        <v>23266</v>
      </c>
      <c r="I285">
        <v>0</v>
      </c>
      <c r="J285">
        <v>0</v>
      </c>
      <c r="K285">
        <v>0</v>
      </c>
      <c r="L285">
        <v>2690</v>
      </c>
      <c r="M285">
        <v>4803</v>
      </c>
      <c r="N285">
        <v>2875</v>
      </c>
      <c r="O285">
        <v>14002</v>
      </c>
      <c r="P285">
        <v>4726</v>
      </c>
      <c r="Q285">
        <v>64251</v>
      </c>
      <c r="R285">
        <v>0</v>
      </c>
      <c r="S285">
        <v>0</v>
      </c>
      <c r="T285">
        <v>3453</v>
      </c>
      <c r="U285">
        <v>3095</v>
      </c>
      <c r="V285">
        <v>-1</v>
      </c>
      <c r="W285">
        <v>68527</v>
      </c>
      <c r="X285">
        <v>4275</v>
      </c>
      <c r="Y285">
        <v>25583</v>
      </c>
      <c r="Z285">
        <v>2364675.0389026487</v>
      </c>
      <c r="AA285">
        <v>2026864.3190594132</v>
      </c>
      <c r="AB285">
        <v>41915</v>
      </c>
      <c r="AC285">
        <v>4122</v>
      </c>
      <c r="AD285" t="s">
        <v>399</v>
      </c>
      <c r="AE285" s="232">
        <f t="shared" si="41"/>
        <v>0</v>
      </c>
      <c r="AF285" s="232">
        <f t="shared" si="42"/>
        <v>0.7422183956688605</v>
      </c>
      <c r="AG285" s="232">
        <f t="shared" si="43"/>
        <v>0.13963839070731246</v>
      </c>
      <c r="AH285" s="232">
        <f t="shared" si="44"/>
        <v>0.33951581128606245</v>
      </c>
      <c r="AI285" s="232">
        <f t="shared" si="45"/>
        <v>0.52131393465349429</v>
      </c>
      <c r="AJ285" s="232">
        <f t="shared" si="46"/>
        <v>6.2384169743312852E-2</v>
      </c>
      <c r="AK285" s="232">
        <f t="shared" si="47"/>
        <v>2.9577601807454189E-2</v>
      </c>
      <c r="AL285" s="232">
        <f t="shared" si="48"/>
        <v>1.5037868285493309E-2</v>
      </c>
      <c r="AM285" s="232">
        <f t="shared" si="49"/>
        <v>0.20918828956627611</v>
      </c>
      <c r="AN285" s="232">
        <v>2.87E-2</v>
      </c>
      <c r="AO285" s="232">
        <f t="shared" si="40"/>
        <v>0.14349999999999999</v>
      </c>
      <c r="AT285" t="s">
        <v>374</v>
      </c>
      <c r="AU285">
        <v>6885000</v>
      </c>
      <c r="AV285">
        <v>8494000</v>
      </c>
      <c r="AW285">
        <v>20000845.871433415</v>
      </c>
      <c r="AX285">
        <v>4621845.8714334145</v>
      </c>
      <c r="AY285">
        <v>4621845.8714334145</v>
      </c>
      <c r="AZ285">
        <v>280202000</v>
      </c>
      <c r="BA285">
        <v>1.649469265541793E-2</v>
      </c>
    </row>
    <row r="286" spans="1:53" x14ac:dyDescent="0.25">
      <c r="A286" t="s">
        <v>252</v>
      </c>
      <c r="B286">
        <v>1948</v>
      </c>
      <c r="C286">
        <v>129313</v>
      </c>
      <c r="D286">
        <v>43</v>
      </c>
      <c r="E286">
        <v>8832</v>
      </c>
      <c r="F286">
        <v>2474</v>
      </c>
      <c r="G286">
        <v>0</v>
      </c>
      <c r="H286">
        <v>8026</v>
      </c>
      <c r="I286">
        <v>11</v>
      </c>
      <c r="J286">
        <v>0</v>
      </c>
      <c r="K286">
        <v>4</v>
      </c>
      <c r="L286">
        <v>1455</v>
      </c>
      <c r="M286">
        <v>35026</v>
      </c>
      <c r="N286">
        <v>3742</v>
      </c>
      <c r="O286">
        <v>42655</v>
      </c>
      <c r="P286">
        <v>8950</v>
      </c>
      <c r="Q286">
        <v>109431</v>
      </c>
      <c r="R286">
        <v>50</v>
      </c>
      <c r="S286">
        <v>14000</v>
      </c>
      <c r="T286">
        <v>8890</v>
      </c>
      <c r="U286">
        <v>6898</v>
      </c>
      <c r="V286">
        <v>-2</v>
      </c>
      <c r="W286">
        <v>148454</v>
      </c>
      <c r="X286">
        <v>11047</v>
      </c>
      <c r="Y286">
        <v>41465</v>
      </c>
      <c r="Z286">
        <v>3877570.5411938746</v>
      </c>
      <c r="AA286">
        <v>3323631.8924518926</v>
      </c>
      <c r="AB286">
        <v>77187</v>
      </c>
      <c r="AC286">
        <v>54074</v>
      </c>
      <c r="AD286" t="s">
        <v>252</v>
      </c>
      <c r="AE286" s="232">
        <f t="shared" si="41"/>
        <v>7.3346815176503877E-2</v>
      </c>
      <c r="AF286" s="232">
        <f t="shared" si="42"/>
        <v>0.59099788486669269</v>
      </c>
      <c r="AG286" s="232">
        <f t="shared" si="43"/>
        <v>7.6158271249006426E-2</v>
      </c>
      <c r="AH286" s="232">
        <f t="shared" si="44"/>
        <v>5.4137982135880475E-2</v>
      </c>
      <c r="AI286" s="232">
        <f t="shared" si="45"/>
        <v>0.56224028992145714</v>
      </c>
      <c r="AJ286" s="232">
        <f t="shared" si="46"/>
        <v>7.4413623075161334E-2</v>
      </c>
      <c r="AK286" s="232">
        <f t="shared" si="47"/>
        <v>2.2388294639766479E-2</v>
      </c>
      <c r="AL286" s="232">
        <f t="shared" si="48"/>
        <v>9.1061877753378151E-2</v>
      </c>
      <c r="AM286" s="232">
        <f t="shared" si="49"/>
        <v>0.27036159979882018</v>
      </c>
      <c r="AN286" s="232">
        <v>1.7600000000000001E-2</v>
      </c>
      <c r="AO286" s="232">
        <f t="shared" si="40"/>
        <v>8.8000000000000009E-2</v>
      </c>
      <c r="AT286" t="s">
        <v>179</v>
      </c>
      <c r="AU286">
        <v>321999.99999999994</v>
      </c>
      <c r="AV286">
        <v>178999.99999999997</v>
      </c>
      <c r="AW286">
        <v>896044.35952694947</v>
      </c>
      <c r="AX286">
        <v>395044.35952694947</v>
      </c>
      <c r="AY286">
        <v>395044.35952694947</v>
      </c>
      <c r="AZ286">
        <v>6215000</v>
      </c>
      <c r="BA286">
        <v>6.3563050607715124E-2</v>
      </c>
    </row>
    <row r="287" spans="1:53" x14ac:dyDescent="0.25">
      <c r="A287" t="s">
        <v>451</v>
      </c>
      <c r="B287">
        <v>31463</v>
      </c>
      <c r="C287">
        <v>825106</v>
      </c>
      <c r="D287">
        <v>8963</v>
      </c>
      <c r="E287">
        <v>26712</v>
      </c>
      <c r="F287">
        <v>9210</v>
      </c>
      <c r="G287">
        <v>0</v>
      </c>
      <c r="H287">
        <v>62638</v>
      </c>
      <c r="I287">
        <v>486</v>
      </c>
      <c r="J287">
        <v>0</v>
      </c>
      <c r="K287">
        <v>1448</v>
      </c>
      <c r="L287">
        <v>180</v>
      </c>
      <c r="M287">
        <v>87345</v>
      </c>
      <c r="N287">
        <v>28485</v>
      </c>
      <c r="O287">
        <v>881261</v>
      </c>
      <c r="P287">
        <v>35785</v>
      </c>
      <c r="Q287">
        <v>73012</v>
      </c>
      <c r="R287">
        <v>3004</v>
      </c>
      <c r="S287">
        <v>0</v>
      </c>
      <c r="T287">
        <v>50467</v>
      </c>
      <c r="U287">
        <v>38507</v>
      </c>
      <c r="V287">
        <v>0</v>
      </c>
      <c r="W287">
        <v>768012</v>
      </c>
      <c r="X287">
        <v>-4095</v>
      </c>
      <c r="Y287">
        <v>215588</v>
      </c>
      <c r="Z287">
        <v>25247548.084671192</v>
      </c>
      <c r="AA287">
        <v>21640755.501146734</v>
      </c>
      <c r="AB287">
        <v>739518</v>
      </c>
      <c r="AC287">
        <v>117051</v>
      </c>
      <c r="AD287" t="s">
        <v>451</v>
      </c>
      <c r="AE287" s="232">
        <f t="shared" si="41"/>
        <v>0</v>
      </c>
      <c r="AF287" s="232">
        <f t="shared" si="42"/>
        <v>1.5116951297635975E-2</v>
      </c>
      <c r="AG287" s="232">
        <f t="shared" si="43"/>
        <v>4.6772706676458178E-2</v>
      </c>
      <c r="AH287" s="232">
        <f t="shared" si="44"/>
        <v>8.2191424092331891E-2</v>
      </c>
      <c r="AI287" s="232">
        <f t="shared" si="45"/>
        <v>-3.6804320765821366E-2</v>
      </c>
      <c r="AJ287" s="232">
        <f t="shared" si="46"/>
        <v>-5.3319479383134635E-3</v>
      </c>
      <c r="AK287" s="232">
        <f t="shared" si="47"/>
        <v>2.817762678336632E-2</v>
      </c>
      <c r="AL287" s="232">
        <f t="shared" si="48"/>
        <v>3.8101943719629383E-2</v>
      </c>
      <c r="AM287" s="232">
        <f t="shared" si="49"/>
        <v>0.84751893652336896</v>
      </c>
      <c r="AN287" s="232">
        <v>3.3799999999999997E-2</v>
      </c>
      <c r="AO287" s="232">
        <f t="shared" si="40"/>
        <v>0.16899999999999998</v>
      </c>
      <c r="AT287" t="s">
        <v>484</v>
      </c>
      <c r="AU287">
        <v>1766000</v>
      </c>
      <c r="AV287">
        <v>662000</v>
      </c>
      <c r="AW287">
        <v>3027616.8679535743</v>
      </c>
      <c r="AX287">
        <v>599616.86795357428</v>
      </c>
      <c r="AY287">
        <v>599616.86795357428</v>
      </c>
      <c r="AZ287">
        <v>30500000</v>
      </c>
      <c r="BA287">
        <v>1.9659569441100797E-2</v>
      </c>
    </row>
    <row r="288" spans="1:53" x14ac:dyDescent="0.25">
      <c r="A288" t="s">
        <v>204</v>
      </c>
      <c r="B288">
        <v>224</v>
      </c>
      <c r="C288">
        <v>27221</v>
      </c>
      <c r="D288">
        <v>696</v>
      </c>
      <c r="E288">
        <v>581</v>
      </c>
      <c r="F288">
        <v>1026</v>
      </c>
      <c r="G288">
        <v>0</v>
      </c>
      <c r="H288">
        <v>155</v>
      </c>
      <c r="I288">
        <v>0</v>
      </c>
      <c r="J288">
        <v>0</v>
      </c>
      <c r="K288">
        <v>9973</v>
      </c>
      <c r="L288">
        <v>278</v>
      </c>
      <c r="M288">
        <v>6390</v>
      </c>
      <c r="N288">
        <v>150</v>
      </c>
      <c r="O288">
        <v>28829</v>
      </c>
      <c r="P288">
        <v>4035</v>
      </c>
      <c r="Q288">
        <v>9206</v>
      </c>
      <c r="R288">
        <v>0</v>
      </c>
      <c r="S288">
        <v>0</v>
      </c>
      <c r="T288">
        <v>2990</v>
      </c>
      <c r="U288">
        <v>1634</v>
      </c>
      <c r="V288">
        <v>0</v>
      </c>
      <c r="W288">
        <v>47666</v>
      </c>
      <c r="X288">
        <v>3593</v>
      </c>
      <c r="Y288">
        <v>21213</v>
      </c>
      <c r="Z288">
        <v>2791143.5907220123</v>
      </c>
      <c r="AA288">
        <v>2392408.7920474391</v>
      </c>
      <c r="AB288">
        <v>32609</v>
      </c>
      <c r="AC288">
        <v>-5164</v>
      </c>
      <c r="AD288" t="s">
        <v>204</v>
      </c>
      <c r="AE288" s="232">
        <f t="shared" si="41"/>
        <v>0</v>
      </c>
      <c r="AF288" s="232">
        <f t="shared" si="42"/>
        <v>-9.5833508160953304E-2</v>
      </c>
      <c r="AG288" s="232">
        <f t="shared" si="43"/>
        <v>3.37137582343809E-2</v>
      </c>
      <c r="AH288" s="232">
        <f t="shared" si="44"/>
        <v>3.2517937313808584E-3</v>
      </c>
      <c r="AI288" s="232">
        <f t="shared" si="45"/>
        <v>-9.4064112784794207E-2</v>
      </c>
      <c r="AJ288" s="232">
        <f t="shared" si="46"/>
        <v>7.5378676624847901E-2</v>
      </c>
      <c r="AK288" s="232">
        <f t="shared" si="47"/>
        <v>5.019109621213106E-2</v>
      </c>
      <c r="AL288" s="232">
        <f t="shared" si="48"/>
        <v>-2.7084294885243151E-2</v>
      </c>
      <c r="AM288" s="232">
        <f t="shared" si="49"/>
        <v>0.70381633614597161</v>
      </c>
      <c r="AN288" s="232">
        <v>3.8800000000000001E-2</v>
      </c>
      <c r="AO288" s="232">
        <f t="shared" si="40"/>
        <v>0.19400000000000001</v>
      </c>
      <c r="AT288" t="s">
        <v>396</v>
      </c>
      <c r="AU288">
        <v>5654000</v>
      </c>
      <c r="AV288">
        <v>2267000</v>
      </c>
      <c r="AW288">
        <v>13790107.877528965</v>
      </c>
      <c r="AX288">
        <v>5869107.8775289655</v>
      </c>
      <c r="AY288">
        <v>5869107.8775289655</v>
      </c>
      <c r="AZ288">
        <v>104988000</v>
      </c>
      <c r="BA288">
        <v>5.5902654375061582E-2</v>
      </c>
    </row>
    <row r="289" spans="1:53" x14ac:dyDescent="0.25">
      <c r="A289" t="s">
        <v>205</v>
      </c>
      <c r="B289">
        <v>0</v>
      </c>
      <c r="C289">
        <v>65871</v>
      </c>
      <c r="D289">
        <v>242</v>
      </c>
      <c r="E289">
        <v>6358</v>
      </c>
      <c r="F289">
        <v>5370</v>
      </c>
      <c r="G289">
        <v>0</v>
      </c>
      <c r="H289">
        <v>10945</v>
      </c>
      <c r="I289">
        <v>0</v>
      </c>
      <c r="J289">
        <v>0</v>
      </c>
      <c r="K289">
        <v>7450</v>
      </c>
      <c r="L289">
        <v>-151</v>
      </c>
      <c r="M289">
        <v>6674</v>
      </c>
      <c r="N289">
        <v>1654</v>
      </c>
      <c r="O289">
        <v>31742</v>
      </c>
      <c r="P289">
        <v>15527</v>
      </c>
      <c r="Q289">
        <v>33278</v>
      </c>
      <c r="R289">
        <v>0</v>
      </c>
      <c r="S289">
        <v>13000</v>
      </c>
      <c r="T289">
        <v>3448</v>
      </c>
      <c r="U289">
        <v>7418</v>
      </c>
      <c r="V289">
        <v>0</v>
      </c>
      <c r="W289">
        <v>109504</v>
      </c>
      <c r="X289">
        <v>1254</v>
      </c>
      <c r="Y289">
        <v>33903</v>
      </c>
      <c r="Z289">
        <v>2906452.3682902195</v>
      </c>
      <c r="AA289">
        <v>2491244.8871059027</v>
      </c>
      <c r="AB289">
        <v>73687</v>
      </c>
      <c r="AC289">
        <v>-7816</v>
      </c>
      <c r="AD289" t="s">
        <v>205</v>
      </c>
      <c r="AE289" s="232">
        <f t="shared" si="41"/>
        <v>0.12450556922988516</v>
      </c>
      <c r="AF289" s="232">
        <f t="shared" si="42"/>
        <v>0.27203572472238458</v>
      </c>
      <c r="AG289" s="232">
        <f t="shared" si="43"/>
        <v>0.10710111046171829</v>
      </c>
      <c r="AH289" s="232">
        <f t="shared" si="44"/>
        <v>9.9950686732904734E-2</v>
      </c>
      <c r="AI289" s="232">
        <f t="shared" si="45"/>
        <v>0.21492237726475744</v>
      </c>
      <c r="AJ289" s="232">
        <f t="shared" si="46"/>
        <v>1.1451636469900642E-2</v>
      </c>
      <c r="AK289" s="232">
        <f t="shared" si="47"/>
        <v>2.2750263799549812E-2</v>
      </c>
      <c r="AL289" s="232">
        <f t="shared" si="48"/>
        <v>-1.7844097019286968E-2</v>
      </c>
      <c r="AM289" s="232">
        <f t="shared" si="49"/>
        <v>0.45271182707134167</v>
      </c>
      <c r="AN289" s="232">
        <v>3.9199999999999999E-2</v>
      </c>
      <c r="AO289" s="232">
        <f t="shared" si="40"/>
        <v>0.19600000000000001</v>
      </c>
      <c r="AT289" t="s">
        <v>511</v>
      </c>
      <c r="AU289">
        <v>31560999.999999996</v>
      </c>
      <c r="AV289">
        <v>56323000</v>
      </c>
      <c r="AW289">
        <v>166737758.18294853</v>
      </c>
      <c r="AX289">
        <v>78853758.18294853</v>
      </c>
      <c r="AY289">
        <v>78853758.18294853</v>
      </c>
      <c r="AZ289">
        <v>2283782000</v>
      </c>
      <c r="BA289">
        <v>3.4527708066246485E-2</v>
      </c>
    </row>
    <row r="290" spans="1:53" x14ac:dyDescent="0.25">
      <c r="A290" t="s">
        <v>138</v>
      </c>
      <c r="B290">
        <v>0</v>
      </c>
      <c r="C290">
        <v>86964</v>
      </c>
      <c r="D290">
        <v>50</v>
      </c>
      <c r="E290">
        <v>8050</v>
      </c>
      <c r="F290">
        <v>1118</v>
      </c>
      <c r="G290">
        <v>0</v>
      </c>
      <c r="H290">
        <v>29201</v>
      </c>
      <c r="I290">
        <v>837</v>
      </c>
      <c r="J290">
        <v>0</v>
      </c>
      <c r="K290">
        <v>16825</v>
      </c>
      <c r="L290">
        <v>-3057</v>
      </c>
      <c r="M290">
        <v>4419</v>
      </c>
      <c r="N290">
        <v>1936</v>
      </c>
      <c r="O290">
        <v>63603</v>
      </c>
      <c r="P290">
        <v>18562</v>
      </c>
      <c r="Q290">
        <v>55981</v>
      </c>
      <c r="R290">
        <v>0</v>
      </c>
      <c r="S290">
        <v>0</v>
      </c>
      <c r="T290">
        <v>4161</v>
      </c>
      <c r="U290">
        <v>4036</v>
      </c>
      <c r="V290">
        <v>0</v>
      </c>
      <c r="W290">
        <v>92582</v>
      </c>
      <c r="X290">
        <v>11219</v>
      </c>
      <c r="Y290">
        <v>33462</v>
      </c>
      <c r="Z290">
        <v>4968272.3079032078</v>
      </c>
      <c r="AA290">
        <v>4258519.1210598927</v>
      </c>
      <c r="AB290">
        <v>79648</v>
      </c>
      <c r="AC290">
        <v>7316</v>
      </c>
      <c r="AD290" t="s">
        <v>138</v>
      </c>
      <c r="AE290" s="232">
        <f t="shared" si="41"/>
        <v>0</v>
      </c>
      <c r="AF290" s="232">
        <f t="shared" si="42"/>
        <v>0.37682270851785443</v>
      </c>
      <c r="AG290" s="232">
        <f t="shared" si="43"/>
        <v>9.9025728543345362E-2</v>
      </c>
      <c r="AH290" s="232">
        <f t="shared" si="44"/>
        <v>0.32444751679592143</v>
      </c>
      <c r="AI290" s="232">
        <f t="shared" si="45"/>
        <v>0.16159253418591088</v>
      </c>
      <c r="AJ290" s="232">
        <f t="shared" si="46"/>
        <v>0.12117906288479402</v>
      </c>
      <c r="AK290" s="232">
        <f t="shared" si="47"/>
        <v>4.5997268594974106E-2</v>
      </c>
      <c r="AL290" s="232">
        <f t="shared" si="48"/>
        <v>1.9755460024626817E-2</v>
      </c>
      <c r="AM290" s="232">
        <f t="shared" si="49"/>
        <v>0.56145493805648372</v>
      </c>
      <c r="AN290" s="232">
        <v>3.5499999999999997E-2</v>
      </c>
      <c r="AO290" s="232">
        <f t="shared" si="40"/>
        <v>0.17749999999999999</v>
      </c>
      <c r="AT290" t="s">
        <v>551</v>
      </c>
      <c r="AU290">
        <v>15755000</v>
      </c>
      <c r="AV290">
        <v>25004000.000000004</v>
      </c>
      <c r="AW290">
        <v>58571186.525391877</v>
      </c>
      <c r="AX290">
        <v>17812186.525391873</v>
      </c>
      <c r="AY290">
        <v>17812186.525391873</v>
      </c>
      <c r="AZ290">
        <v>754966000</v>
      </c>
      <c r="BA290">
        <v>2.3593362516182017E-2</v>
      </c>
    </row>
    <row r="291" spans="1:53" x14ac:dyDescent="0.25">
      <c r="A291" t="s">
        <v>182</v>
      </c>
      <c r="B291">
        <v>0</v>
      </c>
      <c r="C291">
        <v>56950</v>
      </c>
      <c r="D291">
        <v>0</v>
      </c>
      <c r="E291">
        <v>9508</v>
      </c>
      <c r="F291">
        <v>3474</v>
      </c>
      <c r="G291">
        <v>0</v>
      </c>
      <c r="H291">
        <v>3706</v>
      </c>
      <c r="I291">
        <v>3</v>
      </c>
      <c r="J291">
        <v>0</v>
      </c>
      <c r="K291">
        <v>1850</v>
      </c>
      <c r="L291">
        <v>285</v>
      </c>
      <c r="M291">
        <v>9379</v>
      </c>
      <c r="N291">
        <v>557</v>
      </c>
      <c r="O291">
        <v>21995</v>
      </c>
      <c r="P291">
        <v>11633</v>
      </c>
      <c r="Q291">
        <v>37412</v>
      </c>
      <c r="R291">
        <v>14</v>
      </c>
      <c r="S291">
        <v>0</v>
      </c>
      <c r="T291">
        <v>3859</v>
      </c>
      <c r="U291">
        <v>10799</v>
      </c>
      <c r="V291">
        <v>0</v>
      </c>
      <c r="W291">
        <v>84286</v>
      </c>
      <c r="X291">
        <v>-3333</v>
      </c>
      <c r="Y291">
        <v>31870</v>
      </c>
      <c r="Z291">
        <v>-209820.16744397581</v>
      </c>
      <c r="AA291">
        <v>-179845.85780912213</v>
      </c>
      <c r="AB291">
        <v>52838</v>
      </c>
      <c r="AC291">
        <v>4112</v>
      </c>
      <c r="AD291" t="s">
        <v>182</v>
      </c>
      <c r="AE291" s="232">
        <f t="shared" si="41"/>
        <v>0</v>
      </c>
      <c r="AF291" s="232">
        <f t="shared" si="42"/>
        <v>0.32070569252307618</v>
      </c>
      <c r="AG291" s="232">
        <f t="shared" si="43"/>
        <v>0.15402320670099423</v>
      </c>
      <c r="AH291" s="232">
        <f t="shared" si="44"/>
        <v>4.4004935576489573E-2</v>
      </c>
      <c r="AI291" s="232">
        <f t="shared" si="45"/>
        <v>0.30838502242365279</v>
      </c>
      <c r="AJ291" s="232">
        <f t="shared" si="46"/>
        <v>-3.9543933749377119E-2</v>
      </c>
      <c r="AK291" s="232">
        <f t="shared" si="47"/>
        <v>-2.1337571816093079E-3</v>
      </c>
      <c r="AL291" s="232">
        <f t="shared" si="48"/>
        <v>1.2196568825190423E-2</v>
      </c>
      <c r="AM291" s="232">
        <f t="shared" si="49"/>
        <v>0.39233712899010642</v>
      </c>
      <c r="AN291" s="232">
        <v>4.7500000000000001E-2</v>
      </c>
      <c r="AO291" s="232">
        <f t="shared" si="40"/>
        <v>0.23749999999999999</v>
      </c>
      <c r="AT291" t="s">
        <v>485</v>
      </c>
      <c r="AU291">
        <v>1693000.0000000002</v>
      </c>
      <c r="AV291">
        <v>459000.00000000006</v>
      </c>
      <c r="AW291">
        <v>2373922.8001308478</v>
      </c>
      <c r="AX291">
        <v>221922.80013084755</v>
      </c>
      <c r="AY291">
        <v>221922.80013084755</v>
      </c>
      <c r="AZ291">
        <v>24374000</v>
      </c>
      <c r="BA291">
        <v>9.1048986678775555E-3</v>
      </c>
    </row>
    <row r="292" spans="1:53" x14ac:dyDescent="0.25">
      <c r="A292" t="s">
        <v>452</v>
      </c>
      <c r="B292">
        <v>1028</v>
      </c>
      <c r="C292">
        <v>133530</v>
      </c>
      <c r="D292">
        <v>3861</v>
      </c>
      <c r="E292">
        <v>11337</v>
      </c>
      <c r="F292">
        <v>0</v>
      </c>
      <c r="G292">
        <v>0</v>
      </c>
      <c r="H292">
        <v>44719</v>
      </c>
      <c r="I292">
        <v>629</v>
      </c>
      <c r="J292">
        <v>0</v>
      </c>
      <c r="K292">
        <v>0</v>
      </c>
      <c r="L292">
        <v>2432</v>
      </c>
      <c r="M292">
        <v>12386</v>
      </c>
      <c r="N292">
        <v>7765</v>
      </c>
      <c r="O292">
        <v>64000</v>
      </c>
      <c r="P292">
        <v>50947</v>
      </c>
      <c r="Q292">
        <v>87433</v>
      </c>
      <c r="R292">
        <v>0</v>
      </c>
      <c r="S292">
        <v>0</v>
      </c>
      <c r="T292">
        <v>14208</v>
      </c>
      <c r="U292">
        <v>1099</v>
      </c>
      <c r="V292">
        <v>1</v>
      </c>
      <c r="W292">
        <v>105135</v>
      </c>
      <c r="X292">
        <v>8287</v>
      </c>
      <c r="Y292">
        <v>41725</v>
      </c>
      <c r="Z292">
        <v>5549746.9602977671</v>
      </c>
      <c r="AA292">
        <v>4756925.965969515</v>
      </c>
      <c r="AB292">
        <v>129245</v>
      </c>
      <c r="AC292">
        <v>5313</v>
      </c>
      <c r="AD292" t="s">
        <v>452</v>
      </c>
      <c r="AE292" s="232">
        <f t="shared" si="41"/>
        <v>0</v>
      </c>
      <c r="AF292" s="232">
        <f t="shared" si="42"/>
        <v>0.65458695962334146</v>
      </c>
      <c r="AG292" s="232">
        <f t="shared" si="43"/>
        <v>0.10783278641746326</v>
      </c>
      <c r="AH292" s="232">
        <f t="shared" si="44"/>
        <v>0.43133114566985303</v>
      </c>
      <c r="AI292" s="232">
        <f t="shared" si="45"/>
        <v>0.36559509202453988</v>
      </c>
      <c r="AJ292" s="232">
        <f t="shared" si="46"/>
        <v>7.8822466352784518E-2</v>
      </c>
      <c r="AK292" s="232">
        <f t="shared" si="47"/>
        <v>4.5245883539920248E-2</v>
      </c>
      <c r="AL292" s="232">
        <f t="shared" si="48"/>
        <v>1.2633756598658867E-2</v>
      </c>
      <c r="AM292" s="232">
        <f t="shared" si="49"/>
        <v>0.52803796276304971</v>
      </c>
      <c r="AN292" s="232">
        <v>2.0500000000000001E-2</v>
      </c>
      <c r="AO292" s="232">
        <f t="shared" si="40"/>
        <v>0.10250000000000001</v>
      </c>
      <c r="AT292" t="s">
        <v>507</v>
      </c>
      <c r="AU292">
        <v>1427000</v>
      </c>
      <c r="AV292">
        <v>1951000.0000000002</v>
      </c>
      <c r="AW292">
        <v>4181413.3423039531</v>
      </c>
      <c r="AX292">
        <v>803413.3423039529</v>
      </c>
      <c r="AY292">
        <v>803413.3423039529</v>
      </c>
      <c r="AZ292">
        <v>27994000</v>
      </c>
      <c r="BA292">
        <v>2.8699483543043254E-2</v>
      </c>
    </row>
    <row r="293" spans="1:53" x14ac:dyDescent="0.25">
      <c r="A293" t="s">
        <v>323</v>
      </c>
      <c r="B293">
        <v>356</v>
      </c>
      <c r="C293">
        <v>15622</v>
      </c>
      <c r="D293">
        <v>356</v>
      </c>
      <c r="E293">
        <v>0</v>
      </c>
      <c r="F293">
        <v>875</v>
      </c>
      <c r="G293">
        <v>0</v>
      </c>
      <c r="H293">
        <v>0</v>
      </c>
      <c r="I293">
        <v>0</v>
      </c>
      <c r="J293">
        <v>0</v>
      </c>
      <c r="K293">
        <v>0</v>
      </c>
      <c r="L293">
        <v>47</v>
      </c>
      <c r="M293">
        <v>2264</v>
      </c>
      <c r="N293">
        <v>1822</v>
      </c>
      <c r="O293">
        <v>12271</v>
      </c>
      <c r="P293">
        <v>4352</v>
      </c>
      <c r="Q293">
        <v>1015</v>
      </c>
      <c r="R293">
        <v>0</v>
      </c>
      <c r="S293">
        <v>0</v>
      </c>
      <c r="T293">
        <v>1695</v>
      </c>
      <c r="U293">
        <v>2009</v>
      </c>
      <c r="V293">
        <v>0</v>
      </c>
      <c r="W293">
        <v>21709</v>
      </c>
      <c r="X293">
        <v>81</v>
      </c>
      <c r="Y293">
        <v>13520</v>
      </c>
      <c r="Z293">
        <v>1248350.1176101114</v>
      </c>
      <c r="AA293">
        <v>1070014.3865229525</v>
      </c>
      <c r="AB293">
        <v>15375</v>
      </c>
      <c r="AC293">
        <v>603</v>
      </c>
      <c r="AD293" t="s">
        <v>323</v>
      </c>
      <c r="AE293" s="232">
        <f t="shared" si="41"/>
        <v>0</v>
      </c>
      <c r="AF293" s="232">
        <f t="shared" si="42"/>
        <v>-1.331245105716523E-2</v>
      </c>
      <c r="AG293" s="232">
        <f t="shared" si="43"/>
        <v>4.0305863927403381E-2</v>
      </c>
      <c r="AH293" s="232">
        <f t="shared" si="44"/>
        <v>0</v>
      </c>
      <c r="AI293" s="232">
        <f t="shared" si="45"/>
        <v>-8.4757473858768258E-3</v>
      </c>
      <c r="AJ293" s="232">
        <f t="shared" si="46"/>
        <v>3.7311714035653414E-3</v>
      </c>
      <c r="AK293" s="232">
        <f t="shared" si="47"/>
        <v>4.9288976301209292E-2</v>
      </c>
      <c r="AL293" s="232">
        <f t="shared" si="48"/>
        <v>6.9441245566354967E-3</v>
      </c>
      <c r="AM293" s="232">
        <f t="shared" si="49"/>
        <v>0.77888670227719992</v>
      </c>
      <c r="AN293" s="232">
        <v>4.99E-2</v>
      </c>
      <c r="AO293" s="232">
        <f t="shared" si="40"/>
        <v>0.2495</v>
      </c>
      <c r="AT293" t="s">
        <v>447</v>
      </c>
      <c r="AU293">
        <v>4774000</v>
      </c>
      <c r="AV293">
        <v>1284000</v>
      </c>
      <c r="AW293">
        <v>9129966.6549799889</v>
      </c>
      <c r="AX293">
        <v>3071966.6549799889</v>
      </c>
      <c r="AY293">
        <v>3071966.6549799889</v>
      </c>
      <c r="AZ293">
        <v>63650000</v>
      </c>
      <c r="BA293">
        <v>4.826341955977987E-2</v>
      </c>
    </row>
    <row r="294" spans="1:53" x14ac:dyDescent="0.25">
      <c r="A294" t="s">
        <v>324</v>
      </c>
      <c r="B294">
        <v>880</v>
      </c>
      <c r="C294">
        <v>87859</v>
      </c>
      <c r="D294">
        <v>0</v>
      </c>
      <c r="E294">
        <v>0</v>
      </c>
      <c r="F294">
        <v>3908</v>
      </c>
      <c r="G294">
        <v>0</v>
      </c>
      <c r="H294">
        <v>9924</v>
      </c>
      <c r="I294">
        <v>0</v>
      </c>
      <c r="J294">
        <v>-13000</v>
      </c>
      <c r="K294">
        <v>0</v>
      </c>
      <c r="L294">
        <v>2853</v>
      </c>
      <c r="M294">
        <v>6378</v>
      </c>
      <c r="N294">
        <v>2759</v>
      </c>
      <c r="O294">
        <v>27320</v>
      </c>
      <c r="P294">
        <v>4998</v>
      </c>
      <c r="Q294">
        <v>0</v>
      </c>
      <c r="R294">
        <v>57874</v>
      </c>
      <c r="S294">
        <v>0</v>
      </c>
      <c r="T294">
        <v>11407</v>
      </c>
      <c r="U294">
        <v>-38</v>
      </c>
      <c r="V294">
        <v>0</v>
      </c>
      <c r="W294">
        <v>69417</v>
      </c>
      <c r="X294">
        <v>-1558</v>
      </c>
      <c r="Y294">
        <v>29445</v>
      </c>
      <c r="Z294">
        <v>2440423.2988336049</v>
      </c>
      <c r="AA294">
        <v>2091791.3990002326</v>
      </c>
      <c r="AB294">
        <v>86777</v>
      </c>
      <c r="AC294">
        <v>1962</v>
      </c>
      <c r="AD294" t="s">
        <v>324</v>
      </c>
      <c r="AE294" s="232">
        <f t="shared" si="41"/>
        <v>0</v>
      </c>
      <c r="AF294" s="232">
        <f t="shared" si="42"/>
        <v>0.95574571070487058</v>
      </c>
      <c r="AG294" s="232">
        <f t="shared" si="43"/>
        <v>5.6297448751746693E-2</v>
      </c>
      <c r="AH294" s="232">
        <f t="shared" si="44"/>
        <v>0.14296209862137516</v>
      </c>
      <c r="AI294" s="232">
        <f t="shared" si="45"/>
        <v>0.86242793552011754</v>
      </c>
      <c r="AJ294" s="232">
        <f t="shared" si="46"/>
        <v>-2.2444069896423065E-2</v>
      </c>
      <c r="AK294" s="232">
        <f t="shared" si="47"/>
        <v>3.0133704985813744E-2</v>
      </c>
      <c r="AL294" s="232">
        <f t="shared" si="48"/>
        <v>7.0659924802281863E-3</v>
      </c>
      <c r="AM294" s="232">
        <f t="shared" si="49"/>
        <v>0.31821269975679639</v>
      </c>
      <c r="AN294" s="232">
        <v>2.9600000000000001E-2</v>
      </c>
      <c r="AO294" s="232">
        <f t="shared" si="40"/>
        <v>0.14800000000000002</v>
      </c>
      <c r="AT294" t="s">
        <v>486</v>
      </c>
      <c r="AU294">
        <v>13486000</v>
      </c>
      <c r="AV294">
        <v>28393000</v>
      </c>
      <c r="AW294">
        <v>31099066.88463977</v>
      </c>
      <c r="AX294">
        <v>-10779933.11536023</v>
      </c>
      <c r="AY294">
        <v>0</v>
      </c>
      <c r="AZ294">
        <v>318097000</v>
      </c>
      <c r="BA294">
        <v>-3.3888823583247345E-2</v>
      </c>
    </row>
    <row r="295" spans="1:53" x14ac:dyDescent="0.25">
      <c r="A295" t="s">
        <v>498</v>
      </c>
      <c r="B295">
        <v>0</v>
      </c>
      <c r="C295">
        <v>56352</v>
      </c>
      <c r="D295">
        <v>6008</v>
      </c>
      <c r="E295">
        <v>3390</v>
      </c>
      <c r="F295">
        <v>442</v>
      </c>
      <c r="G295">
        <v>0</v>
      </c>
      <c r="H295">
        <v>24733</v>
      </c>
      <c r="I295">
        <v>33</v>
      </c>
      <c r="J295">
        <v>0</v>
      </c>
      <c r="K295">
        <v>0</v>
      </c>
      <c r="L295">
        <v>2327</v>
      </c>
      <c r="M295">
        <v>6255</v>
      </c>
      <c r="N295">
        <v>314</v>
      </c>
      <c r="O295">
        <v>35320</v>
      </c>
      <c r="P295">
        <v>13196</v>
      </c>
      <c r="Q295">
        <v>47528</v>
      </c>
      <c r="R295">
        <v>0</v>
      </c>
      <c r="S295">
        <v>-732</v>
      </c>
      <c r="T295">
        <v>4498</v>
      </c>
      <c r="U295">
        <v>44</v>
      </c>
      <c r="V295">
        <v>-2</v>
      </c>
      <c r="W295">
        <v>59788</v>
      </c>
      <c r="X295">
        <v>3869</v>
      </c>
      <c r="Y295">
        <v>20524</v>
      </c>
      <c r="Z295">
        <v>63562.684420380741</v>
      </c>
      <c r="AA295">
        <v>54482.300931754922</v>
      </c>
      <c r="AB295">
        <v>46545</v>
      </c>
      <c r="AC295">
        <v>9807</v>
      </c>
      <c r="AD295" t="s">
        <v>498</v>
      </c>
      <c r="AE295" s="232">
        <f t="shared" si="41"/>
        <v>-7.3307028261261438E-3</v>
      </c>
      <c r="AF295" s="232">
        <f t="shared" si="42"/>
        <v>0.64578176222653372</v>
      </c>
      <c r="AG295" s="232">
        <f t="shared" si="43"/>
        <v>6.4093129055997858E-2</v>
      </c>
      <c r="AH295" s="232">
        <f t="shared" si="44"/>
        <v>0.41423028032381082</v>
      </c>
      <c r="AI295" s="232">
        <f t="shared" si="45"/>
        <v>0.36351174148658588</v>
      </c>
      <c r="AJ295" s="232">
        <f t="shared" si="46"/>
        <v>6.471198233759283E-2</v>
      </c>
      <c r="AK295" s="232">
        <f t="shared" si="47"/>
        <v>9.1125812758003147E-4</v>
      </c>
      <c r="AL295" s="232">
        <f t="shared" si="48"/>
        <v>4.1007392787850407E-2</v>
      </c>
      <c r="AM295" s="232">
        <f t="shared" si="49"/>
        <v>0.48586936927914753</v>
      </c>
      <c r="AN295" s="232">
        <v>3.4700000000000002E-2</v>
      </c>
      <c r="AO295" s="232">
        <f t="shared" si="40"/>
        <v>0.17350000000000002</v>
      </c>
      <c r="AT295" t="s">
        <v>375</v>
      </c>
      <c r="AU295">
        <v>1980000.0000000002</v>
      </c>
      <c r="AV295">
        <v>1822000</v>
      </c>
      <c r="AW295">
        <v>7193193.8526073173</v>
      </c>
      <c r="AX295">
        <v>3391193.8526073173</v>
      </c>
      <c r="AY295">
        <v>3391193.8526073173</v>
      </c>
      <c r="AZ295">
        <v>64291000</v>
      </c>
      <c r="BA295">
        <v>5.2747567351687133E-2</v>
      </c>
    </row>
    <row r="296" spans="1:53" x14ac:dyDescent="0.25">
      <c r="A296" t="s">
        <v>279</v>
      </c>
      <c r="B296">
        <v>8562</v>
      </c>
      <c r="C296">
        <v>1560020</v>
      </c>
      <c r="D296">
        <v>5226</v>
      </c>
      <c r="E296">
        <v>371</v>
      </c>
      <c r="F296">
        <v>65029</v>
      </c>
      <c r="G296">
        <v>0</v>
      </c>
      <c r="H296">
        <v>5452</v>
      </c>
      <c r="I296">
        <v>4761</v>
      </c>
      <c r="J296">
        <v>0</v>
      </c>
      <c r="K296">
        <v>0</v>
      </c>
      <c r="L296">
        <v>2705</v>
      </c>
      <c r="M296">
        <v>120553</v>
      </c>
      <c r="N296">
        <v>87911</v>
      </c>
      <c r="O296">
        <v>644745</v>
      </c>
      <c r="P296">
        <v>81065</v>
      </c>
      <c r="Q296">
        <v>913091</v>
      </c>
      <c r="R296">
        <v>9642</v>
      </c>
      <c r="S296">
        <v>54000</v>
      </c>
      <c r="T296">
        <v>56891</v>
      </c>
      <c r="U296">
        <v>101156</v>
      </c>
      <c r="V296">
        <v>-2</v>
      </c>
      <c r="W296">
        <v>1313128</v>
      </c>
      <c r="X296">
        <v>-17138</v>
      </c>
      <c r="Y296">
        <v>347483</v>
      </c>
      <c r="Z296">
        <v>23817206.209135875</v>
      </c>
      <c r="AA296">
        <v>20414748.179259319</v>
      </c>
      <c r="AB296">
        <v>1388876</v>
      </c>
      <c r="AC296">
        <v>179706</v>
      </c>
      <c r="AD296" t="s">
        <v>279</v>
      </c>
      <c r="AE296" s="232">
        <f t="shared" si="41"/>
        <v>2.9023051827646071E-2</v>
      </c>
      <c r="AF296" s="232">
        <f t="shared" si="42"/>
        <v>0.6535623336034263</v>
      </c>
      <c r="AG296" s="232">
        <f t="shared" si="43"/>
        <v>4.9804741045808176E-2</v>
      </c>
      <c r="AH296" s="232">
        <f t="shared" si="44"/>
        <v>7.777611931205488E-3</v>
      </c>
      <c r="AI296" s="232">
        <f t="shared" si="45"/>
        <v>0.6540945741770795</v>
      </c>
      <c r="AJ296" s="232">
        <f t="shared" si="46"/>
        <v>-1.3051279083227226E-2</v>
      </c>
      <c r="AK296" s="232">
        <f t="shared" si="47"/>
        <v>1.5546655146535082E-2</v>
      </c>
      <c r="AL296" s="232">
        <f t="shared" si="48"/>
        <v>3.421334401520644E-2</v>
      </c>
      <c r="AM296" s="232">
        <f t="shared" si="49"/>
        <v>0.39009668975969986</v>
      </c>
      <c r="AN296" s="232">
        <v>3.4000000000000002E-2</v>
      </c>
      <c r="AO296" s="232">
        <f t="shared" si="40"/>
        <v>0.17</v>
      </c>
      <c r="AT296" t="s">
        <v>158</v>
      </c>
      <c r="AU296">
        <v>1703000</v>
      </c>
      <c r="AV296">
        <v>1545000</v>
      </c>
      <c r="AW296">
        <v>4727380.680187461</v>
      </c>
      <c r="AX296">
        <v>1479380.680187461</v>
      </c>
      <c r="AY296">
        <v>1479380.680187461</v>
      </c>
      <c r="AZ296">
        <v>47847000</v>
      </c>
      <c r="BA296">
        <v>3.0918985102252199E-2</v>
      </c>
    </row>
    <row r="297" spans="1:53" x14ac:dyDescent="0.25">
      <c r="A297" t="s">
        <v>280</v>
      </c>
      <c r="B297">
        <v>1912</v>
      </c>
      <c r="C297">
        <v>150973</v>
      </c>
      <c r="D297">
        <v>780</v>
      </c>
      <c r="E297">
        <v>9147</v>
      </c>
      <c r="F297">
        <v>4209</v>
      </c>
      <c r="G297">
        <v>0</v>
      </c>
      <c r="H297">
        <v>3867</v>
      </c>
      <c r="I297">
        <v>10</v>
      </c>
      <c r="J297">
        <v>0</v>
      </c>
      <c r="K297">
        <v>0</v>
      </c>
      <c r="L297">
        <v>167</v>
      </c>
      <c r="M297">
        <v>4319</v>
      </c>
      <c r="N297">
        <v>9711</v>
      </c>
      <c r="O297">
        <v>19268</v>
      </c>
      <c r="P297">
        <v>11220</v>
      </c>
      <c r="Q297">
        <v>136335</v>
      </c>
      <c r="R297">
        <v>150</v>
      </c>
      <c r="S297">
        <v>5745</v>
      </c>
      <c r="T297">
        <v>7131</v>
      </c>
      <c r="U297">
        <v>5246</v>
      </c>
      <c r="V297">
        <v>-2</v>
      </c>
      <c r="W297">
        <v>102368</v>
      </c>
      <c r="X297">
        <v>-4183</v>
      </c>
      <c r="Y297">
        <v>49314</v>
      </c>
      <c r="Z297">
        <v>8230672.69909437</v>
      </c>
      <c r="AA297">
        <v>7054862.3135094596</v>
      </c>
      <c r="AB297">
        <v>138287</v>
      </c>
      <c r="AC297">
        <v>14598</v>
      </c>
      <c r="AD297" t="s">
        <v>280</v>
      </c>
      <c r="AE297" s="232">
        <f t="shared" si="41"/>
        <v>3.1038115562278829E-2</v>
      </c>
      <c r="AF297" s="232">
        <f t="shared" si="42"/>
        <v>1.2411495779931228</v>
      </c>
      <c r="AG297" s="232">
        <f t="shared" si="43"/>
        <v>0.13047045951859956</v>
      </c>
      <c r="AH297" s="232">
        <f t="shared" si="44"/>
        <v>3.7873163488590184E-2</v>
      </c>
      <c r="AI297" s="232">
        <f t="shared" si="45"/>
        <v>1.2302948186933416</v>
      </c>
      <c r="AJ297" s="232">
        <f t="shared" si="46"/>
        <v>-4.0862378868396373E-2</v>
      </c>
      <c r="AK297" s="232">
        <f t="shared" si="47"/>
        <v>6.8916676241691344E-2</v>
      </c>
      <c r="AL297" s="232">
        <f t="shared" si="48"/>
        <v>3.565078930915911E-2</v>
      </c>
      <c r="AM297" s="232">
        <f t="shared" si="49"/>
        <v>0.16471541640779058</v>
      </c>
      <c r="AN297" s="232">
        <v>3.6600000000000001E-2</v>
      </c>
      <c r="AO297" s="232">
        <f t="shared" si="40"/>
        <v>0.183</v>
      </c>
      <c r="AT297" t="s">
        <v>397</v>
      </c>
      <c r="AU297">
        <v>3670000.0000000005</v>
      </c>
      <c r="AV297">
        <v>2477000</v>
      </c>
      <c r="AW297">
        <v>10410242.074998366</v>
      </c>
      <c r="AX297">
        <v>4263242.0749983657</v>
      </c>
      <c r="AY297">
        <v>4263242.0749983657</v>
      </c>
      <c r="AZ297">
        <v>74414000</v>
      </c>
      <c r="BA297">
        <v>5.7290860254768802E-2</v>
      </c>
    </row>
    <row r="298" spans="1:53" x14ac:dyDescent="0.25">
      <c r="A298" t="s">
        <v>488</v>
      </c>
      <c r="B298">
        <v>9222</v>
      </c>
      <c r="C298">
        <v>32371</v>
      </c>
      <c r="D298">
        <v>100</v>
      </c>
      <c r="E298">
        <v>0</v>
      </c>
      <c r="F298">
        <v>0</v>
      </c>
      <c r="G298">
        <v>0</v>
      </c>
      <c r="H298">
        <v>2194</v>
      </c>
      <c r="I298">
        <v>0</v>
      </c>
      <c r="J298">
        <v>0</v>
      </c>
      <c r="K298">
        <v>0</v>
      </c>
      <c r="L298">
        <v>32</v>
      </c>
      <c r="M298">
        <v>3835</v>
      </c>
      <c r="N298">
        <v>233</v>
      </c>
      <c r="O298">
        <v>11019</v>
      </c>
      <c r="P298">
        <v>0</v>
      </c>
      <c r="Q298">
        <v>22612</v>
      </c>
      <c r="R298">
        <v>11</v>
      </c>
      <c r="S298">
        <v>10829</v>
      </c>
      <c r="T298">
        <v>2387</v>
      </c>
      <c r="U298">
        <v>1129</v>
      </c>
      <c r="V298">
        <v>-95</v>
      </c>
      <c r="W298">
        <v>26707</v>
      </c>
      <c r="X298">
        <v>-1403</v>
      </c>
      <c r="Y298">
        <v>9874</v>
      </c>
      <c r="Z298">
        <v>678243.33179212455</v>
      </c>
      <c r="AA298">
        <v>581351.4272503925</v>
      </c>
      <c r="AB298">
        <v>29724</v>
      </c>
      <c r="AC298">
        <v>11869</v>
      </c>
      <c r="AD298" t="s">
        <v>488</v>
      </c>
      <c r="AE298" s="232">
        <f t="shared" si="41"/>
        <v>0.22566528434784422</v>
      </c>
      <c r="AF298" s="232">
        <f t="shared" si="42"/>
        <v>1.2306885835174299</v>
      </c>
      <c r="AG298" s="232">
        <f t="shared" si="43"/>
        <v>0</v>
      </c>
      <c r="AH298" s="232">
        <f t="shared" si="44"/>
        <v>8.2150746995169804E-2</v>
      </c>
      <c r="AI298" s="232">
        <f t="shared" si="45"/>
        <v>1.1731830606208111</v>
      </c>
      <c r="AJ298" s="232">
        <f t="shared" si="46"/>
        <v>-5.2533043771295918E-2</v>
      </c>
      <c r="AK298" s="232">
        <f t="shared" si="47"/>
        <v>2.1767754792765662E-2</v>
      </c>
      <c r="AL298" s="232">
        <f t="shared" si="48"/>
        <v>0.11110383045643464</v>
      </c>
      <c r="AM298" s="232">
        <f t="shared" si="49"/>
        <v>0.2296246900202138</v>
      </c>
      <c r="AN298" s="232">
        <v>4.6199999999999998E-2</v>
      </c>
      <c r="AO298" s="232">
        <f t="shared" si="40"/>
        <v>0.23099999999999998</v>
      </c>
      <c r="AT298" t="s">
        <v>180</v>
      </c>
      <c r="AU298">
        <v>6017000</v>
      </c>
      <c r="AV298">
        <v>7595000</v>
      </c>
      <c r="AW298">
        <v>14897855.094008705</v>
      </c>
      <c r="AX298">
        <v>1285855.0940087046</v>
      </c>
      <c r="AY298">
        <v>1285855.0940087046</v>
      </c>
      <c r="AZ298">
        <v>176226000</v>
      </c>
      <c r="BA298">
        <v>7.2966253220790615E-3</v>
      </c>
    </row>
    <row r="299" spans="1:53" x14ac:dyDescent="0.25">
      <c r="A299" t="s">
        <v>489</v>
      </c>
      <c r="B299">
        <v>1217</v>
      </c>
      <c r="C299">
        <v>51978</v>
      </c>
      <c r="D299">
        <v>252</v>
      </c>
      <c r="E299">
        <v>819</v>
      </c>
      <c r="F299">
        <v>0</v>
      </c>
      <c r="G299">
        <v>0</v>
      </c>
      <c r="H299">
        <v>-592</v>
      </c>
      <c r="I299">
        <v>-515</v>
      </c>
      <c r="J299">
        <v>0</v>
      </c>
      <c r="K299">
        <v>12803</v>
      </c>
      <c r="L299">
        <v>145</v>
      </c>
      <c r="M299">
        <v>9674</v>
      </c>
      <c r="N299">
        <v>760</v>
      </c>
      <c r="O299">
        <v>42163</v>
      </c>
      <c r="P299">
        <v>13515</v>
      </c>
      <c r="Q299">
        <v>11192</v>
      </c>
      <c r="R299">
        <v>5</v>
      </c>
      <c r="S299">
        <v>0</v>
      </c>
      <c r="T299">
        <v>6753</v>
      </c>
      <c r="U299">
        <v>2913</v>
      </c>
      <c r="V299">
        <v>0</v>
      </c>
      <c r="W299">
        <v>47942</v>
      </c>
      <c r="X299">
        <v>-2684</v>
      </c>
      <c r="Y299">
        <v>16431</v>
      </c>
      <c r="Z299">
        <v>336317.91996253934</v>
      </c>
      <c r="AA299">
        <v>288272.50282503373</v>
      </c>
      <c r="AB299">
        <v>53535</v>
      </c>
      <c r="AC299">
        <v>-340</v>
      </c>
      <c r="AD299" t="s">
        <v>489</v>
      </c>
      <c r="AE299" s="232">
        <f t="shared" si="41"/>
        <v>0</v>
      </c>
      <c r="AF299" s="232">
        <f t="shared" si="42"/>
        <v>-6.9625797839055523E-2</v>
      </c>
      <c r="AG299" s="232">
        <f t="shared" si="43"/>
        <v>1.708314213007384E-2</v>
      </c>
      <c r="AH299" s="232">
        <f t="shared" si="44"/>
        <v>-2.3090400901088815E-2</v>
      </c>
      <c r="AI299" s="232">
        <f t="shared" si="45"/>
        <v>-5.1412540152684497E-2</v>
      </c>
      <c r="AJ299" s="232">
        <f t="shared" si="46"/>
        <v>-5.598431437987568E-2</v>
      </c>
      <c r="AK299" s="232">
        <f t="shared" si="47"/>
        <v>6.0129427813823732E-3</v>
      </c>
      <c r="AL299" s="232">
        <f t="shared" si="48"/>
        <v>-1.7729756789453923E-3</v>
      </c>
      <c r="AM299" s="232">
        <f t="shared" si="49"/>
        <v>0.72742713055747898</v>
      </c>
      <c r="AN299" s="232">
        <v>2.87E-2</v>
      </c>
      <c r="AO299" s="232">
        <f t="shared" si="40"/>
        <v>0.14349999999999999</v>
      </c>
      <c r="AT299" t="s">
        <v>277</v>
      </c>
      <c r="AU299">
        <v>4959000</v>
      </c>
      <c r="AV299">
        <v>3394000</v>
      </c>
      <c r="AW299">
        <v>16774919.843097016</v>
      </c>
      <c r="AX299">
        <v>8421919.8430970162</v>
      </c>
      <c r="AY299">
        <v>8421919.8430970162</v>
      </c>
      <c r="AZ299">
        <v>101450000</v>
      </c>
      <c r="BA299">
        <v>8.3015474057141603E-2</v>
      </c>
    </row>
    <row r="300" spans="1:53" x14ac:dyDescent="0.25">
      <c r="A300" t="s">
        <v>453</v>
      </c>
      <c r="B300">
        <v>10</v>
      </c>
      <c r="C300">
        <v>77464</v>
      </c>
      <c r="D300">
        <v>32</v>
      </c>
      <c r="E300">
        <v>0</v>
      </c>
      <c r="F300">
        <v>1561</v>
      </c>
      <c r="G300">
        <v>0</v>
      </c>
      <c r="H300">
        <v>15473</v>
      </c>
      <c r="I300">
        <v>45</v>
      </c>
      <c r="J300">
        <v>0</v>
      </c>
      <c r="K300">
        <v>2000</v>
      </c>
      <c r="L300">
        <v>42</v>
      </c>
      <c r="M300">
        <v>14341</v>
      </c>
      <c r="N300">
        <v>2785</v>
      </c>
      <c r="O300">
        <v>27372</v>
      </c>
      <c r="P300">
        <v>14025</v>
      </c>
      <c r="Q300">
        <v>62594</v>
      </c>
      <c r="R300">
        <v>50</v>
      </c>
      <c r="S300">
        <v>-2137</v>
      </c>
      <c r="T300">
        <v>10872</v>
      </c>
      <c r="U300">
        <v>977</v>
      </c>
      <c r="V300">
        <v>1</v>
      </c>
      <c r="W300">
        <v>72876</v>
      </c>
      <c r="X300">
        <v>-4702</v>
      </c>
      <c r="Y300">
        <v>30654</v>
      </c>
      <c r="Z300">
        <v>3228853.7201740127</v>
      </c>
      <c r="AA300">
        <v>2767588.9030062966</v>
      </c>
      <c r="AB300">
        <v>78191</v>
      </c>
      <c r="AC300">
        <v>-717</v>
      </c>
      <c r="AD300" t="s">
        <v>453</v>
      </c>
      <c r="AE300" s="232">
        <f t="shared" si="41"/>
        <v>-1.878631772348861E-2</v>
      </c>
      <c r="AF300" s="232">
        <f t="shared" si="42"/>
        <v>0.70842252593446398</v>
      </c>
      <c r="AG300" s="232">
        <f t="shared" si="43"/>
        <v>2.141994621000055E-2</v>
      </c>
      <c r="AH300" s="232">
        <f t="shared" si="44"/>
        <v>0.21293704374554037</v>
      </c>
      <c r="AI300" s="232">
        <f t="shared" si="45"/>
        <v>0.56193698885778576</v>
      </c>
      <c r="AJ300" s="232">
        <f t="shared" si="46"/>
        <v>-6.4520555464075965E-2</v>
      </c>
      <c r="AK300" s="232">
        <f t="shared" si="47"/>
        <v>3.7976685095316653E-2</v>
      </c>
      <c r="AL300" s="232">
        <f t="shared" si="48"/>
        <v>-2.4596575004116584E-3</v>
      </c>
      <c r="AM300" s="232">
        <f t="shared" si="49"/>
        <v>0.36392007243765001</v>
      </c>
      <c r="AN300" s="232">
        <v>4.5499999999999999E-2</v>
      </c>
      <c r="AO300" s="232">
        <f t="shared" si="40"/>
        <v>0.22749999999999998</v>
      </c>
      <c r="AT300" t="s">
        <v>448</v>
      </c>
      <c r="AU300">
        <v>2442999.9999999995</v>
      </c>
      <c r="AV300">
        <v>1863000</v>
      </c>
      <c r="AW300">
        <v>6979172.5943193678</v>
      </c>
      <c r="AX300">
        <v>2673172.5943193678</v>
      </c>
      <c r="AY300">
        <v>2673172.5943193678</v>
      </c>
      <c r="AZ300">
        <v>47872000</v>
      </c>
      <c r="BA300">
        <v>5.5840002388021552E-2</v>
      </c>
    </row>
    <row r="301" spans="1:53" x14ac:dyDescent="0.25">
      <c r="A301" t="s">
        <v>161</v>
      </c>
      <c r="B301">
        <v>6063</v>
      </c>
      <c r="C301">
        <v>42716</v>
      </c>
      <c r="D301">
        <v>628</v>
      </c>
      <c r="E301">
        <v>1246</v>
      </c>
      <c r="F301">
        <v>0</v>
      </c>
      <c r="G301">
        <v>0</v>
      </c>
      <c r="H301">
        <v>19574</v>
      </c>
      <c r="I301">
        <v>0</v>
      </c>
      <c r="J301">
        <v>0</v>
      </c>
      <c r="K301">
        <v>4444</v>
      </c>
      <c r="L301">
        <v>360</v>
      </c>
      <c r="M301">
        <v>7066</v>
      </c>
      <c r="N301">
        <v>2301</v>
      </c>
      <c r="O301">
        <v>50371</v>
      </c>
      <c r="P301">
        <v>6811</v>
      </c>
      <c r="Q301">
        <v>15360</v>
      </c>
      <c r="R301">
        <v>23</v>
      </c>
      <c r="S301">
        <v>0</v>
      </c>
      <c r="T301">
        <v>6231</v>
      </c>
      <c r="U301">
        <v>5602</v>
      </c>
      <c r="V301">
        <v>4</v>
      </c>
      <c r="W301">
        <v>97133</v>
      </c>
      <c r="X301">
        <v>3274</v>
      </c>
      <c r="Y301">
        <v>27508</v>
      </c>
      <c r="Z301">
        <v>-897434.14031821117</v>
      </c>
      <c r="AA301">
        <v>-769229.26312989532</v>
      </c>
      <c r="AB301">
        <v>61462</v>
      </c>
      <c r="AC301">
        <v>-12683</v>
      </c>
      <c r="AD301" t="s">
        <v>161</v>
      </c>
      <c r="AE301" s="232">
        <f t="shared" si="41"/>
        <v>0</v>
      </c>
      <c r="AF301" s="232">
        <f t="shared" si="42"/>
        <v>0.12147262001585454</v>
      </c>
      <c r="AG301" s="232">
        <f t="shared" si="43"/>
        <v>1.2827772229829204E-2</v>
      </c>
      <c r="AH301" s="232">
        <f t="shared" si="44"/>
        <v>0.20151750692349665</v>
      </c>
      <c r="AI301" s="232">
        <f t="shared" si="45"/>
        <v>-1.8050302163013607E-2</v>
      </c>
      <c r="AJ301" s="232">
        <f t="shared" si="46"/>
        <v>3.370636138078717E-2</v>
      </c>
      <c r="AK301" s="232">
        <f t="shared" si="47"/>
        <v>-7.9193401123191422E-3</v>
      </c>
      <c r="AL301" s="232">
        <f t="shared" si="48"/>
        <v>-3.2643385872978291E-2</v>
      </c>
      <c r="AM301" s="232">
        <f t="shared" si="49"/>
        <v>0.67752790350482239</v>
      </c>
      <c r="AN301" s="232">
        <v>3.8300000000000001E-2</v>
      </c>
      <c r="AO301" s="232">
        <f t="shared" si="40"/>
        <v>0.1915</v>
      </c>
      <c r="AT301" t="s">
        <v>449</v>
      </c>
      <c r="AU301">
        <v>1849000</v>
      </c>
      <c r="AV301">
        <v>1796000</v>
      </c>
      <c r="AW301">
        <v>7487785.6655891808</v>
      </c>
      <c r="AX301">
        <v>3842785.6655891808</v>
      </c>
      <c r="AY301">
        <v>3842785.6655891808</v>
      </c>
      <c r="AZ301">
        <v>39964000</v>
      </c>
      <c r="BA301">
        <v>9.6156182203712859E-2</v>
      </c>
    </row>
    <row r="302" spans="1:53" x14ac:dyDescent="0.25">
      <c r="A302" t="s">
        <v>281</v>
      </c>
      <c r="B302">
        <v>1868</v>
      </c>
      <c r="C302">
        <v>227701</v>
      </c>
      <c r="D302">
        <v>2826</v>
      </c>
      <c r="E302">
        <v>503</v>
      </c>
      <c r="F302">
        <v>9420</v>
      </c>
      <c r="G302">
        <v>0</v>
      </c>
      <c r="H302">
        <v>9250</v>
      </c>
      <c r="I302">
        <v>0</v>
      </c>
      <c r="J302">
        <v>0</v>
      </c>
      <c r="K302">
        <v>3000</v>
      </c>
      <c r="L302">
        <v>1834</v>
      </c>
      <c r="M302">
        <v>13139</v>
      </c>
      <c r="N302">
        <v>5263</v>
      </c>
      <c r="O302">
        <v>89853</v>
      </c>
      <c r="P302">
        <v>16414</v>
      </c>
      <c r="Q302">
        <v>129578</v>
      </c>
      <c r="R302">
        <v>0</v>
      </c>
      <c r="S302">
        <v>12456</v>
      </c>
      <c r="T302">
        <v>4211</v>
      </c>
      <c r="U302">
        <v>22292</v>
      </c>
      <c r="V302">
        <v>-1</v>
      </c>
      <c r="W302">
        <v>190209</v>
      </c>
      <c r="X302">
        <v>-135</v>
      </c>
      <c r="Y302">
        <v>64918</v>
      </c>
      <c r="Z302">
        <v>7255871.0419167764</v>
      </c>
      <c r="AA302">
        <v>6219318.0359286657</v>
      </c>
      <c r="AB302">
        <v>221016</v>
      </c>
      <c r="AC302">
        <v>8553</v>
      </c>
      <c r="AD302" t="s">
        <v>281</v>
      </c>
      <c r="AE302" s="232">
        <f t="shared" si="41"/>
        <v>4.5326851137538024E-2</v>
      </c>
      <c r="AF302" s="232">
        <f t="shared" si="42"/>
        <v>0.71173288330205198</v>
      </c>
      <c r="AG302" s="232">
        <f t="shared" si="43"/>
        <v>5.216892996651052E-2</v>
      </c>
      <c r="AH302" s="232">
        <f t="shared" si="44"/>
        <v>4.8630716737904096E-2</v>
      </c>
      <c r="AI302" s="232">
        <f t="shared" si="45"/>
        <v>0.68395165318150042</v>
      </c>
      <c r="AJ302" s="232">
        <f t="shared" si="46"/>
        <v>-7.0974559563427597E-4</v>
      </c>
      <c r="AK302" s="232">
        <f t="shared" si="47"/>
        <v>3.269728580629027E-2</v>
      </c>
      <c r="AL302" s="232">
        <f t="shared" si="48"/>
        <v>1.124158162862956E-2</v>
      </c>
      <c r="AM302" s="232">
        <f t="shared" si="49"/>
        <v>0.38670106694225703</v>
      </c>
      <c r="AN302" s="232">
        <v>2.3099999999999999E-2</v>
      </c>
      <c r="AO302" s="232">
        <f t="shared" ref="AO302:AO357" si="50">5*AN302</f>
        <v>0.11549999999999999</v>
      </c>
      <c r="AT302" t="s">
        <v>159</v>
      </c>
      <c r="AU302">
        <v>3467000</v>
      </c>
      <c r="AV302">
        <v>2921000</v>
      </c>
      <c r="AW302">
        <v>6326181.9816688616</v>
      </c>
      <c r="AX302">
        <v>-61818.018331138417</v>
      </c>
      <c r="AY302">
        <v>0</v>
      </c>
      <c r="AZ302">
        <v>108962000</v>
      </c>
      <c r="BA302">
        <v>-5.6733556956680689E-4</v>
      </c>
    </row>
    <row r="303" spans="1:53" x14ac:dyDescent="0.25">
      <c r="A303" t="s">
        <v>400</v>
      </c>
      <c r="B303">
        <v>921</v>
      </c>
      <c r="C303">
        <v>57968</v>
      </c>
      <c r="D303">
        <v>139</v>
      </c>
      <c r="E303">
        <v>0</v>
      </c>
      <c r="F303">
        <v>5119</v>
      </c>
      <c r="G303">
        <v>0</v>
      </c>
      <c r="H303">
        <v>3754</v>
      </c>
      <c r="I303">
        <v>16</v>
      </c>
      <c r="J303">
        <v>0</v>
      </c>
      <c r="K303">
        <v>0</v>
      </c>
      <c r="L303">
        <v>-1128</v>
      </c>
      <c r="M303">
        <v>6615</v>
      </c>
      <c r="N303">
        <v>6197</v>
      </c>
      <c r="O303">
        <v>29747</v>
      </c>
      <c r="P303">
        <v>4840</v>
      </c>
      <c r="Q303">
        <v>36385</v>
      </c>
      <c r="R303">
        <v>106</v>
      </c>
      <c r="S303">
        <v>0</v>
      </c>
      <c r="T303">
        <v>8369</v>
      </c>
      <c r="U303">
        <v>154</v>
      </c>
      <c r="V303">
        <v>1</v>
      </c>
      <c r="W303">
        <v>64950</v>
      </c>
      <c r="X303">
        <v>1485</v>
      </c>
      <c r="Y303">
        <v>21867</v>
      </c>
      <c r="Z303">
        <v>5643551.2032900676</v>
      </c>
      <c r="AA303">
        <v>4837329.6028200574</v>
      </c>
      <c r="AB303">
        <v>41295</v>
      </c>
      <c r="AC303">
        <v>17594</v>
      </c>
      <c r="AD303" t="s">
        <v>400</v>
      </c>
      <c r="AE303" s="232">
        <f t="shared" si="41"/>
        <v>0</v>
      </c>
      <c r="AF303" s="232">
        <f t="shared" si="42"/>
        <v>0.43434949961508851</v>
      </c>
      <c r="AG303" s="232">
        <f t="shared" si="43"/>
        <v>7.8814472671285607E-2</v>
      </c>
      <c r="AH303" s="232">
        <f t="shared" si="44"/>
        <v>5.8044649730561969E-2</v>
      </c>
      <c r="AI303" s="232">
        <f t="shared" si="45"/>
        <v>0.40317598152424938</v>
      </c>
      <c r="AJ303" s="232">
        <f t="shared" si="46"/>
        <v>2.2863741339491917E-2</v>
      </c>
      <c r="AK303" s="232">
        <f t="shared" si="47"/>
        <v>7.4477746001848463E-2</v>
      </c>
      <c r="AL303" s="232">
        <f t="shared" si="48"/>
        <v>6.7721324095458044E-2</v>
      </c>
      <c r="AM303" s="232">
        <f t="shared" si="49"/>
        <v>0.43450459165085864</v>
      </c>
      <c r="AN303" s="232">
        <v>1.7600000000000001E-2</v>
      </c>
      <c r="AO303" s="232">
        <f t="shared" si="50"/>
        <v>8.8000000000000009E-2</v>
      </c>
      <c r="AT303" t="s">
        <v>202</v>
      </c>
      <c r="AU303">
        <v>1415000</v>
      </c>
      <c r="AV303">
        <v>1395000</v>
      </c>
      <c r="AW303">
        <v>5170938.1002323609</v>
      </c>
      <c r="AX303">
        <v>2360938.1002323609</v>
      </c>
      <c r="AY303">
        <v>2360938.1002323609</v>
      </c>
      <c r="AZ303">
        <v>35011000</v>
      </c>
      <c r="BA303">
        <v>6.7434180692706888E-2</v>
      </c>
    </row>
    <row r="304" spans="1:53" x14ac:dyDescent="0.25">
      <c r="A304" t="s">
        <v>454</v>
      </c>
      <c r="B304">
        <v>72</v>
      </c>
      <c r="C304">
        <v>126545</v>
      </c>
      <c r="D304">
        <v>175</v>
      </c>
      <c r="E304">
        <v>1189</v>
      </c>
      <c r="F304">
        <v>2099</v>
      </c>
      <c r="G304">
        <v>0</v>
      </c>
      <c r="H304">
        <v>108570</v>
      </c>
      <c r="I304">
        <v>0</v>
      </c>
      <c r="J304">
        <v>0</v>
      </c>
      <c r="K304">
        <v>1689</v>
      </c>
      <c r="L304">
        <v>762</v>
      </c>
      <c r="M304">
        <v>8730</v>
      </c>
      <c r="N304">
        <v>4200</v>
      </c>
      <c r="O304">
        <v>68728</v>
      </c>
      <c r="P304">
        <v>13469</v>
      </c>
      <c r="Q304">
        <v>126509</v>
      </c>
      <c r="R304">
        <v>0</v>
      </c>
      <c r="S304">
        <v>4000</v>
      </c>
      <c r="T304">
        <v>11056</v>
      </c>
      <c r="U304">
        <v>30269</v>
      </c>
      <c r="V304">
        <v>-1</v>
      </c>
      <c r="W304">
        <v>108772</v>
      </c>
      <c r="X304">
        <v>7457</v>
      </c>
      <c r="Y304">
        <v>44925</v>
      </c>
      <c r="Z304">
        <v>7957996.1714098267</v>
      </c>
      <c r="AA304">
        <v>6821139.5754941367</v>
      </c>
      <c r="AB304">
        <v>115029</v>
      </c>
      <c r="AC304">
        <v>11588</v>
      </c>
      <c r="AD304" t="s">
        <v>454</v>
      </c>
      <c r="AE304" s="232">
        <f t="shared" si="41"/>
        <v>1.5746109726765632E-2</v>
      </c>
      <c r="AF304" s="232">
        <f t="shared" si="42"/>
        <v>1.4081289302393998</v>
      </c>
      <c r="AG304" s="232">
        <f t="shared" si="43"/>
        <v>3.0228367594601551E-2</v>
      </c>
      <c r="AH304" s="232">
        <f t="shared" si="44"/>
        <v>0.99814290442393261</v>
      </c>
      <c r="AI304" s="232">
        <f t="shared" si="45"/>
        <v>0.71305630125399921</v>
      </c>
      <c r="AJ304" s="232">
        <f t="shared" si="46"/>
        <v>6.8556246092744452E-2</v>
      </c>
      <c r="AK304" s="232">
        <f t="shared" si="47"/>
        <v>6.2710436284100099E-2</v>
      </c>
      <c r="AL304" s="232">
        <f t="shared" si="48"/>
        <v>2.6633692494391938E-2</v>
      </c>
      <c r="AM304" s="232">
        <f t="shared" si="49"/>
        <v>0.32357074530273866</v>
      </c>
      <c r="AN304" s="232">
        <v>1.3299999999999999E-2</v>
      </c>
      <c r="AO304" s="232">
        <f t="shared" si="50"/>
        <v>6.6500000000000004E-2</v>
      </c>
      <c r="AT304" t="s">
        <v>321</v>
      </c>
      <c r="AU304">
        <v>2229000</v>
      </c>
      <c r="AV304">
        <v>680000.00000000023</v>
      </c>
      <c r="AW304">
        <v>5024564.5817321464</v>
      </c>
      <c r="AX304">
        <v>2115564.5817321464</v>
      </c>
      <c r="AY304">
        <v>2115564.5817321464</v>
      </c>
      <c r="AZ304">
        <v>46691000</v>
      </c>
      <c r="BA304">
        <v>4.5309900874518569E-2</v>
      </c>
    </row>
    <row r="305" spans="1:53" x14ac:dyDescent="0.25">
      <c r="A305" t="s">
        <v>325</v>
      </c>
      <c r="B305">
        <v>1695</v>
      </c>
      <c r="C305">
        <v>191094</v>
      </c>
      <c r="D305">
        <v>1491</v>
      </c>
      <c r="E305">
        <v>4580</v>
      </c>
      <c r="F305">
        <v>6161</v>
      </c>
      <c r="G305">
        <v>0</v>
      </c>
      <c r="H305">
        <v>37644</v>
      </c>
      <c r="I305">
        <v>575</v>
      </c>
      <c r="J305">
        <v>0</v>
      </c>
      <c r="K305">
        <v>0</v>
      </c>
      <c r="L305">
        <v>747</v>
      </c>
      <c r="M305">
        <v>20644</v>
      </c>
      <c r="N305">
        <v>7311</v>
      </c>
      <c r="O305">
        <v>58784</v>
      </c>
      <c r="P305">
        <v>21156</v>
      </c>
      <c r="Q305">
        <v>162930</v>
      </c>
      <c r="R305">
        <v>2706</v>
      </c>
      <c r="S305">
        <v>12500</v>
      </c>
      <c r="T305">
        <v>8867</v>
      </c>
      <c r="U305">
        <v>4999</v>
      </c>
      <c r="V305">
        <v>1</v>
      </c>
      <c r="W305">
        <v>171701</v>
      </c>
      <c r="X305">
        <v>95</v>
      </c>
      <c r="Y305">
        <v>67831</v>
      </c>
      <c r="Z305">
        <v>7074052.2865657546</v>
      </c>
      <c r="AA305">
        <v>6063473.3884849325</v>
      </c>
      <c r="AB305">
        <v>166543</v>
      </c>
      <c r="AC305">
        <v>26246</v>
      </c>
      <c r="AD305" t="s">
        <v>325</v>
      </c>
      <c r="AE305" s="232">
        <f t="shared" si="41"/>
        <v>4.5965683859058179E-2</v>
      </c>
      <c r="AF305" s="232">
        <f t="shared" si="42"/>
        <v>0.88851550078333852</v>
      </c>
      <c r="AG305" s="232">
        <f t="shared" si="43"/>
        <v>6.2556420754684011E-2</v>
      </c>
      <c r="AH305" s="232">
        <f t="shared" si="44"/>
        <v>0.22259043336963674</v>
      </c>
      <c r="AI305" s="232">
        <f t="shared" si="45"/>
        <v>0.74020896791515489</v>
      </c>
      <c r="AJ305" s="232">
        <f t="shared" si="46"/>
        <v>5.5328740077227275E-4</v>
      </c>
      <c r="AK305" s="232">
        <f t="shared" si="47"/>
        <v>3.5314141376491297E-2</v>
      </c>
      <c r="AL305" s="232">
        <f t="shared" si="48"/>
        <v>3.8214687159655446E-2</v>
      </c>
      <c r="AM305" s="232">
        <f t="shared" si="49"/>
        <v>0.29395974141544889</v>
      </c>
      <c r="AN305" s="232">
        <v>2.7E-2</v>
      </c>
      <c r="AO305" s="232">
        <f t="shared" si="50"/>
        <v>0.13500000000000001</v>
      </c>
      <c r="AT305" t="s">
        <v>450</v>
      </c>
      <c r="AU305">
        <v>2619000</v>
      </c>
      <c r="AV305">
        <v>1075000</v>
      </c>
      <c r="AW305">
        <v>5981032.076386705</v>
      </c>
      <c r="AX305">
        <v>2287032.076386705</v>
      </c>
      <c r="AY305">
        <v>2287032.076386705</v>
      </c>
      <c r="AZ305">
        <v>57701000</v>
      </c>
      <c r="BA305">
        <v>3.9635917512464341E-2</v>
      </c>
    </row>
    <row r="306" spans="1:53" x14ac:dyDescent="0.25">
      <c r="A306" t="s">
        <v>490</v>
      </c>
      <c r="B306">
        <v>28770</v>
      </c>
      <c r="C306">
        <v>293568</v>
      </c>
      <c r="D306">
        <v>20828</v>
      </c>
      <c r="E306">
        <v>31951</v>
      </c>
      <c r="F306">
        <v>2901</v>
      </c>
      <c r="G306">
        <v>0</v>
      </c>
      <c r="H306">
        <v>20326</v>
      </c>
      <c r="I306">
        <v>205</v>
      </c>
      <c r="J306">
        <v>30274</v>
      </c>
      <c r="K306">
        <v>0</v>
      </c>
      <c r="L306">
        <v>6492</v>
      </c>
      <c r="M306">
        <v>25732</v>
      </c>
      <c r="N306">
        <v>6230</v>
      </c>
      <c r="O306">
        <v>42617</v>
      </c>
      <c r="P306">
        <v>29626</v>
      </c>
      <c r="Q306">
        <v>323470</v>
      </c>
      <c r="R306">
        <v>58</v>
      </c>
      <c r="S306">
        <v>0</v>
      </c>
      <c r="T306">
        <v>44916</v>
      </c>
      <c r="U306">
        <v>26590</v>
      </c>
      <c r="V306">
        <v>0</v>
      </c>
      <c r="W306">
        <v>383141</v>
      </c>
      <c r="X306">
        <v>-26275</v>
      </c>
      <c r="Y306">
        <v>101192</v>
      </c>
      <c r="Z306">
        <v>-2223437.580388125</v>
      </c>
      <c r="AA306">
        <v>-1905803.6403326786</v>
      </c>
      <c r="AB306">
        <v>279927</v>
      </c>
      <c r="AC306">
        <v>42411</v>
      </c>
      <c r="AD306" t="s">
        <v>490</v>
      </c>
      <c r="AE306" s="232">
        <f t="shared" si="41"/>
        <v>0</v>
      </c>
      <c r="AF306" s="232">
        <f t="shared" si="42"/>
        <v>0.76069645378594308</v>
      </c>
      <c r="AG306" s="232">
        <f t="shared" si="43"/>
        <v>9.0963901018163026E-2</v>
      </c>
      <c r="AH306" s="232">
        <f t="shared" si="44"/>
        <v>5.3586016636173107E-2</v>
      </c>
      <c r="AI306" s="232">
        <f t="shared" si="45"/>
        <v>0.73410191026280147</v>
      </c>
      <c r="AJ306" s="232">
        <f t="shared" si="46"/>
        <v>-6.8577886469994076E-2</v>
      </c>
      <c r="AK306" s="232">
        <f t="shared" si="47"/>
        <v>-4.9741573998415166E-3</v>
      </c>
      <c r="AL306" s="232">
        <f t="shared" si="48"/>
        <v>2.7673232569732815E-2</v>
      </c>
      <c r="AM306" s="232">
        <f t="shared" si="49"/>
        <v>0.15460422832709506</v>
      </c>
      <c r="AN306" s="232">
        <v>4.4400000000000002E-2</v>
      </c>
      <c r="AO306" s="232">
        <f t="shared" si="50"/>
        <v>0.222</v>
      </c>
      <c r="AT306" t="s">
        <v>203</v>
      </c>
      <c r="AU306">
        <v>4117000</v>
      </c>
      <c r="AV306">
        <v>3242000</v>
      </c>
      <c r="AW306">
        <v>12692897.191170158</v>
      </c>
      <c r="AX306">
        <v>5333897.1911701579</v>
      </c>
      <c r="AY306">
        <v>5333897.1911701579</v>
      </c>
      <c r="AZ306">
        <v>120035000</v>
      </c>
      <c r="BA306">
        <v>4.4436182706461928E-2</v>
      </c>
    </row>
    <row r="307" spans="1:53" x14ac:dyDescent="0.25">
      <c r="A307" t="s">
        <v>491</v>
      </c>
      <c r="B307">
        <v>5914</v>
      </c>
      <c r="C307">
        <v>100717</v>
      </c>
      <c r="D307">
        <v>2954</v>
      </c>
      <c r="E307">
        <v>15661</v>
      </c>
      <c r="F307">
        <v>1485</v>
      </c>
      <c r="G307">
        <v>0</v>
      </c>
      <c r="H307">
        <v>10728</v>
      </c>
      <c r="I307">
        <v>15</v>
      </c>
      <c r="J307">
        <v>0</v>
      </c>
      <c r="K307">
        <v>0</v>
      </c>
      <c r="L307">
        <v>310</v>
      </c>
      <c r="M307">
        <v>11628</v>
      </c>
      <c r="N307">
        <v>320</v>
      </c>
      <c r="O307">
        <v>45811</v>
      </c>
      <c r="P307">
        <v>18493</v>
      </c>
      <c r="Q307">
        <v>82451</v>
      </c>
      <c r="R307">
        <v>57</v>
      </c>
      <c r="S307">
        <v>-21007</v>
      </c>
      <c r="T307">
        <v>5878</v>
      </c>
      <c r="U307">
        <v>18049</v>
      </c>
      <c r="V307">
        <v>0</v>
      </c>
      <c r="W307">
        <v>114721</v>
      </c>
      <c r="X307">
        <v>1866</v>
      </c>
      <c r="Y307">
        <v>43341</v>
      </c>
      <c r="Z307">
        <v>1106337.1598234139</v>
      </c>
      <c r="AA307">
        <v>948288.99413435475</v>
      </c>
      <c r="AB307">
        <v>101073</v>
      </c>
      <c r="AC307">
        <v>5558</v>
      </c>
      <c r="AD307" t="s">
        <v>491</v>
      </c>
      <c r="AE307" s="232">
        <f t="shared" si="41"/>
        <v>-0.14029733123180083</v>
      </c>
      <c r="AF307" s="232">
        <f t="shared" si="42"/>
        <v>0.48834999694912001</v>
      </c>
      <c r="AG307" s="232">
        <f t="shared" si="43"/>
        <v>0.1494582508869344</v>
      </c>
      <c r="AH307" s="232">
        <f t="shared" si="44"/>
        <v>9.3644581201349358E-2</v>
      </c>
      <c r="AI307" s="232">
        <f t="shared" si="45"/>
        <v>0.44073378021460757</v>
      </c>
      <c r="AJ307" s="232">
        <f t="shared" si="46"/>
        <v>1.6265548591800977E-2</v>
      </c>
      <c r="AK307" s="232">
        <f t="shared" si="47"/>
        <v>8.2660453982649623E-3</v>
      </c>
      <c r="AL307" s="232">
        <f t="shared" si="48"/>
        <v>1.2111993444966484E-2</v>
      </c>
      <c r="AM307" s="232">
        <f t="shared" si="49"/>
        <v>0.42946063633692194</v>
      </c>
      <c r="AN307" s="232">
        <v>3.1E-2</v>
      </c>
      <c r="AO307" s="232">
        <f t="shared" si="50"/>
        <v>0.155</v>
      </c>
      <c r="AT307" t="s">
        <v>487</v>
      </c>
      <c r="AU307">
        <v>3530000</v>
      </c>
      <c r="AV307">
        <v>1868000</v>
      </c>
      <c r="AW307">
        <v>6112974.5791082773</v>
      </c>
      <c r="AX307">
        <v>714974.57910827734</v>
      </c>
      <c r="AY307">
        <v>714974.57910827734</v>
      </c>
      <c r="AZ307">
        <v>58478000</v>
      </c>
      <c r="BA307">
        <v>1.2226385634055155E-2</v>
      </c>
    </row>
    <row r="308" spans="1:53" x14ac:dyDescent="0.25">
      <c r="A308" t="s">
        <v>752</v>
      </c>
      <c r="B308">
        <v>-142</v>
      </c>
      <c r="C308">
        <v>139989</v>
      </c>
      <c r="D308">
        <v>8149</v>
      </c>
      <c r="E308">
        <v>3505</v>
      </c>
      <c r="F308">
        <v>17935</v>
      </c>
      <c r="G308">
        <v>0</v>
      </c>
      <c r="H308">
        <v>28835</v>
      </c>
      <c r="I308">
        <v>13</v>
      </c>
      <c r="J308">
        <v>0</v>
      </c>
      <c r="K308">
        <v>1499</v>
      </c>
      <c r="L308">
        <v>892</v>
      </c>
      <c r="M308">
        <v>17287</v>
      </c>
      <c r="N308">
        <v>10222</v>
      </c>
      <c r="O308">
        <v>81217</v>
      </c>
      <c r="P308">
        <v>25348</v>
      </c>
      <c r="Q308">
        <v>88610</v>
      </c>
      <c r="R308">
        <v>-1</v>
      </c>
      <c r="S308">
        <v>8098</v>
      </c>
      <c r="T308">
        <v>16560</v>
      </c>
      <c r="U308">
        <v>8352</v>
      </c>
      <c r="V308">
        <v>0</v>
      </c>
      <c r="W308">
        <v>145561</v>
      </c>
      <c r="X308">
        <v>-8092</v>
      </c>
      <c r="Y308">
        <v>55001</v>
      </c>
      <c r="Z308">
        <v>4684814.7436754154</v>
      </c>
      <c r="AA308">
        <v>4015555.4945789278</v>
      </c>
      <c r="AB308">
        <v>138201</v>
      </c>
      <c r="AC308">
        <v>1646</v>
      </c>
      <c r="AD308" t="s">
        <v>752</v>
      </c>
      <c r="AE308" s="232">
        <f t="shared" si="41"/>
        <v>3.5488903691757528E-2</v>
      </c>
      <c r="AF308" s="232">
        <f t="shared" si="42"/>
        <v>0.48281476494390668</v>
      </c>
      <c r="AG308" s="232">
        <f t="shared" si="43"/>
        <v>0.14729220052074388</v>
      </c>
      <c r="AH308" s="232">
        <f t="shared" si="44"/>
        <v>0.19818495338723971</v>
      </c>
      <c r="AI308" s="232">
        <f t="shared" si="45"/>
        <v>0.36176036163532815</v>
      </c>
      <c r="AJ308" s="232">
        <f t="shared" si="46"/>
        <v>-5.5591813741318073E-2</v>
      </c>
      <c r="AK308" s="232">
        <f t="shared" si="47"/>
        <v>2.7586753969668577E-2</v>
      </c>
      <c r="AL308" s="232">
        <f t="shared" si="48"/>
        <v>2.826993494136479E-3</v>
      </c>
      <c r="AM308" s="232">
        <f t="shared" si="49"/>
        <v>0.46701346281947903</v>
      </c>
      <c r="AN308" s="232">
        <v>0.04</v>
      </c>
      <c r="AO308" s="232">
        <f t="shared" si="50"/>
        <v>0.2</v>
      </c>
      <c r="AT308" t="s">
        <v>278</v>
      </c>
      <c r="AU308">
        <v>9806000.0000000019</v>
      </c>
      <c r="AV308">
        <v>3875000</v>
      </c>
      <c r="AW308">
        <v>21210194.727457467</v>
      </c>
      <c r="AX308">
        <v>7529194.7274574656</v>
      </c>
      <c r="AY308">
        <v>7529194.7274574656</v>
      </c>
      <c r="AZ308">
        <v>126746000</v>
      </c>
      <c r="BA308">
        <v>5.9403805464925644E-2</v>
      </c>
    </row>
    <row r="309" spans="1:53" x14ac:dyDescent="0.25">
      <c r="A309" t="s">
        <v>378</v>
      </c>
      <c r="B309">
        <v>6374</v>
      </c>
      <c r="C309">
        <v>315240</v>
      </c>
      <c r="D309">
        <v>2073</v>
      </c>
      <c r="E309">
        <v>0</v>
      </c>
      <c r="F309">
        <v>1878</v>
      </c>
      <c r="G309">
        <v>0</v>
      </c>
      <c r="H309">
        <v>16289</v>
      </c>
      <c r="I309">
        <v>187</v>
      </c>
      <c r="J309">
        <v>0</v>
      </c>
      <c r="K309">
        <v>16706</v>
      </c>
      <c r="L309">
        <v>221</v>
      </c>
      <c r="M309">
        <v>20259</v>
      </c>
      <c r="N309">
        <v>12789</v>
      </c>
      <c r="O309">
        <v>80921</v>
      </c>
      <c r="P309">
        <v>17120</v>
      </c>
      <c r="Q309">
        <v>255000</v>
      </c>
      <c r="R309">
        <v>4</v>
      </c>
      <c r="S309">
        <v>5000</v>
      </c>
      <c r="T309">
        <v>15640</v>
      </c>
      <c r="U309">
        <v>18331</v>
      </c>
      <c r="V309">
        <v>1</v>
      </c>
      <c r="W309">
        <v>244841</v>
      </c>
      <c r="X309">
        <v>4662</v>
      </c>
      <c r="Y309">
        <v>72050</v>
      </c>
      <c r="Z309">
        <v>2623738.7420627698</v>
      </c>
      <c r="AA309">
        <v>2248918.9217680884</v>
      </c>
      <c r="AB309">
        <v>329169</v>
      </c>
      <c r="AC309">
        <v>-7555</v>
      </c>
      <c r="AD309" t="s">
        <v>378</v>
      </c>
      <c r="AE309" s="232">
        <f t="shared" si="41"/>
        <v>1.2754581445655279E-2</v>
      </c>
      <c r="AF309" s="232">
        <f t="shared" si="42"/>
        <v>0.98889483379009235</v>
      </c>
      <c r="AG309" s="232">
        <f t="shared" si="43"/>
        <v>7.6702839802157315E-3</v>
      </c>
      <c r="AH309" s="232">
        <f t="shared" si="44"/>
        <v>6.7292651149113092E-2</v>
      </c>
      <c r="AI309" s="232">
        <f t="shared" si="45"/>
        <v>0.94271041206333905</v>
      </c>
      <c r="AJ309" s="232">
        <f t="shared" si="46"/>
        <v>1.9040928602644166E-2</v>
      </c>
      <c r="AK309" s="232">
        <f t="shared" si="47"/>
        <v>9.1852219267528241E-3</v>
      </c>
      <c r="AL309" s="232">
        <f t="shared" si="48"/>
        <v>-7.714190025363399E-3</v>
      </c>
      <c r="AM309" s="232">
        <f t="shared" si="49"/>
        <v>0.25009438390269784</v>
      </c>
      <c r="AN309" s="232">
        <v>2.3099999999999999E-2</v>
      </c>
      <c r="AO309" s="232">
        <f t="shared" si="50"/>
        <v>0.11549999999999999</v>
      </c>
      <c r="AT309" t="s">
        <v>376</v>
      </c>
      <c r="AU309">
        <v>838000</v>
      </c>
      <c r="AV309">
        <v>691000</v>
      </c>
      <c r="AW309">
        <v>2730317.884409335</v>
      </c>
      <c r="AX309">
        <v>1201317.884409335</v>
      </c>
      <c r="AY309">
        <v>1201317.884409335</v>
      </c>
      <c r="AZ309">
        <v>20864000</v>
      </c>
      <c r="BA309">
        <v>5.7578502895386068E-2</v>
      </c>
    </row>
    <row r="310" spans="1:53" x14ac:dyDescent="0.25">
      <c r="A310" t="s">
        <v>183</v>
      </c>
      <c r="B310">
        <v>27</v>
      </c>
      <c r="C310">
        <v>11173</v>
      </c>
      <c r="D310">
        <v>910</v>
      </c>
      <c r="E310">
        <v>0</v>
      </c>
      <c r="F310">
        <v>0</v>
      </c>
      <c r="G310">
        <v>0</v>
      </c>
      <c r="H310">
        <v>91</v>
      </c>
      <c r="I310">
        <v>12</v>
      </c>
      <c r="J310">
        <v>0</v>
      </c>
      <c r="K310">
        <v>3807</v>
      </c>
      <c r="L310">
        <v>107</v>
      </c>
      <c r="M310">
        <v>539</v>
      </c>
      <c r="N310">
        <v>1853</v>
      </c>
      <c r="O310">
        <v>7100</v>
      </c>
      <c r="P310">
        <v>1227</v>
      </c>
      <c r="Q310">
        <v>9122</v>
      </c>
      <c r="R310">
        <v>5</v>
      </c>
      <c r="S310">
        <v>0</v>
      </c>
      <c r="T310">
        <v>366</v>
      </c>
      <c r="U310">
        <v>699</v>
      </c>
      <c r="V310">
        <v>2</v>
      </c>
      <c r="W310">
        <v>8204</v>
      </c>
      <c r="X310">
        <v>-275</v>
      </c>
      <c r="Y310">
        <v>1132</v>
      </c>
      <c r="Z310">
        <v>547188.70524130762</v>
      </c>
      <c r="AA310">
        <v>469018.89020683512</v>
      </c>
      <c r="AB310">
        <v>6425</v>
      </c>
      <c r="AC310">
        <v>4775</v>
      </c>
      <c r="AD310" t="s">
        <v>183</v>
      </c>
      <c r="AE310" s="232">
        <f t="shared" si="41"/>
        <v>0</v>
      </c>
      <c r="AF310" s="232">
        <f t="shared" si="42"/>
        <v>0.47367137981472451</v>
      </c>
      <c r="AG310" s="232">
        <f t="shared" si="43"/>
        <v>0</v>
      </c>
      <c r="AH310" s="232">
        <f t="shared" si="44"/>
        <v>1.2554851292052657E-2</v>
      </c>
      <c r="AI310" s="232">
        <f t="shared" si="45"/>
        <v>0.46488298391028765</v>
      </c>
      <c r="AJ310" s="232">
        <f t="shared" si="46"/>
        <v>-3.3520234032179422E-2</v>
      </c>
      <c r="AK310" s="232">
        <f t="shared" si="47"/>
        <v>5.7169538055440651E-2</v>
      </c>
      <c r="AL310" s="232">
        <f t="shared" si="48"/>
        <v>0.14550828863968795</v>
      </c>
      <c r="AM310" s="232">
        <f t="shared" si="49"/>
        <v>0.44964630919596088</v>
      </c>
      <c r="AN310" s="232">
        <v>1.2999999999999999E-3</v>
      </c>
      <c r="AO310" s="232">
        <f t="shared" si="50"/>
        <v>6.4999999999999997E-3</v>
      </c>
      <c r="AT310" t="s">
        <v>508</v>
      </c>
      <c r="AU310">
        <v>10108000.000000002</v>
      </c>
      <c r="AV310">
        <v>10094000</v>
      </c>
      <c r="AW310">
        <v>24203295.930458434</v>
      </c>
      <c r="AX310">
        <v>4001295.9304584321</v>
      </c>
      <c r="AY310">
        <v>4001295.9304584321</v>
      </c>
      <c r="AZ310">
        <v>253002000</v>
      </c>
      <c r="BA310">
        <v>1.5815273912690143E-2</v>
      </c>
    </row>
    <row r="311" spans="1:53" x14ac:dyDescent="0.25">
      <c r="A311" t="s">
        <v>401</v>
      </c>
      <c r="B311">
        <v>8455</v>
      </c>
      <c r="C311">
        <v>136214</v>
      </c>
      <c r="D311">
        <v>2575</v>
      </c>
      <c r="E311">
        <v>375</v>
      </c>
      <c r="F311">
        <v>1096</v>
      </c>
      <c r="G311">
        <v>0</v>
      </c>
      <c r="H311">
        <v>136943</v>
      </c>
      <c r="I311">
        <v>3</v>
      </c>
      <c r="J311">
        <v>0</v>
      </c>
      <c r="K311">
        <v>0</v>
      </c>
      <c r="L311">
        <v>-5839</v>
      </c>
      <c r="M311">
        <v>9989</v>
      </c>
      <c r="N311">
        <v>13916</v>
      </c>
      <c r="O311">
        <v>-131712</v>
      </c>
      <c r="P311">
        <v>190485</v>
      </c>
      <c r="Q311">
        <v>209397</v>
      </c>
      <c r="R311">
        <v>0</v>
      </c>
      <c r="S311">
        <v>10000</v>
      </c>
      <c r="T311">
        <v>3246</v>
      </c>
      <c r="U311">
        <v>22311</v>
      </c>
      <c r="V311">
        <v>-5</v>
      </c>
      <c r="W311">
        <v>216372</v>
      </c>
      <c r="X311">
        <v>7649</v>
      </c>
      <c r="Y311">
        <v>44485</v>
      </c>
      <c r="Z311">
        <v>843675.56955775805</v>
      </c>
      <c r="AA311">
        <v>723150.48819236399</v>
      </c>
      <c r="AB311">
        <v>148749</v>
      </c>
      <c r="AC311">
        <v>-4080</v>
      </c>
      <c r="AD311" t="s">
        <v>401</v>
      </c>
      <c r="AE311" s="232">
        <f t="shared" si="41"/>
        <v>3.2924303733286801E-2</v>
      </c>
      <c r="AF311" s="232">
        <f t="shared" si="42"/>
        <v>1.0418030059342245</v>
      </c>
      <c r="AG311" s="232">
        <f t="shared" si="43"/>
        <v>6.7984766975394233E-3</v>
      </c>
      <c r="AH311" s="232">
        <f t="shared" si="44"/>
        <v>0.63291923169356479</v>
      </c>
      <c r="AI311" s="232">
        <f t="shared" si="45"/>
        <v>0.59957536095243391</v>
      </c>
      <c r="AJ311" s="232">
        <f t="shared" si="46"/>
        <v>3.535115449318766E-2</v>
      </c>
      <c r="AK311" s="232">
        <f t="shared" si="47"/>
        <v>3.3421629794629804E-3</v>
      </c>
      <c r="AL311" s="232">
        <f t="shared" si="48"/>
        <v>-4.7141034884365818E-3</v>
      </c>
      <c r="AM311" s="232">
        <f t="shared" si="49"/>
        <v>0.19350601033164652</v>
      </c>
      <c r="AN311" s="232">
        <v>2.4299999999999999E-2</v>
      </c>
      <c r="AO311" s="232">
        <f t="shared" si="50"/>
        <v>0.1215</v>
      </c>
      <c r="AT311" t="s">
        <v>160</v>
      </c>
      <c r="AU311">
        <v>927000</v>
      </c>
      <c r="AV311">
        <v>786000</v>
      </c>
      <c r="AW311">
        <v>1661512.940116745</v>
      </c>
      <c r="AX311">
        <v>-51487.059883255046</v>
      </c>
      <c r="AY311">
        <v>0</v>
      </c>
      <c r="AZ311">
        <v>25696000</v>
      </c>
      <c r="BA311">
        <v>-2.0036994039249315E-3</v>
      </c>
    </row>
    <row r="312" spans="1:53" x14ac:dyDescent="0.25">
      <c r="A312" t="s">
        <v>492</v>
      </c>
      <c r="B312">
        <v>0</v>
      </c>
      <c r="C312">
        <v>34717</v>
      </c>
      <c r="D312">
        <v>325</v>
      </c>
      <c r="E312">
        <v>0</v>
      </c>
      <c r="F312">
        <v>615</v>
      </c>
      <c r="G312">
        <v>0</v>
      </c>
      <c r="H312">
        <v>0</v>
      </c>
      <c r="I312">
        <v>2</v>
      </c>
      <c r="J312">
        <v>11300</v>
      </c>
      <c r="K312">
        <v>0</v>
      </c>
      <c r="L312">
        <v>257</v>
      </c>
      <c r="M312">
        <v>3206</v>
      </c>
      <c r="N312">
        <v>1675</v>
      </c>
      <c r="O312">
        <v>21124</v>
      </c>
      <c r="P312">
        <v>3024</v>
      </c>
      <c r="Q312">
        <v>19086</v>
      </c>
      <c r="R312">
        <v>8</v>
      </c>
      <c r="S312">
        <v>5500</v>
      </c>
      <c r="T312">
        <v>3353</v>
      </c>
      <c r="U312">
        <v>2</v>
      </c>
      <c r="V312">
        <v>1</v>
      </c>
      <c r="W312">
        <v>25739</v>
      </c>
      <c r="X312">
        <v>1108</v>
      </c>
      <c r="Y312">
        <v>12390</v>
      </c>
      <c r="Z312">
        <v>1033159.0298241647</v>
      </c>
      <c r="AA312">
        <v>885564.8827064269</v>
      </c>
      <c r="AB312">
        <v>26304</v>
      </c>
      <c r="AC312">
        <v>8413</v>
      </c>
      <c r="AD312" t="s">
        <v>492</v>
      </c>
      <c r="AE312" s="232">
        <f t="shared" si="41"/>
        <v>0.10557229782904966</v>
      </c>
      <c r="AF312" s="232">
        <f t="shared" si="42"/>
        <v>0.42332646955981196</v>
      </c>
      <c r="AG312" s="232">
        <f t="shared" si="43"/>
        <v>2.3893702164031236E-2</v>
      </c>
      <c r="AH312" s="232">
        <f t="shared" si="44"/>
        <v>7.7703096468394265E-5</v>
      </c>
      <c r="AI312" s="232">
        <f t="shared" si="45"/>
        <v>0.42613932165196783</v>
      </c>
      <c r="AJ312" s="232">
        <f t="shared" si="46"/>
        <v>4.3047515443490426E-2</v>
      </c>
      <c r="AK312" s="232">
        <f t="shared" si="47"/>
        <v>3.4405566754979869E-2</v>
      </c>
      <c r="AL312" s="232">
        <f t="shared" si="48"/>
        <v>8.1714518823575125E-2</v>
      </c>
      <c r="AM312" s="232">
        <f t="shared" si="49"/>
        <v>0.46351997235925291</v>
      </c>
      <c r="AN312" s="232">
        <v>3.3599999999999998E-2</v>
      </c>
      <c r="AO312" s="232">
        <f t="shared" si="50"/>
        <v>0.16799999999999998</v>
      </c>
      <c r="AT312" t="s">
        <v>398</v>
      </c>
      <c r="AU312">
        <v>6484000</v>
      </c>
      <c r="AV312">
        <v>10170000</v>
      </c>
      <c r="AW312">
        <v>18498661.197941925</v>
      </c>
      <c r="AX312">
        <v>1844661.1979419254</v>
      </c>
      <c r="AY312">
        <v>1844661.1979419254</v>
      </c>
      <c r="AZ312">
        <v>153832000</v>
      </c>
      <c r="BA312">
        <v>1.1991400995514103E-2</v>
      </c>
    </row>
    <row r="313" spans="1:53" x14ac:dyDescent="0.25">
      <c r="A313" t="s">
        <v>379</v>
      </c>
      <c r="B313">
        <v>9000</v>
      </c>
      <c r="C313">
        <v>56566</v>
      </c>
      <c r="D313">
        <v>290</v>
      </c>
      <c r="E313">
        <v>984</v>
      </c>
      <c r="F313">
        <v>6268</v>
      </c>
      <c r="G313">
        <v>0</v>
      </c>
      <c r="H313">
        <v>9460</v>
      </c>
      <c r="I313">
        <v>0</v>
      </c>
      <c r="J313">
        <v>0</v>
      </c>
      <c r="K313">
        <v>-76</v>
      </c>
      <c r="L313">
        <v>-2205</v>
      </c>
      <c r="M313">
        <v>8194</v>
      </c>
      <c r="N313">
        <v>827</v>
      </c>
      <c r="O313">
        <v>34250</v>
      </c>
      <c r="P313">
        <v>10683</v>
      </c>
      <c r="Q313">
        <v>36900</v>
      </c>
      <c r="R313">
        <v>6</v>
      </c>
      <c r="S313">
        <v>0</v>
      </c>
      <c r="T313">
        <v>3378</v>
      </c>
      <c r="U313">
        <v>4091</v>
      </c>
      <c r="V313">
        <v>2</v>
      </c>
      <c r="W313">
        <v>52358</v>
      </c>
      <c r="X313">
        <v>3235</v>
      </c>
      <c r="Y313">
        <v>25453</v>
      </c>
      <c r="Z313">
        <v>3180098.4226978365</v>
      </c>
      <c r="AA313">
        <v>2725798.6480267174</v>
      </c>
      <c r="AB313">
        <v>58361</v>
      </c>
      <c r="AC313">
        <v>7205</v>
      </c>
      <c r="AD313" t="s">
        <v>379</v>
      </c>
      <c r="AE313" s="232">
        <f t="shared" si="41"/>
        <v>0</v>
      </c>
      <c r="AF313" s="232">
        <f t="shared" si="42"/>
        <v>0.58029336491080641</v>
      </c>
      <c r="AG313" s="232">
        <f t="shared" si="43"/>
        <v>0.13850796439894572</v>
      </c>
      <c r="AH313" s="232">
        <f t="shared" si="44"/>
        <v>0.18067917032736164</v>
      </c>
      <c r="AI313" s="232">
        <f t="shared" si="45"/>
        <v>0.47043890140952671</v>
      </c>
      <c r="AJ313" s="232">
        <f t="shared" si="46"/>
        <v>6.178616448298254E-2</v>
      </c>
      <c r="AK313" s="232">
        <f t="shared" si="47"/>
        <v>5.2060786279588933E-2</v>
      </c>
      <c r="AL313" s="232">
        <f t="shared" si="48"/>
        <v>3.4402574582680777E-2</v>
      </c>
      <c r="AM313" s="232">
        <f t="shared" si="49"/>
        <v>0.50312402024454694</v>
      </c>
      <c r="AN313" s="232">
        <v>2.0899999999999998E-2</v>
      </c>
      <c r="AO313" s="232">
        <f t="shared" si="50"/>
        <v>0.1045</v>
      </c>
      <c r="AT313" t="s">
        <v>181</v>
      </c>
      <c r="AU313">
        <v>859000</v>
      </c>
      <c r="AV313">
        <v>531999.99999999988</v>
      </c>
      <c r="AW313">
        <v>2875086.8569310601</v>
      </c>
      <c r="AX313">
        <v>1484086.8569310601</v>
      </c>
      <c r="AY313">
        <v>1484086.8569310601</v>
      </c>
      <c r="AZ313">
        <v>19953000</v>
      </c>
      <c r="BA313">
        <v>7.4379133811008871E-2</v>
      </c>
    </row>
    <row r="314" spans="1:53" x14ac:dyDescent="0.25">
      <c r="A314" t="s">
        <v>253</v>
      </c>
      <c r="B314">
        <v>35</v>
      </c>
      <c r="C314">
        <v>62009</v>
      </c>
      <c r="D314">
        <v>4520</v>
      </c>
      <c r="E314">
        <v>82</v>
      </c>
      <c r="F314">
        <v>1395</v>
      </c>
      <c r="G314">
        <v>0</v>
      </c>
      <c r="H314">
        <v>12009</v>
      </c>
      <c r="I314">
        <v>12</v>
      </c>
      <c r="J314">
        <v>0</v>
      </c>
      <c r="K314">
        <v>700</v>
      </c>
      <c r="L314">
        <v>169</v>
      </c>
      <c r="M314">
        <v>2829</v>
      </c>
      <c r="N314">
        <v>4120</v>
      </c>
      <c r="O314">
        <v>22362</v>
      </c>
      <c r="P314">
        <v>15761</v>
      </c>
      <c r="Q314">
        <v>38778</v>
      </c>
      <c r="R314">
        <v>50</v>
      </c>
      <c r="S314">
        <v>52</v>
      </c>
      <c r="T314">
        <v>6456</v>
      </c>
      <c r="U314">
        <v>4421</v>
      </c>
      <c r="V314">
        <v>2</v>
      </c>
      <c r="W314">
        <v>65284</v>
      </c>
      <c r="X314">
        <v>-185</v>
      </c>
      <c r="Y314">
        <v>24310</v>
      </c>
      <c r="Z314">
        <v>3418856.427567102</v>
      </c>
      <c r="AA314">
        <v>2930448.3664860874</v>
      </c>
      <c r="AB314">
        <v>56524</v>
      </c>
      <c r="AC314">
        <v>5520</v>
      </c>
      <c r="AD314" t="s">
        <v>253</v>
      </c>
      <c r="AE314" s="232">
        <f t="shared" si="41"/>
        <v>5.9171597633136095E-4</v>
      </c>
      <c r="AF314" s="232">
        <f t="shared" si="42"/>
        <v>0.61978432694075114</v>
      </c>
      <c r="AG314" s="232">
        <f t="shared" si="43"/>
        <v>2.262422645671221E-2</v>
      </c>
      <c r="AH314" s="232">
        <f t="shared" si="44"/>
        <v>0.18413393787145396</v>
      </c>
      <c r="AI314" s="232">
        <f t="shared" si="45"/>
        <v>0.49360547760553886</v>
      </c>
      <c r="AJ314" s="232">
        <f t="shared" si="46"/>
        <v>-2.8337724404141904E-3</v>
      </c>
      <c r="AK314" s="232">
        <f t="shared" si="47"/>
        <v>4.4887696318946256E-2</v>
      </c>
      <c r="AL314" s="232">
        <f t="shared" si="48"/>
        <v>2.1138410636603149E-2</v>
      </c>
      <c r="AM314" s="232">
        <f t="shared" si="49"/>
        <v>0.4338074647246245</v>
      </c>
      <c r="AN314" s="232">
        <v>3.2599999999999997E-2</v>
      </c>
      <c r="AO314" s="232">
        <f t="shared" si="50"/>
        <v>0.16299999999999998</v>
      </c>
      <c r="AT314" t="s">
        <v>322</v>
      </c>
      <c r="AU314">
        <v>998000</v>
      </c>
      <c r="AV314">
        <v>842000</v>
      </c>
      <c r="AW314">
        <v>7866540.6095519625</v>
      </c>
      <c r="AX314">
        <v>6026540.6095519625</v>
      </c>
      <c r="AY314">
        <v>6026540.6095519625</v>
      </c>
      <c r="AZ314">
        <v>61822000</v>
      </c>
      <c r="BA314">
        <v>9.7482135963766342E-2</v>
      </c>
    </row>
    <row r="315" spans="1:53" x14ac:dyDescent="0.25">
      <c r="A315" t="s">
        <v>455</v>
      </c>
      <c r="B315">
        <v>238</v>
      </c>
      <c r="C315">
        <v>90493</v>
      </c>
      <c r="D315">
        <v>16</v>
      </c>
      <c r="E315">
        <v>0</v>
      </c>
      <c r="F315">
        <v>296</v>
      </c>
      <c r="G315">
        <v>0</v>
      </c>
      <c r="H315">
        <v>152</v>
      </c>
      <c r="I315">
        <v>0</v>
      </c>
      <c r="J315">
        <v>0</v>
      </c>
      <c r="K315">
        <v>2711</v>
      </c>
      <c r="L315">
        <v>451</v>
      </c>
      <c r="M315">
        <v>5524</v>
      </c>
      <c r="N315">
        <v>2486</v>
      </c>
      <c r="O315">
        <v>40927</v>
      </c>
      <c r="P315">
        <v>6131</v>
      </c>
      <c r="Q315">
        <v>42182</v>
      </c>
      <c r="R315">
        <v>0</v>
      </c>
      <c r="S315">
        <v>4300</v>
      </c>
      <c r="T315">
        <v>4896</v>
      </c>
      <c r="U315">
        <v>3931</v>
      </c>
      <c r="V315">
        <v>1</v>
      </c>
      <c r="W315">
        <v>74273</v>
      </c>
      <c r="X315">
        <v>4359</v>
      </c>
      <c r="Y315">
        <v>26418</v>
      </c>
      <c r="Z315">
        <v>3302513.6432558857</v>
      </c>
      <c r="AA315">
        <v>2830725.9799336162</v>
      </c>
      <c r="AB315">
        <v>70988</v>
      </c>
      <c r="AC315">
        <v>19743</v>
      </c>
      <c r="AD315" t="s">
        <v>455</v>
      </c>
      <c r="AE315" s="232">
        <f t="shared" si="41"/>
        <v>4.200572450105991E-2</v>
      </c>
      <c r="AF315" s="232">
        <f t="shared" si="42"/>
        <v>0.59026833438800097</v>
      </c>
      <c r="AG315" s="232">
        <f t="shared" si="43"/>
        <v>3.9852974836077715E-3</v>
      </c>
      <c r="AH315" s="232">
        <f t="shared" si="44"/>
        <v>2.0465041132039907E-3</v>
      </c>
      <c r="AI315" s="232">
        <f t="shared" si="45"/>
        <v>0.58931401720679111</v>
      </c>
      <c r="AJ315" s="232">
        <f t="shared" si="46"/>
        <v>5.8688890983264443E-2</v>
      </c>
      <c r="AK315" s="232">
        <f t="shared" si="47"/>
        <v>3.8112449745312783E-2</v>
      </c>
      <c r="AL315" s="232">
        <f t="shared" si="48"/>
        <v>6.6454162347017079E-2</v>
      </c>
      <c r="AM315" s="232">
        <f t="shared" si="49"/>
        <v>0.45969892641183197</v>
      </c>
      <c r="AN315" s="232">
        <v>2.93E-2</v>
      </c>
      <c r="AO315" s="232">
        <f t="shared" si="50"/>
        <v>0.14649999999999999</v>
      </c>
      <c r="AT315" t="s">
        <v>377</v>
      </c>
      <c r="AU315">
        <v>3404000</v>
      </c>
      <c r="AV315">
        <v>2342000</v>
      </c>
      <c r="AW315">
        <v>13294626.363205314</v>
      </c>
      <c r="AX315">
        <v>7548626.3632053137</v>
      </c>
      <c r="AY315">
        <v>7548626.3632053137</v>
      </c>
      <c r="AZ315">
        <v>75879000</v>
      </c>
      <c r="BA315">
        <v>9.9482417575420257E-2</v>
      </c>
    </row>
    <row r="316" spans="1:53" x14ac:dyDescent="0.25">
      <c r="A316" t="s">
        <v>753</v>
      </c>
      <c r="B316">
        <v>0</v>
      </c>
      <c r="C316">
        <v>85147</v>
      </c>
      <c r="D316">
        <v>933</v>
      </c>
      <c r="E316">
        <v>6</v>
      </c>
      <c r="F316">
        <v>1259</v>
      </c>
      <c r="G316">
        <v>0</v>
      </c>
      <c r="H316">
        <v>13924</v>
      </c>
      <c r="I316">
        <v>0</v>
      </c>
      <c r="J316">
        <v>0</v>
      </c>
      <c r="K316">
        <v>5480</v>
      </c>
      <c r="L316">
        <v>691</v>
      </c>
      <c r="M316">
        <v>10714</v>
      </c>
      <c r="N316">
        <v>5507</v>
      </c>
      <c r="O316">
        <v>39691</v>
      </c>
      <c r="P316">
        <v>20460</v>
      </c>
      <c r="Q316">
        <v>32880</v>
      </c>
      <c r="R316">
        <v>1</v>
      </c>
      <c r="S316">
        <v>14372</v>
      </c>
      <c r="T316">
        <v>9054</v>
      </c>
      <c r="U316">
        <v>7203</v>
      </c>
      <c r="V316">
        <v>1</v>
      </c>
      <c r="W316">
        <v>112138</v>
      </c>
      <c r="X316">
        <v>-9380</v>
      </c>
      <c r="Y316">
        <v>46152</v>
      </c>
      <c r="Z316">
        <v>2317339.4320941772</v>
      </c>
      <c r="AA316">
        <v>1986290.9417950092</v>
      </c>
      <c r="AB316" s="154">
        <v>81993.028957528964</v>
      </c>
      <c r="AC316" s="154">
        <v>3153.9710424710356</v>
      </c>
      <c r="AD316" t="s">
        <v>753</v>
      </c>
      <c r="AE316" s="232">
        <f t="shared" si="41"/>
        <v>0.11622095891186389</v>
      </c>
      <c r="AF316" s="232">
        <f t="shared" si="42"/>
        <v>0.35539246285826392</v>
      </c>
      <c r="AG316" s="232">
        <f t="shared" si="43"/>
        <v>1.1280743369776525E-2</v>
      </c>
      <c r="AH316" s="232">
        <f t="shared" si="44"/>
        <v>0.12416843532076549</v>
      </c>
      <c r="AI316" s="232">
        <f t="shared" si="45"/>
        <v>0.26982824733810129</v>
      </c>
      <c r="AJ316" s="232">
        <f t="shared" si="46"/>
        <v>-8.3646935026485222E-2</v>
      </c>
      <c r="AK316" s="232">
        <f t="shared" si="47"/>
        <v>1.7712915709170926E-2</v>
      </c>
      <c r="AL316" s="232">
        <f t="shared" si="48"/>
        <v>7.0314501829688318E-3</v>
      </c>
      <c r="AM316" s="232">
        <f t="shared" si="49"/>
        <v>0.48641851513411666</v>
      </c>
      <c r="AN316" s="232">
        <v>7.1499999999999994E-2</v>
      </c>
      <c r="AO316" s="232">
        <f t="shared" si="50"/>
        <v>0.35749999999999998</v>
      </c>
      <c r="AT316" t="s">
        <v>399</v>
      </c>
      <c r="AU316">
        <v>2251000</v>
      </c>
      <c r="AV316">
        <v>2033000</v>
      </c>
      <c r="AW316">
        <v>6648675.0389026497</v>
      </c>
      <c r="AX316">
        <v>2364675.0389026497</v>
      </c>
      <c r="AY316">
        <v>2364675.0389026497</v>
      </c>
      <c r="AZ316">
        <v>68527000</v>
      </c>
      <c r="BA316">
        <v>3.4507202108696566E-2</v>
      </c>
    </row>
    <row r="317" spans="1:53" x14ac:dyDescent="0.25">
      <c r="A317" t="s">
        <v>456</v>
      </c>
      <c r="B317">
        <v>0</v>
      </c>
      <c r="C317">
        <v>30753</v>
      </c>
      <c r="D317">
        <v>66</v>
      </c>
      <c r="E317">
        <v>353</v>
      </c>
      <c r="F317">
        <v>0</v>
      </c>
      <c r="G317">
        <v>0</v>
      </c>
      <c r="H317">
        <v>4771</v>
      </c>
      <c r="I317">
        <v>0</v>
      </c>
      <c r="J317">
        <v>0</v>
      </c>
      <c r="K317">
        <v>1106</v>
      </c>
      <c r="L317">
        <v>198</v>
      </c>
      <c r="M317">
        <v>4680</v>
      </c>
      <c r="N317">
        <v>483</v>
      </c>
      <c r="O317">
        <v>11878</v>
      </c>
      <c r="P317">
        <v>16145</v>
      </c>
      <c r="Q317">
        <v>7156</v>
      </c>
      <c r="R317">
        <v>9</v>
      </c>
      <c r="S317">
        <v>0</v>
      </c>
      <c r="T317">
        <v>4311</v>
      </c>
      <c r="U317">
        <v>2911</v>
      </c>
      <c r="V317">
        <v>0</v>
      </c>
      <c r="W317">
        <v>33090</v>
      </c>
      <c r="X317">
        <v>-6115</v>
      </c>
      <c r="Y317">
        <v>17075</v>
      </c>
      <c r="Z317">
        <v>2693612.0514032869</v>
      </c>
      <c r="AA317">
        <v>2308810.3297742461</v>
      </c>
      <c r="AB317">
        <v>16271</v>
      </c>
      <c r="AC317">
        <v>14482</v>
      </c>
      <c r="AD317" t="s">
        <v>456</v>
      </c>
      <c r="AE317" s="232">
        <f t="shared" si="41"/>
        <v>0</v>
      </c>
      <c r="AF317" s="232">
        <f t="shared" si="42"/>
        <v>0.22867935932305833</v>
      </c>
      <c r="AG317" s="232">
        <f t="shared" si="43"/>
        <v>1.066787549108492E-2</v>
      </c>
      <c r="AH317" s="232">
        <f t="shared" si="44"/>
        <v>0.14418253248715623</v>
      </c>
      <c r="AI317" s="232">
        <f t="shared" si="45"/>
        <v>0.12903173164097914</v>
      </c>
      <c r="AJ317" s="232">
        <f t="shared" si="46"/>
        <v>-0.1847990329404654</v>
      </c>
      <c r="AK317" s="232">
        <f t="shared" si="47"/>
        <v>6.9773657593661109E-2</v>
      </c>
      <c r="AL317" s="232">
        <f t="shared" si="48"/>
        <v>0.10941372015714718</v>
      </c>
      <c r="AM317" s="232">
        <f t="shared" si="49"/>
        <v>0.66076397076161286</v>
      </c>
      <c r="AN317" s="232">
        <v>8.2600000000000007E-2</v>
      </c>
      <c r="AO317" s="232">
        <f t="shared" si="50"/>
        <v>0.41300000000000003</v>
      </c>
      <c r="AT317" t="s">
        <v>252</v>
      </c>
      <c r="AU317">
        <v>3879000.0000000005</v>
      </c>
      <c r="AV317">
        <v>3299000</v>
      </c>
      <c r="AW317">
        <v>11055570.541193875</v>
      </c>
      <c r="AX317">
        <v>3877570.5411938746</v>
      </c>
      <c r="AY317">
        <v>3877570.5411938746</v>
      </c>
      <c r="AZ317">
        <v>148454000</v>
      </c>
      <c r="BA317">
        <v>2.6119677079727555E-2</v>
      </c>
    </row>
    <row r="318" spans="1:53" x14ac:dyDescent="0.25">
      <c r="A318" t="s">
        <v>457</v>
      </c>
      <c r="B318">
        <v>548</v>
      </c>
      <c r="C318">
        <v>216036</v>
      </c>
      <c r="D318">
        <v>5167</v>
      </c>
      <c r="E318">
        <v>15317</v>
      </c>
      <c r="F318">
        <v>9624</v>
      </c>
      <c r="G318">
        <v>0</v>
      </c>
      <c r="H318">
        <v>28608</v>
      </c>
      <c r="I318">
        <v>0</v>
      </c>
      <c r="J318">
        <v>0</v>
      </c>
      <c r="K318">
        <v>0</v>
      </c>
      <c r="L318">
        <v>132</v>
      </c>
      <c r="M318">
        <v>8299</v>
      </c>
      <c r="N318">
        <v>2677</v>
      </c>
      <c r="O318">
        <v>87318</v>
      </c>
      <c r="P318">
        <v>5508</v>
      </c>
      <c r="Q318">
        <v>164232</v>
      </c>
      <c r="R318">
        <v>0</v>
      </c>
      <c r="S318">
        <v>11127</v>
      </c>
      <c r="T318">
        <v>5630</v>
      </c>
      <c r="U318">
        <v>12593</v>
      </c>
      <c r="V318">
        <v>-2</v>
      </c>
      <c r="W318">
        <v>138925</v>
      </c>
      <c r="X318">
        <v>6814</v>
      </c>
      <c r="Y318">
        <v>47725</v>
      </c>
      <c r="Z318">
        <v>5564070.2748787478</v>
      </c>
      <c r="AA318">
        <v>4769203.0927532129</v>
      </c>
      <c r="AB318">
        <v>187267</v>
      </c>
      <c r="AC318">
        <v>29317</v>
      </c>
      <c r="AD318" t="s">
        <v>457</v>
      </c>
      <c r="AE318" s="232">
        <f t="shared" si="41"/>
        <v>3.8850171782911093E-2</v>
      </c>
      <c r="AF318" s="232">
        <f t="shared" si="42"/>
        <v>1.1339427748785316</v>
      </c>
      <c r="AG318" s="232">
        <f t="shared" si="43"/>
        <v>0.17952852258412813</v>
      </c>
      <c r="AH318" s="232">
        <f t="shared" si="44"/>
        <v>0.20592405974446643</v>
      </c>
      <c r="AI318" s="232">
        <f t="shared" si="45"/>
        <v>1.0113393557675006</v>
      </c>
      <c r="AJ318" s="232">
        <f t="shared" si="46"/>
        <v>4.9048047507648011E-2</v>
      </c>
      <c r="AK318" s="232">
        <f t="shared" si="47"/>
        <v>3.4329336640296658E-2</v>
      </c>
      <c r="AL318" s="232">
        <f t="shared" si="48"/>
        <v>5.2756883210365306E-2</v>
      </c>
      <c r="AM318" s="232">
        <f t="shared" si="49"/>
        <v>0.32410407530515906</v>
      </c>
      <c r="AN318" s="232">
        <v>6.0000000000000001E-3</v>
      </c>
      <c r="AO318" s="232">
        <f t="shared" si="50"/>
        <v>0.03</v>
      </c>
      <c r="AT318" t="s">
        <v>451</v>
      </c>
      <c r="AU318">
        <v>18791000.000000004</v>
      </c>
      <c r="AV318">
        <v>21700000</v>
      </c>
      <c r="AW318">
        <v>65738548.084671199</v>
      </c>
      <c r="AX318">
        <v>25247548.084671199</v>
      </c>
      <c r="AY318">
        <v>25247548.084671199</v>
      </c>
      <c r="AZ318">
        <v>768012000</v>
      </c>
      <c r="BA318">
        <v>3.2873897913927384E-2</v>
      </c>
    </row>
    <row r="319" spans="1:53" x14ac:dyDescent="0.25">
      <c r="A319" t="s">
        <v>380</v>
      </c>
      <c r="B319">
        <v>246</v>
      </c>
      <c r="C319">
        <v>68388</v>
      </c>
      <c r="D319">
        <v>53</v>
      </c>
      <c r="E319">
        <v>5115</v>
      </c>
      <c r="F319">
        <v>802</v>
      </c>
      <c r="G319">
        <v>92</v>
      </c>
      <c r="H319">
        <v>59869</v>
      </c>
      <c r="I319">
        <v>0</v>
      </c>
      <c r="J319">
        <v>0</v>
      </c>
      <c r="K319">
        <v>0</v>
      </c>
      <c r="L319">
        <v>28209</v>
      </c>
      <c r="M319">
        <v>7807</v>
      </c>
      <c r="N319">
        <v>2686</v>
      </c>
      <c r="O319">
        <v>48673</v>
      </c>
      <c r="P319">
        <v>11759</v>
      </c>
      <c r="Q319">
        <v>103579</v>
      </c>
      <c r="R319">
        <v>0</v>
      </c>
      <c r="S319">
        <v>0</v>
      </c>
      <c r="T319">
        <v>3393</v>
      </c>
      <c r="U319">
        <v>5863</v>
      </c>
      <c r="V319">
        <v>1</v>
      </c>
      <c r="W319">
        <v>70263</v>
      </c>
      <c r="X319">
        <v>227</v>
      </c>
      <c r="Y319">
        <v>27578</v>
      </c>
      <c r="Z319">
        <v>1171230.2600436369</v>
      </c>
      <c r="AA319">
        <v>1003911.6514659745</v>
      </c>
      <c r="AB319">
        <v>53016</v>
      </c>
      <c r="AC319">
        <v>15618</v>
      </c>
      <c r="AD319" t="s">
        <v>380</v>
      </c>
      <c r="AE319" s="232">
        <f t="shared" si="41"/>
        <v>0</v>
      </c>
      <c r="AF319" s="232">
        <f t="shared" si="42"/>
        <v>0.96955723496007851</v>
      </c>
      <c r="AG319" s="232">
        <f t="shared" si="43"/>
        <v>8.4212174259567618E-2</v>
      </c>
      <c r="AH319" s="232">
        <f t="shared" si="44"/>
        <v>0.85207007955823122</v>
      </c>
      <c r="AI319" s="232">
        <f t="shared" si="45"/>
        <v>0.38321364018046489</v>
      </c>
      <c r="AJ319" s="232">
        <f t="shared" si="46"/>
        <v>3.2307188705292971E-3</v>
      </c>
      <c r="AK319" s="232">
        <f t="shared" si="47"/>
        <v>1.428791328958306E-2</v>
      </c>
      <c r="AL319" s="232">
        <f t="shared" si="48"/>
        <v>5.5569787797275949E-2</v>
      </c>
      <c r="AM319" s="232">
        <f t="shared" si="49"/>
        <v>0.34877962912730065</v>
      </c>
      <c r="AN319" s="232">
        <v>2.41E-2</v>
      </c>
      <c r="AO319" s="232">
        <f t="shared" si="50"/>
        <v>0.1205</v>
      </c>
      <c r="AT319" t="s">
        <v>204</v>
      </c>
      <c r="AU319">
        <v>2219999.9999999995</v>
      </c>
      <c r="AV319">
        <v>2009000</v>
      </c>
      <c r="AW319">
        <v>7020143.5907220133</v>
      </c>
      <c r="AX319">
        <v>2791143.5907220133</v>
      </c>
      <c r="AY319">
        <v>2791143.5907220133</v>
      </c>
      <c r="AZ319">
        <v>47666000</v>
      </c>
      <c r="BA319">
        <v>5.8556278914152923E-2</v>
      </c>
    </row>
    <row r="320" spans="1:53" x14ac:dyDescent="0.25">
      <c r="A320" t="s">
        <v>254</v>
      </c>
      <c r="B320">
        <v>16770</v>
      </c>
      <c r="C320">
        <v>68460</v>
      </c>
      <c r="D320">
        <v>1054</v>
      </c>
      <c r="E320">
        <v>2993</v>
      </c>
      <c r="F320">
        <v>1044</v>
      </c>
      <c r="G320">
        <v>0</v>
      </c>
      <c r="H320">
        <v>3727</v>
      </c>
      <c r="I320">
        <v>4</v>
      </c>
      <c r="J320">
        <v>0</v>
      </c>
      <c r="K320">
        <v>0</v>
      </c>
      <c r="L320">
        <v>-127</v>
      </c>
      <c r="M320">
        <v>12272</v>
      </c>
      <c r="N320">
        <v>141</v>
      </c>
      <c r="O320">
        <v>34831</v>
      </c>
      <c r="P320">
        <v>11716</v>
      </c>
      <c r="Q320">
        <v>44695</v>
      </c>
      <c r="R320">
        <v>44</v>
      </c>
      <c r="S320">
        <v>7000</v>
      </c>
      <c r="T320">
        <v>5203</v>
      </c>
      <c r="U320">
        <v>2849</v>
      </c>
      <c r="V320">
        <v>0</v>
      </c>
      <c r="W320">
        <v>98734</v>
      </c>
      <c r="X320">
        <v>-3419</v>
      </c>
      <c r="Y320">
        <v>38412</v>
      </c>
      <c r="Z320">
        <v>1865231.6270322725</v>
      </c>
      <c r="AA320">
        <v>1598769.9660276622</v>
      </c>
      <c r="AB320">
        <v>84215</v>
      </c>
      <c r="AC320">
        <v>1015</v>
      </c>
      <c r="AD320" t="s">
        <v>254</v>
      </c>
      <c r="AE320" s="232">
        <f t="shared" si="41"/>
        <v>6.5827832007372716E-2</v>
      </c>
      <c r="AF320" s="232">
        <f t="shared" si="42"/>
        <v>0.44025361071160896</v>
      </c>
      <c r="AG320" s="232">
        <f t="shared" si="43"/>
        <v>4.0887637490631394E-2</v>
      </c>
      <c r="AH320" s="232">
        <f t="shared" si="44"/>
        <v>3.7788401158668744E-2</v>
      </c>
      <c r="AI320" s="232">
        <f t="shared" si="45"/>
        <v>0.41870824639941656</v>
      </c>
      <c r="AJ320" s="232">
        <f t="shared" si="46"/>
        <v>-3.4628395486863695E-2</v>
      </c>
      <c r="AK320" s="232">
        <f t="shared" si="47"/>
        <v>1.6192699232560843E-2</v>
      </c>
      <c r="AL320" s="232">
        <f t="shared" si="48"/>
        <v>2.5700366641683717E-3</v>
      </c>
      <c r="AM320" s="232">
        <f t="shared" si="49"/>
        <v>0.43772687092102541</v>
      </c>
      <c r="AN320" s="232">
        <v>4.4900000000000002E-2</v>
      </c>
      <c r="AO320" s="232">
        <f t="shared" si="50"/>
        <v>0.22450000000000001</v>
      </c>
      <c r="AT320" t="s">
        <v>205</v>
      </c>
      <c r="AU320">
        <v>3455000</v>
      </c>
      <c r="AV320">
        <v>1884000</v>
      </c>
      <c r="AW320">
        <v>8245452.3682902195</v>
      </c>
      <c r="AX320">
        <v>2906452.3682902195</v>
      </c>
      <c r="AY320">
        <v>2906452.3682902195</v>
      </c>
      <c r="AZ320">
        <v>109504000</v>
      </c>
      <c r="BA320">
        <v>2.6541974432808112E-2</v>
      </c>
    </row>
    <row r="321" spans="1:53" x14ac:dyDescent="0.25">
      <c r="A321" t="s">
        <v>381</v>
      </c>
      <c r="B321">
        <v>15000</v>
      </c>
      <c r="C321">
        <v>37238</v>
      </c>
      <c r="D321">
        <v>455</v>
      </c>
      <c r="E321">
        <v>0</v>
      </c>
      <c r="F321">
        <v>3463</v>
      </c>
      <c r="G321">
        <v>0</v>
      </c>
      <c r="H321">
        <v>0</v>
      </c>
      <c r="I321">
        <v>0</v>
      </c>
      <c r="J321">
        <v>0</v>
      </c>
      <c r="K321">
        <v>18866</v>
      </c>
      <c r="L321">
        <v>354</v>
      </c>
      <c r="M321">
        <v>8936</v>
      </c>
      <c r="N321">
        <v>3205</v>
      </c>
      <c r="O321">
        <v>60572</v>
      </c>
      <c r="P321">
        <v>17293</v>
      </c>
      <c r="Q321">
        <v>0</v>
      </c>
      <c r="R321">
        <v>415</v>
      </c>
      <c r="S321">
        <v>0</v>
      </c>
      <c r="T321">
        <v>5371</v>
      </c>
      <c r="U321">
        <v>3866</v>
      </c>
      <c r="V321">
        <v>300</v>
      </c>
      <c r="W321">
        <v>70346</v>
      </c>
      <c r="X321">
        <v>1427</v>
      </c>
      <c r="Y321">
        <v>26084</v>
      </c>
      <c r="Z321">
        <v>6328855.4323377945</v>
      </c>
      <c r="AA321">
        <v>5424733.2277181102</v>
      </c>
      <c r="AB321">
        <v>43050</v>
      </c>
      <c r="AC321">
        <v>9188</v>
      </c>
      <c r="AD321" t="s">
        <v>381</v>
      </c>
      <c r="AE321" s="232">
        <f t="shared" si="41"/>
        <v>0</v>
      </c>
      <c r="AF321" s="232">
        <f t="shared" si="42"/>
        <v>-0.35783129104710998</v>
      </c>
      <c r="AG321" s="232">
        <f t="shared" si="43"/>
        <v>4.9228101100275777E-2</v>
      </c>
      <c r="AH321" s="232">
        <f t="shared" si="44"/>
        <v>0</v>
      </c>
      <c r="AI321" s="232">
        <f t="shared" si="45"/>
        <v>-0.35192391891507691</v>
      </c>
      <c r="AJ321" s="232">
        <f t="shared" si="46"/>
        <v>2.0285446222955108E-2</v>
      </c>
      <c r="AK321" s="232">
        <f t="shared" si="47"/>
        <v>7.7115020437808976E-2</v>
      </c>
      <c r="AL321" s="232">
        <f t="shared" si="48"/>
        <v>3.2652887157763058E-2</v>
      </c>
      <c r="AM321" s="232">
        <f t="shared" si="49"/>
        <v>0.88971285578801829</v>
      </c>
      <c r="AN321" s="232">
        <v>2.7400000000000001E-2</v>
      </c>
      <c r="AO321" s="232">
        <f t="shared" si="50"/>
        <v>0.13700000000000001</v>
      </c>
      <c r="AT321" t="s">
        <v>138</v>
      </c>
      <c r="AU321">
        <v>3953000</v>
      </c>
      <c r="AV321">
        <v>1386000</v>
      </c>
      <c r="AW321">
        <v>10307272.307903208</v>
      </c>
      <c r="AX321">
        <v>4968272.3079032078</v>
      </c>
      <c r="AY321">
        <v>4968272.3079032078</v>
      </c>
      <c r="AZ321">
        <v>92582000</v>
      </c>
      <c r="BA321">
        <v>5.366348002746979E-2</v>
      </c>
    </row>
    <row r="322" spans="1:53" x14ac:dyDescent="0.25">
      <c r="A322" t="s">
        <v>326</v>
      </c>
      <c r="B322">
        <v>207</v>
      </c>
      <c r="C322">
        <v>25696</v>
      </c>
      <c r="D322">
        <v>450</v>
      </c>
      <c r="E322">
        <v>0</v>
      </c>
      <c r="F322">
        <v>1636</v>
      </c>
      <c r="G322">
        <v>0</v>
      </c>
      <c r="H322">
        <v>760</v>
      </c>
      <c r="I322">
        <v>0</v>
      </c>
      <c r="J322">
        <v>0</v>
      </c>
      <c r="K322">
        <v>3904</v>
      </c>
      <c r="L322">
        <v>172</v>
      </c>
      <c r="M322">
        <v>3472</v>
      </c>
      <c r="N322">
        <v>3397</v>
      </c>
      <c r="O322">
        <v>15915</v>
      </c>
      <c r="P322">
        <v>10226</v>
      </c>
      <c r="Q322">
        <v>10700</v>
      </c>
      <c r="R322">
        <v>65</v>
      </c>
      <c r="S322">
        <v>0</v>
      </c>
      <c r="T322">
        <v>1819</v>
      </c>
      <c r="U322">
        <v>969</v>
      </c>
      <c r="V322">
        <v>0</v>
      </c>
      <c r="W322">
        <v>32732</v>
      </c>
      <c r="X322">
        <v>-4076</v>
      </c>
      <c r="Y322">
        <v>17259</v>
      </c>
      <c r="Z322">
        <v>2629623.4671024829</v>
      </c>
      <c r="AA322">
        <v>2253962.971802128</v>
      </c>
      <c r="AB322">
        <v>27161</v>
      </c>
      <c r="AC322">
        <v>-1258</v>
      </c>
      <c r="AD322" t="s">
        <v>326</v>
      </c>
      <c r="AE322" s="232">
        <f t="shared" si="41"/>
        <v>0</v>
      </c>
      <c r="AF322" s="232">
        <f t="shared" si="42"/>
        <v>2.9695710619577171E-2</v>
      </c>
      <c r="AG322" s="232">
        <f t="shared" si="43"/>
        <v>4.9981669314432361E-2</v>
      </c>
      <c r="AH322" s="232">
        <f t="shared" si="44"/>
        <v>2.3218868385677625E-2</v>
      </c>
      <c r="AI322" s="232">
        <f t="shared" si="45"/>
        <v>1.9440303067334717E-2</v>
      </c>
      <c r="AJ322" s="232">
        <f t="shared" si="46"/>
        <v>-0.12452645728950262</v>
      </c>
      <c r="AK322" s="232">
        <f t="shared" si="47"/>
        <v>6.8861144195347918E-2</v>
      </c>
      <c r="AL322" s="232">
        <f t="shared" si="48"/>
        <v>-9.6083343517047535E-3</v>
      </c>
      <c r="AM322" s="232">
        <f t="shared" si="49"/>
        <v>0.65856300700357739</v>
      </c>
      <c r="AN322" s="232">
        <v>6.3100000000000003E-2</v>
      </c>
      <c r="AO322" s="232">
        <f t="shared" si="50"/>
        <v>0.3155</v>
      </c>
      <c r="AT322" t="s">
        <v>182</v>
      </c>
      <c r="AU322">
        <v>5285000</v>
      </c>
      <c r="AV322">
        <v>2517999.9999999995</v>
      </c>
      <c r="AW322">
        <v>7593179.8325560251</v>
      </c>
      <c r="AX322">
        <v>-209820.16744397441</v>
      </c>
      <c r="AY322">
        <v>0</v>
      </c>
      <c r="AZ322">
        <v>84286000</v>
      </c>
      <c r="BA322">
        <v>-2.489383378544176E-3</v>
      </c>
    </row>
    <row r="323" spans="1:53" x14ac:dyDescent="0.25">
      <c r="A323" t="s">
        <v>493</v>
      </c>
      <c r="B323">
        <v>971</v>
      </c>
      <c r="C323">
        <v>173824</v>
      </c>
      <c r="D323">
        <v>293</v>
      </c>
      <c r="E323">
        <v>17843</v>
      </c>
      <c r="F323">
        <v>2213</v>
      </c>
      <c r="G323">
        <v>0</v>
      </c>
      <c r="H323">
        <v>44946</v>
      </c>
      <c r="I323">
        <v>2851</v>
      </c>
      <c r="J323">
        <v>0</v>
      </c>
      <c r="K323">
        <v>0</v>
      </c>
      <c r="L323">
        <v>6021</v>
      </c>
      <c r="M323">
        <v>10496</v>
      </c>
      <c r="N323">
        <v>17509</v>
      </c>
      <c r="O323">
        <v>94471</v>
      </c>
      <c r="P323">
        <v>32425</v>
      </c>
      <c r="Q323">
        <v>116069</v>
      </c>
      <c r="R323">
        <v>48</v>
      </c>
      <c r="S323">
        <v>6293</v>
      </c>
      <c r="T323">
        <v>11433</v>
      </c>
      <c r="U323">
        <v>16228</v>
      </c>
      <c r="V323">
        <v>25</v>
      </c>
      <c r="W323">
        <v>153500</v>
      </c>
      <c r="X323">
        <v>-1185</v>
      </c>
      <c r="Y323">
        <v>49855</v>
      </c>
      <c r="Z323">
        <v>5927021.538872283</v>
      </c>
      <c r="AA323">
        <v>5080304.1761762425</v>
      </c>
      <c r="AB323">
        <v>245080</v>
      </c>
      <c r="AC323">
        <v>-70285</v>
      </c>
      <c r="AD323" t="s">
        <v>493</v>
      </c>
      <c r="AE323" s="232">
        <f t="shared" ref="AE323:AE357" si="51">S323/SUM(O323:U323)</f>
        <v>2.2721118400387048E-2</v>
      </c>
      <c r="AF323" s="232">
        <f t="shared" ref="AF323:AF357" si="52">SUM(Q323,R323,S323,T323,U323,-E323,-F323,-G323,-J323,-K323,-L323,-M323,-N323)/W323</f>
        <v>0.62533550488599343</v>
      </c>
      <c r="AG323" s="232">
        <f t="shared" ref="AG323:AG357" si="53">SUM(E323,F323)/W323</f>
        <v>0.13065798045602606</v>
      </c>
      <c r="AH323" s="232">
        <f t="shared" ref="AH323:AH357" si="54">SUM(H323,I323)/W323</f>
        <v>0.31138110749185666</v>
      </c>
      <c r="AI323" s="232">
        <f t="shared" ref="AI323:AI357" si="55">SUM(AF323,0.12*AG323,-0.7*AH323)</f>
        <v>0.42304768729641695</v>
      </c>
      <c r="AJ323" s="232">
        <f t="shared" ref="AJ323:AJ357" si="56">X323/W323</f>
        <v>-7.7198697068403908E-3</v>
      </c>
      <c r="AK323" s="232">
        <f t="shared" ref="AK323:AK357" si="57">AA323/(1000*W323)</f>
        <v>3.3096444144470633E-2</v>
      </c>
      <c r="AL323" s="232">
        <f t="shared" ref="AL323:AL357" si="58">(AC323/4)/W323</f>
        <v>-0.11447068403908794</v>
      </c>
      <c r="AM323" s="232">
        <f t="shared" ref="AM323:AM357" si="59">SUM(O323,P323)/SUM(O323,P323,Q323,R323,S323,T323,U323)</f>
        <v>0.45816288583116399</v>
      </c>
      <c r="AN323" s="232">
        <v>9.2999999999999992E-3</v>
      </c>
      <c r="AO323" s="232">
        <f t="shared" si="50"/>
        <v>4.65E-2</v>
      </c>
      <c r="AT323" t="s">
        <v>452</v>
      </c>
      <c r="AU323">
        <v>4260000.0000000009</v>
      </c>
      <c r="AV323">
        <v>5192999.9999999991</v>
      </c>
      <c r="AW323">
        <v>15002746.960297771</v>
      </c>
      <c r="AX323">
        <v>5549746.9602977717</v>
      </c>
      <c r="AY323">
        <v>5549746.9602977717</v>
      </c>
      <c r="AZ323">
        <v>105135000</v>
      </c>
      <c r="BA323">
        <v>5.2786864129906991E-2</v>
      </c>
    </row>
    <row r="324" spans="1:53" x14ac:dyDescent="0.25">
      <c r="A324" t="s">
        <v>327</v>
      </c>
      <c r="B324">
        <v>3</v>
      </c>
      <c r="C324">
        <v>46472</v>
      </c>
      <c r="D324">
        <v>80</v>
      </c>
      <c r="E324">
        <v>0</v>
      </c>
      <c r="F324">
        <v>2416</v>
      </c>
      <c r="G324">
        <v>0</v>
      </c>
      <c r="H324">
        <v>341</v>
      </c>
      <c r="I324">
        <v>0</v>
      </c>
      <c r="J324">
        <v>0</v>
      </c>
      <c r="K324">
        <v>0</v>
      </c>
      <c r="L324">
        <v>401</v>
      </c>
      <c r="M324">
        <v>5448</v>
      </c>
      <c r="N324">
        <v>1791</v>
      </c>
      <c r="O324">
        <v>7969</v>
      </c>
      <c r="P324">
        <v>3119</v>
      </c>
      <c r="Q324">
        <v>28231</v>
      </c>
      <c r="R324">
        <v>0</v>
      </c>
      <c r="S324">
        <v>9778</v>
      </c>
      <c r="T324">
        <v>6920</v>
      </c>
      <c r="U324">
        <v>935</v>
      </c>
      <c r="V324">
        <v>0</v>
      </c>
      <c r="W324">
        <v>54514</v>
      </c>
      <c r="X324">
        <v>-1203</v>
      </c>
      <c r="Y324">
        <v>19147</v>
      </c>
      <c r="Z324">
        <v>2432669.0795425922</v>
      </c>
      <c r="AA324">
        <v>2085144.9253222218</v>
      </c>
      <c r="AB324">
        <v>48072</v>
      </c>
      <c r="AC324">
        <v>-1597</v>
      </c>
      <c r="AD324" t="s">
        <v>327</v>
      </c>
      <c r="AE324" s="232">
        <f t="shared" si="51"/>
        <v>0.17168843938755443</v>
      </c>
      <c r="AF324" s="232">
        <f t="shared" si="52"/>
        <v>0.65685878856807423</v>
      </c>
      <c r="AG324" s="232">
        <f t="shared" si="53"/>
        <v>4.4318890560223062E-2</v>
      </c>
      <c r="AH324" s="232">
        <f t="shared" si="54"/>
        <v>6.2552738746010196E-3</v>
      </c>
      <c r="AI324" s="232">
        <f t="shared" si="55"/>
        <v>0.65779836372308031</v>
      </c>
      <c r="AJ324" s="232">
        <f t="shared" si="56"/>
        <v>-2.2067725721832923E-2</v>
      </c>
      <c r="AK324" s="232">
        <f t="shared" si="57"/>
        <v>3.8249714299486773E-2</v>
      </c>
      <c r="AL324" s="232">
        <f t="shared" si="58"/>
        <v>-7.3238067285467954E-3</v>
      </c>
      <c r="AM324" s="232">
        <f t="shared" si="59"/>
        <v>0.19469026548672566</v>
      </c>
      <c r="AN324" s="232">
        <v>2.7799999999999998E-2</v>
      </c>
      <c r="AO324" s="232">
        <f t="shared" si="50"/>
        <v>0.13899999999999998</v>
      </c>
      <c r="AT324" t="s">
        <v>323</v>
      </c>
      <c r="AU324">
        <v>1909000</v>
      </c>
      <c r="AV324">
        <v>700000</v>
      </c>
      <c r="AW324">
        <v>3857350.1176101118</v>
      </c>
      <c r="AX324">
        <v>1248350.1176101118</v>
      </c>
      <c r="AY324">
        <v>1248350.1176101118</v>
      </c>
      <c r="AZ324">
        <v>21709000</v>
      </c>
      <c r="BA324">
        <v>5.7503805684744197E-2</v>
      </c>
    </row>
    <row r="325" spans="1:53" x14ac:dyDescent="0.25">
      <c r="A325" t="s">
        <v>754</v>
      </c>
      <c r="B325">
        <v>5821</v>
      </c>
      <c r="C325">
        <v>113500</v>
      </c>
      <c r="D325">
        <v>3337</v>
      </c>
      <c r="E325">
        <v>47</v>
      </c>
      <c r="F325">
        <v>3468</v>
      </c>
      <c r="G325">
        <v>0</v>
      </c>
      <c r="H325">
        <v>50139</v>
      </c>
      <c r="I325">
        <v>240</v>
      </c>
      <c r="J325">
        <v>0</v>
      </c>
      <c r="K325">
        <v>3298</v>
      </c>
      <c r="L325">
        <v>-344</v>
      </c>
      <c r="M325">
        <v>22241</v>
      </c>
      <c r="N325">
        <v>441</v>
      </c>
      <c r="O325">
        <v>72030</v>
      </c>
      <c r="P325">
        <v>12843</v>
      </c>
      <c r="Q325">
        <v>91520</v>
      </c>
      <c r="R325">
        <v>102</v>
      </c>
      <c r="S325">
        <v>10000</v>
      </c>
      <c r="T325">
        <v>9670</v>
      </c>
      <c r="U325">
        <v>6023</v>
      </c>
      <c r="V325">
        <v>-2</v>
      </c>
      <c r="W325">
        <v>121171</v>
      </c>
      <c r="X325">
        <v>9238</v>
      </c>
      <c r="Y325">
        <v>50349</v>
      </c>
      <c r="Z325">
        <v>4197976.1378654167</v>
      </c>
      <c r="AA325">
        <v>3598265.2610275</v>
      </c>
      <c r="AB325">
        <v>84286</v>
      </c>
      <c r="AC325">
        <v>35035</v>
      </c>
      <c r="AD325" t="s">
        <v>754</v>
      </c>
      <c r="AE325" s="232">
        <f t="shared" si="51"/>
        <v>4.9458919421528476E-2</v>
      </c>
      <c r="AF325" s="232">
        <f t="shared" si="52"/>
        <v>0.72759983824512464</v>
      </c>
      <c r="AG325" s="232">
        <f t="shared" si="53"/>
        <v>2.9008591164552573E-2</v>
      </c>
      <c r="AH325" s="232">
        <f t="shared" si="54"/>
        <v>0.41576779922588736</v>
      </c>
      <c r="AI325" s="232">
        <f t="shared" si="55"/>
        <v>0.44004340972674977</v>
      </c>
      <c r="AJ325" s="232">
        <f t="shared" si="56"/>
        <v>7.6239364204306312E-2</v>
      </c>
      <c r="AK325" s="232">
        <f t="shared" si="57"/>
        <v>2.9695762690969785E-2</v>
      </c>
      <c r="AL325" s="232">
        <f t="shared" si="58"/>
        <v>7.2284209918214756E-2</v>
      </c>
      <c r="AM325" s="232">
        <f t="shared" si="59"/>
        <v>0.41977268680633867</v>
      </c>
      <c r="AN325" s="232">
        <v>2.8000000000000001E-2</v>
      </c>
      <c r="AO325" s="232">
        <f t="shared" si="50"/>
        <v>0.14000000000000001</v>
      </c>
      <c r="AT325" t="s">
        <v>324</v>
      </c>
      <c r="AU325">
        <v>3548000</v>
      </c>
      <c r="AV325">
        <v>2993000</v>
      </c>
      <c r="AW325">
        <v>8981423.2988336049</v>
      </c>
      <c r="AX325">
        <v>2440423.2988336049</v>
      </c>
      <c r="AY325">
        <v>2440423.2988336049</v>
      </c>
      <c r="AZ325">
        <v>69417000</v>
      </c>
      <c r="BA325">
        <v>3.5155989150116036E-2</v>
      </c>
    </row>
    <row r="326" spans="1:53" x14ac:dyDescent="0.25">
      <c r="A326" t="s">
        <v>255</v>
      </c>
      <c r="B326">
        <v>20</v>
      </c>
      <c r="C326">
        <v>29939</v>
      </c>
      <c r="D326">
        <v>0</v>
      </c>
      <c r="E326">
        <v>19</v>
      </c>
      <c r="F326">
        <v>14418</v>
      </c>
      <c r="G326">
        <v>0</v>
      </c>
      <c r="H326">
        <v>5896</v>
      </c>
      <c r="I326">
        <v>0</v>
      </c>
      <c r="J326">
        <v>0</v>
      </c>
      <c r="K326">
        <v>0</v>
      </c>
      <c r="L326">
        <v>0</v>
      </c>
      <c r="M326">
        <v>8155</v>
      </c>
      <c r="N326">
        <v>4175</v>
      </c>
      <c r="O326">
        <v>17126</v>
      </c>
      <c r="P326">
        <v>8973</v>
      </c>
      <c r="Q326">
        <v>25365</v>
      </c>
      <c r="R326">
        <v>0</v>
      </c>
      <c r="S326">
        <v>4507</v>
      </c>
      <c r="T326">
        <v>2584</v>
      </c>
      <c r="U326">
        <v>4067</v>
      </c>
      <c r="V326">
        <v>0</v>
      </c>
      <c r="W326">
        <v>44366</v>
      </c>
      <c r="X326">
        <v>-262</v>
      </c>
      <c r="Y326">
        <v>18891</v>
      </c>
      <c r="Z326">
        <v>1854819.2962792134</v>
      </c>
      <c r="AA326">
        <v>1589845.1110964685</v>
      </c>
      <c r="AB326">
        <v>33167</v>
      </c>
      <c r="AC326">
        <v>-3208</v>
      </c>
      <c r="AD326" t="s">
        <v>255</v>
      </c>
      <c r="AE326" s="232">
        <f t="shared" si="51"/>
        <v>7.1971511609338568E-2</v>
      </c>
      <c r="AF326" s="232">
        <f t="shared" si="52"/>
        <v>0.21989812018212143</v>
      </c>
      <c r="AG326" s="232">
        <f t="shared" si="53"/>
        <v>0.32540684307803275</v>
      </c>
      <c r="AH326" s="232">
        <f t="shared" si="54"/>
        <v>0.13289455889645224</v>
      </c>
      <c r="AI326" s="232">
        <f t="shared" si="55"/>
        <v>0.16592075012396881</v>
      </c>
      <c r="AJ326" s="232">
        <f t="shared" si="56"/>
        <v>-5.9054230717215887E-3</v>
      </c>
      <c r="AK326" s="232">
        <f t="shared" si="57"/>
        <v>3.583476335699564E-2</v>
      </c>
      <c r="AL326" s="232">
        <f t="shared" si="58"/>
        <v>-1.807690573862868E-2</v>
      </c>
      <c r="AM326" s="232">
        <f t="shared" si="59"/>
        <v>0.41677046405416629</v>
      </c>
      <c r="AN326" s="232">
        <v>4.1099999999999998E-2</v>
      </c>
      <c r="AO326" s="232">
        <f t="shared" si="50"/>
        <v>0.20549999999999999</v>
      </c>
      <c r="AT326" t="s">
        <v>498</v>
      </c>
      <c r="AU326">
        <v>2329000</v>
      </c>
      <c r="AV326">
        <v>1811000</v>
      </c>
      <c r="AW326">
        <v>4203562.6844203807</v>
      </c>
      <c r="AX326">
        <v>63562.684420380741</v>
      </c>
      <c r="AY326">
        <v>63562.684420380741</v>
      </c>
      <c r="AZ326">
        <v>59788000</v>
      </c>
      <c r="BA326">
        <v>1.0631344821767034E-3</v>
      </c>
    </row>
    <row r="327" spans="1:53" x14ac:dyDescent="0.25">
      <c r="A327" t="s">
        <v>755</v>
      </c>
      <c r="B327">
        <v>3556</v>
      </c>
      <c r="C327">
        <v>168861</v>
      </c>
      <c r="D327">
        <v>467</v>
      </c>
      <c r="E327">
        <v>163</v>
      </c>
      <c r="F327">
        <v>5180</v>
      </c>
      <c r="G327">
        <v>0</v>
      </c>
      <c r="H327">
        <v>41088</v>
      </c>
      <c r="I327">
        <v>0</v>
      </c>
      <c r="J327">
        <v>0</v>
      </c>
      <c r="K327">
        <v>0</v>
      </c>
      <c r="L327">
        <v>1861</v>
      </c>
      <c r="M327">
        <v>13367</v>
      </c>
      <c r="N327">
        <v>5741</v>
      </c>
      <c r="O327">
        <v>40356</v>
      </c>
      <c r="P327">
        <v>5330</v>
      </c>
      <c r="Q327">
        <v>158358</v>
      </c>
      <c r="R327">
        <v>19</v>
      </c>
      <c r="S327">
        <v>12912</v>
      </c>
      <c r="T327">
        <v>13822</v>
      </c>
      <c r="U327">
        <v>9487</v>
      </c>
      <c r="V327">
        <v>2</v>
      </c>
      <c r="W327">
        <v>152705</v>
      </c>
      <c r="X327">
        <v>-2367</v>
      </c>
      <c r="Y327">
        <v>61217</v>
      </c>
      <c r="Z327">
        <v>3685079.2986271186</v>
      </c>
      <c r="AA327">
        <v>3158639.3988232445</v>
      </c>
      <c r="AB327">
        <v>165438</v>
      </c>
      <c r="AC327">
        <v>6979</v>
      </c>
      <c r="AD327" t="s">
        <v>755</v>
      </c>
      <c r="AE327" s="232">
        <f t="shared" si="51"/>
        <v>5.3736411912570128E-2</v>
      </c>
      <c r="AF327" s="232">
        <f t="shared" si="52"/>
        <v>1.1020333322419043</v>
      </c>
      <c r="AG327" s="232">
        <f t="shared" si="53"/>
        <v>3.4989031138469601E-2</v>
      </c>
      <c r="AH327" s="232">
        <f t="shared" si="54"/>
        <v>0.26906781048426703</v>
      </c>
      <c r="AI327" s="232">
        <f t="shared" si="55"/>
        <v>0.91788454863953373</v>
      </c>
      <c r="AJ327" s="232">
        <f t="shared" si="56"/>
        <v>-1.5500474771618479E-2</v>
      </c>
      <c r="AK327" s="232">
        <f t="shared" si="57"/>
        <v>2.068458399412753E-2</v>
      </c>
      <c r="AL327" s="232">
        <f t="shared" si="58"/>
        <v>1.1425624570249829E-2</v>
      </c>
      <c r="AM327" s="232">
        <f t="shared" si="59"/>
        <v>0.19013334221171613</v>
      </c>
      <c r="AN327" s="232">
        <v>3.6999999999999998E-2</v>
      </c>
      <c r="AO327" s="232">
        <f t="shared" si="50"/>
        <v>0.185</v>
      </c>
      <c r="AT327" t="s">
        <v>279</v>
      </c>
      <c r="AU327">
        <v>33998999.999999993</v>
      </c>
      <c r="AV327">
        <v>63795000</v>
      </c>
      <c r="AW327">
        <v>121611206.2091359</v>
      </c>
      <c r="AX327">
        <v>23817206.20913592</v>
      </c>
      <c r="AY327">
        <v>23817206.20913592</v>
      </c>
      <c r="AZ327">
        <v>1313128000</v>
      </c>
      <c r="BA327">
        <v>1.8137764337624297E-2</v>
      </c>
    </row>
    <row r="328" spans="1:53" x14ac:dyDescent="0.25">
      <c r="A328" t="s">
        <v>139</v>
      </c>
      <c r="B328">
        <v>579</v>
      </c>
      <c r="C328">
        <v>35269</v>
      </c>
      <c r="D328">
        <v>488</v>
      </c>
      <c r="E328">
        <v>779</v>
      </c>
      <c r="F328">
        <v>1</v>
      </c>
      <c r="G328">
        <v>0</v>
      </c>
      <c r="H328">
        <v>1852</v>
      </c>
      <c r="I328">
        <v>4</v>
      </c>
      <c r="J328">
        <v>0</v>
      </c>
      <c r="K328">
        <v>1365</v>
      </c>
      <c r="L328">
        <v>3564</v>
      </c>
      <c r="M328">
        <v>1014</v>
      </c>
      <c r="N328">
        <v>0</v>
      </c>
      <c r="O328">
        <v>24794</v>
      </c>
      <c r="P328">
        <v>11373</v>
      </c>
      <c r="Q328">
        <v>5164</v>
      </c>
      <c r="R328">
        <v>0</v>
      </c>
      <c r="S328">
        <v>0</v>
      </c>
      <c r="T328">
        <v>2554</v>
      </c>
      <c r="U328">
        <v>1030</v>
      </c>
      <c r="V328">
        <v>1</v>
      </c>
      <c r="W328">
        <v>46779</v>
      </c>
      <c r="X328">
        <v>-1066</v>
      </c>
      <c r="Y328">
        <v>19152</v>
      </c>
      <c r="Z328">
        <v>3247394.9961572262</v>
      </c>
      <c r="AA328">
        <v>2783481.4252776224</v>
      </c>
      <c r="AB328">
        <v>38532</v>
      </c>
      <c r="AC328">
        <v>-2684</v>
      </c>
      <c r="AD328" t="s">
        <v>139</v>
      </c>
      <c r="AE328" s="232">
        <f t="shared" si="51"/>
        <v>0</v>
      </c>
      <c r="AF328" s="232">
        <f t="shared" si="52"/>
        <v>4.3288655165779517E-2</v>
      </c>
      <c r="AG328" s="232">
        <f t="shared" si="53"/>
        <v>1.6674148656448406E-2</v>
      </c>
      <c r="AH328" s="232">
        <f t="shared" si="54"/>
        <v>3.967592295688236E-2</v>
      </c>
      <c r="AI328" s="232">
        <f t="shared" si="55"/>
        <v>1.7516406934735676E-2</v>
      </c>
      <c r="AJ328" s="232">
        <f t="shared" si="56"/>
        <v>-2.2788003163812822E-2</v>
      </c>
      <c r="AK328" s="232">
        <f t="shared" si="57"/>
        <v>5.9502798804540978E-2</v>
      </c>
      <c r="AL328" s="232">
        <f t="shared" si="58"/>
        <v>-1.4344043267278053E-2</v>
      </c>
      <c r="AM328" s="232">
        <f t="shared" si="59"/>
        <v>0.8052321050873873</v>
      </c>
      <c r="AN328" s="232">
        <v>4.24E-2</v>
      </c>
      <c r="AO328" s="232">
        <f t="shared" si="50"/>
        <v>0.21199999999999999</v>
      </c>
      <c r="AT328" t="s">
        <v>280</v>
      </c>
      <c r="AU328">
        <v>7490999.9999999991</v>
      </c>
      <c r="AV328">
        <v>2525000</v>
      </c>
      <c r="AW328">
        <v>18246672.699094374</v>
      </c>
      <c r="AX328">
        <v>8230672.6990943737</v>
      </c>
      <c r="AY328">
        <v>8230672.6990943737</v>
      </c>
      <c r="AZ328">
        <v>102368000</v>
      </c>
      <c r="BA328">
        <v>8.0402788948639947E-2</v>
      </c>
    </row>
    <row r="329" spans="1:53" x14ac:dyDescent="0.25">
      <c r="A329" t="s">
        <v>256</v>
      </c>
      <c r="B329">
        <v>0</v>
      </c>
      <c r="C329">
        <v>29964</v>
      </c>
      <c r="D329">
        <v>0</v>
      </c>
      <c r="E329">
        <v>159</v>
      </c>
      <c r="F329">
        <v>1360</v>
      </c>
      <c r="G329">
        <v>0</v>
      </c>
      <c r="H329">
        <v>0</v>
      </c>
      <c r="I329">
        <v>891</v>
      </c>
      <c r="J329">
        <v>0</v>
      </c>
      <c r="K329">
        <v>0</v>
      </c>
      <c r="L329">
        <v>56</v>
      </c>
      <c r="M329">
        <v>5437</v>
      </c>
      <c r="N329">
        <v>93</v>
      </c>
      <c r="O329">
        <v>8124</v>
      </c>
      <c r="P329">
        <v>958</v>
      </c>
      <c r="Q329">
        <v>23296</v>
      </c>
      <c r="R329">
        <v>0</v>
      </c>
      <c r="S329">
        <v>797</v>
      </c>
      <c r="T329">
        <v>2994</v>
      </c>
      <c r="U329">
        <v>1791</v>
      </c>
      <c r="V329">
        <v>-2</v>
      </c>
      <c r="W329">
        <v>34927</v>
      </c>
      <c r="X329">
        <v>-2552</v>
      </c>
      <c r="Y329">
        <v>15015</v>
      </c>
      <c r="Z329">
        <v>586200.77820242289</v>
      </c>
      <c r="AA329">
        <v>502457.80988779111</v>
      </c>
      <c r="AB329">
        <v>25660</v>
      </c>
      <c r="AC329">
        <v>4304</v>
      </c>
      <c r="AD329" t="s">
        <v>256</v>
      </c>
      <c r="AE329" s="232">
        <f t="shared" si="51"/>
        <v>2.0995785036880928E-2</v>
      </c>
      <c r="AF329" s="232">
        <f t="shared" si="52"/>
        <v>0.62338591920290898</v>
      </c>
      <c r="AG329" s="232">
        <f t="shared" si="53"/>
        <v>4.3490709193460646E-2</v>
      </c>
      <c r="AH329" s="232">
        <f t="shared" si="54"/>
        <v>2.5510350158902854E-2</v>
      </c>
      <c r="AI329" s="232">
        <f t="shared" si="55"/>
        <v>0.61074755919489232</v>
      </c>
      <c r="AJ329" s="232">
        <f t="shared" si="56"/>
        <v>-7.3066681936610645E-2</v>
      </c>
      <c r="AK329" s="232">
        <f t="shared" si="57"/>
        <v>1.4385942390923672E-2</v>
      </c>
      <c r="AL329" s="232">
        <f t="shared" si="58"/>
        <v>3.0807111976407935E-2</v>
      </c>
      <c r="AM329" s="232">
        <f t="shared" si="59"/>
        <v>0.2392518440463646</v>
      </c>
      <c r="AN329" s="232">
        <v>6.54E-2</v>
      </c>
      <c r="AO329" s="232">
        <f t="shared" si="50"/>
        <v>0.32700000000000001</v>
      </c>
      <c r="AT329" t="s">
        <v>488</v>
      </c>
      <c r="AU329">
        <v>1248000</v>
      </c>
      <c r="AV329">
        <v>570000</v>
      </c>
      <c r="AW329">
        <v>2496243.3317921245</v>
      </c>
      <c r="AX329">
        <v>678243.33179212455</v>
      </c>
      <c r="AY329">
        <v>678243.33179212455</v>
      </c>
      <c r="AZ329">
        <v>26707000</v>
      </c>
      <c r="BA329">
        <v>2.539571392489327E-2</v>
      </c>
    </row>
    <row r="330" spans="1:53" x14ac:dyDescent="0.25">
      <c r="A330" t="s">
        <v>756</v>
      </c>
      <c r="B330">
        <v>562</v>
      </c>
      <c r="C330">
        <v>53269</v>
      </c>
      <c r="D330">
        <v>1438</v>
      </c>
      <c r="E330">
        <v>2572</v>
      </c>
      <c r="F330">
        <v>2277</v>
      </c>
      <c r="G330">
        <v>0</v>
      </c>
      <c r="H330">
        <v>150</v>
      </c>
      <c r="I330">
        <v>0</v>
      </c>
      <c r="J330">
        <v>0</v>
      </c>
      <c r="K330">
        <v>11954</v>
      </c>
      <c r="L330">
        <v>310</v>
      </c>
      <c r="M330">
        <v>9555</v>
      </c>
      <c r="N330">
        <v>2368</v>
      </c>
      <c r="O330">
        <v>37891</v>
      </c>
      <c r="P330">
        <v>4926</v>
      </c>
      <c r="Q330">
        <v>17951</v>
      </c>
      <c r="R330">
        <v>0</v>
      </c>
      <c r="S330">
        <v>10000</v>
      </c>
      <c r="T330">
        <v>8893</v>
      </c>
      <c r="U330">
        <v>4794</v>
      </c>
      <c r="V330">
        <v>1</v>
      </c>
      <c r="W330">
        <v>82563</v>
      </c>
      <c r="X330">
        <v>-7474</v>
      </c>
      <c r="Y330">
        <v>24684</v>
      </c>
      <c r="Z330">
        <v>1918104.4748354142</v>
      </c>
      <c r="AA330">
        <v>1644089.5498589263</v>
      </c>
      <c r="AB330">
        <v>50997</v>
      </c>
      <c r="AC330">
        <v>2834</v>
      </c>
      <c r="AD330" t="s">
        <v>756</v>
      </c>
      <c r="AE330" s="232">
        <f t="shared" si="51"/>
        <v>0.11840625185009769</v>
      </c>
      <c r="AF330" s="232">
        <f t="shared" si="52"/>
        <v>0.15263495754756973</v>
      </c>
      <c r="AG330" s="232">
        <f t="shared" si="53"/>
        <v>5.8730908518343568E-2</v>
      </c>
      <c r="AH330" s="232">
        <f t="shared" si="54"/>
        <v>1.8167944478761672E-3</v>
      </c>
      <c r="AI330" s="232">
        <f t="shared" si="55"/>
        <v>0.15841091045625763</v>
      </c>
      <c r="AJ330" s="232">
        <f t="shared" si="56"/>
        <v>-9.0524811356176502E-2</v>
      </c>
      <c r="AK330" s="232">
        <f t="shared" si="57"/>
        <v>1.9913151773299498E-2</v>
      </c>
      <c r="AL330" s="232">
        <f t="shared" si="58"/>
        <v>8.5813257754684298E-3</v>
      </c>
      <c r="AM330" s="232">
        <f t="shared" si="59"/>
        <v>0.50698004854656331</v>
      </c>
      <c r="AN330" s="232">
        <v>6.0600000000000001E-2</v>
      </c>
      <c r="AO330" s="232">
        <f t="shared" si="50"/>
        <v>0.30299999999999999</v>
      </c>
      <c r="AT330" t="s">
        <v>489</v>
      </c>
      <c r="AU330">
        <v>2679999.9999999995</v>
      </c>
      <c r="AV330">
        <v>1945999.9999999998</v>
      </c>
      <c r="AW330">
        <v>4962317.9199625403</v>
      </c>
      <c r="AX330">
        <v>336317.91996254097</v>
      </c>
      <c r="AY330">
        <v>336317.91996254097</v>
      </c>
      <c r="AZ330">
        <v>47942000</v>
      </c>
      <c r="BA330">
        <v>7.0150999116128021E-3</v>
      </c>
    </row>
    <row r="331" spans="1:53" x14ac:dyDescent="0.25">
      <c r="A331" t="s">
        <v>382</v>
      </c>
      <c r="B331">
        <v>34436</v>
      </c>
      <c r="C331">
        <v>403559</v>
      </c>
      <c r="D331">
        <v>8947</v>
      </c>
      <c r="E331">
        <v>150</v>
      </c>
      <c r="F331">
        <v>22283</v>
      </c>
      <c r="G331">
        <v>0</v>
      </c>
      <c r="H331">
        <v>216679</v>
      </c>
      <c r="I331">
        <v>2530</v>
      </c>
      <c r="J331">
        <v>0</v>
      </c>
      <c r="K331">
        <v>0</v>
      </c>
      <c r="L331">
        <v>243</v>
      </c>
      <c r="M331">
        <v>32933</v>
      </c>
      <c r="N331">
        <v>10876</v>
      </c>
      <c r="O331">
        <v>259789</v>
      </c>
      <c r="P331">
        <v>57861</v>
      </c>
      <c r="Q331">
        <v>336359</v>
      </c>
      <c r="R331">
        <v>456</v>
      </c>
      <c r="S331">
        <v>13041</v>
      </c>
      <c r="T331">
        <v>27006</v>
      </c>
      <c r="U331">
        <v>38124</v>
      </c>
      <c r="V331">
        <v>-1</v>
      </c>
      <c r="W331">
        <v>240972</v>
      </c>
      <c r="X331">
        <v>519</v>
      </c>
      <c r="Y331">
        <v>107492</v>
      </c>
      <c r="Z331">
        <v>13974133.467129961</v>
      </c>
      <c r="AA331">
        <v>11977828.686111396</v>
      </c>
      <c r="AB331">
        <v>370147</v>
      </c>
      <c r="AC331">
        <v>67848</v>
      </c>
      <c r="AD331" t="s">
        <v>382</v>
      </c>
      <c r="AE331" s="232">
        <f t="shared" si="51"/>
        <v>1.780010810279593E-2</v>
      </c>
      <c r="AF331" s="232">
        <f t="shared" si="52"/>
        <v>1.4462302674169614</v>
      </c>
      <c r="AG331" s="232">
        <f t="shared" si="53"/>
        <v>9.309380342944408E-2</v>
      </c>
      <c r="AH331" s="232">
        <f t="shared" si="54"/>
        <v>0.90968660259283241</v>
      </c>
      <c r="AI331" s="232">
        <f t="shared" si="55"/>
        <v>0.82062090201351212</v>
      </c>
      <c r="AJ331" s="232">
        <f t="shared" si="56"/>
        <v>2.1537772023305611E-3</v>
      </c>
      <c r="AK331" s="232">
        <f t="shared" si="57"/>
        <v>4.9706308974118971E-2</v>
      </c>
      <c r="AL331" s="232">
        <f t="shared" si="58"/>
        <v>7.0389920820676258E-2</v>
      </c>
      <c r="AM331" s="232">
        <f t="shared" si="59"/>
        <v>0.43357137787386918</v>
      </c>
      <c r="AN331" s="232">
        <v>1.8100000000000002E-2</v>
      </c>
      <c r="AO331" s="232">
        <f t="shared" si="50"/>
        <v>9.0500000000000011E-2</v>
      </c>
      <c r="AT331" t="s">
        <v>453</v>
      </c>
      <c r="AU331">
        <v>4777000</v>
      </c>
      <c r="AV331">
        <v>2694999.9999999995</v>
      </c>
      <c r="AW331">
        <v>10700853.720174015</v>
      </c>
      <c r="AX331">
        <v>3228853.720174015</v>
      </c>
      <c r="AY331">
        <v>3228853.720174015</v>
      </c>
      <c r="AZ331">
        <v>72876000</v>
      </c>
      <c r="BA331">
        <v>4.4306132611202795E-2</v>
      </c>
    </row>
    <row r="332" spans="1:53" x14ac:dyDescent="0.25">
      <c r="A332" t="s">
        <v>184</v>
      </c>
      <c r="B332">
        <v>973</v>
      </c>
      <c r="C332">
        <v>72115</v>
      </c>
      <c r="D332">
        <v>338</v>
      </c>
      <c r="E332">
        <v>5</v>
      </c>
      <c r="F332">
        <v>2991</v>
      </c>
      <c r="G332">
        <v>0</v>
      </c>
      <c r="H332">
        <v>14722</v>
      </c>
      <c r="I332">
        <v>1</v>
      </c>
      <c r="J332">
        <v>0</v>
      </c>
      <c r="K332">
        <v>7427</v>
      </c>
      <c r="L332">
        <v>474</v>
      </c>
      <c r="M332">
        <v>4265</v>
      </c>
      <c r="N332">
        <v>19</v>
      </c>
      <c r="O332">
        <v>23043</v>
      </c>
      <c r="P332">
        <v>9350</v>
      </c>
      <c r="Q332">
        <v>61922</v>
      </c>
      <c r="R332">
        <v>0</v>
      </c>
      <c r="S332">
        <v>0</v>
      </c>
      <c r="T332">
        <v>6809</v>
      </c>
      <c r="U332">
        <v>2206</v>
      </c>
      <c r="V332">
        <v>0</v>
      </c>
      <c r="W332">
        <v>71406</v>
      </c>
      <c r="X332">
        <v>-611</v>
      </c>
      <c r="Y332">
        <v>25720</v>
      </c>
      <c r="Z332">
        <v>1622726.8557579787</v>
      </c>
      <c r="AA332">
        <v>1390908.733506839</v>
      </c>
      <c r="AB332">
        <v>70253</v>
      </c>
      <c r="AC332">
        <v>2835</v>
      </c>
      <c r="AD332" t="s">
        <v>184</v>
      </c>
      <c r="AE332" s="232">
        <f t="shared" si="51"/>
        <v>0</v>
      </c>
      <c r="AF332" s="232">
        <f t="shared" si="52"/>
        <v>0.78083074251463458</v>
      </c>
      <c r="AG332" s="232">
        <f t="shared" si="53"/>
        <v>4.1957258493684001E-2</v>
      </c>
      <c r="AH332" s="232">
        <f t="shared" si="54"/>
        <v>0.20618715514102456</v>
      </c>
      <c r="AI332" s="232">
        <f t="shared" si="55"/>
        <v>0.64153460493515946</v>
      </c>
      <c r="AJ332" s="232">
        <f t="shared" si="56"/>
        <v>-8.5567039184382271E-3</v>
      </c>
      <c r="AK332" s="232">
        <f t="shared" si="57"/>
        <v>1.9478877594415581E-2</v>
      </c>
      <c r="AL332" s="232">
        <f t="shared" si="58"/>
        <v>9.9256365011343578E-3</v>
      </c>
      <c r="AM332" s="232">
        <f t="shared" si="59"/>
        <v>0.31349075776637958</v>
      </c>
      <c r="AN332" s="232">
        <v>3.1899999999999998E-2</v>
      </c>
      <c r="AO332" s="232">
        <f t="shared" si="50"/>
        <v>0.15949999999999998</v>
      </c>
      <c r="AT332" t="s">
        <v>161</v>
      </c>
      <c r="AU332">
        <v>3934999.9999999995</v>
      </c>
      <c r="AV332">
        <v>3246000</v>
      </c>
      <c r="AW332">
        <v>6283565.8596817888</v>
      </c>
      <c r="AX332">
        <v>-897434.1403182107</v>
      </c>
      <c r="AY332">
        <v>0</v>
      </c>
      <c r="AZ332">
        <v>97133000</v>
      </c>
      <c r="BA332">
        <v>-9.2392301310389949E-3</v>
      </c>
    </row>
    <row r="333" spans="1:53" x14ac:dyDescent="0.25">
      <c r="A333" t="s">
        <v>383</v>
      </c>
      <c r="B333">
        <v>51</v>
      </c>
      <c r="C333">
        <v>90917</v>
      </c>
      <c r="D333">
        <v>1634</v>
      </c>
      <c r="E333">
        <v>0</v>
      </c>
      <c r="F333">
        <v>1998</v>
      </c>
      <c r="G333">
        <v>0</v>
      </c>
      <c r="H333">
        <v>0</v>
      </c>
      <c r="I333">
        <v>0</v>
      </c>
      <c r="J333">
        <v>0</v>
      </c>
      <c r="K333">
        <v>0</v>
      </c>
      <c r="L333">
        <v>777</v>
      </c>
      <c r="M333">
        <v>4667</v>
      </c>
      <c r="N333">
        <v>417</v>
      </c>
      <c r="O333">
        <v>33448</v>
      </c>
      <c r="P333">
        <v>3711</v>
      </c>
      <c r="Q333">
        <v>54625</v>
      </c>
      <c r="R333">
        <v>36</v>
      </c>
      <c r="S333">
        <v>2999</v>
      </c>
      <c r="T333">
        <v>4539</v>
      </c>
      <c r="U333">
        <v>1103</v>
      </c>
      <c r="V333">
        <v>-21</v>
      </c>
      <c r="W333">
        <v>39905</v>
      </c>
      <c r="X333">
        <v>-2647</v>
      </c>
      <c r="Y333">
        <v>14508</v>
      </c>
      <c r="Z333">
        <v>3283947.4684701413</v>
      </c>
      <c r="AA333">
        <v>2814812.1158315497</v>
      </c>
      <c r="AB333">
        <v>97238</v>
      </c>
      <c r="AC333">
        <v>-6270</v>
      </c>
      <c r="AD333" t="s">
        <v>383</v>
      </c>
      <c r="AE333" s="232">
        <f t="shared" si="51"/>
        <v>2.985238052577617E-2</v>
      </c>
      <c r="AF333" s="232">
        <f t="shared" si="52"/>
        <v>1.3893747650670343</v>
      </c>
      <c r="AG333" s="232">
        <f t="shared" si="53"/>
        <v>5.0068913669966172E-2</v>
      </c>
      <c r="AH333" s="232">
        <f t="shared" si="54"/>
        <v>0</v>
      </c>
      <c r="AI333" s="232">
        <f t="shared" si="55"/>
        <v>1.3953830347074303</v>
      </c>
      <c r="AJ333" s="232">
        <f t="shared" si="56"/>
        <v>-6.6332539781982211E-2</v>
      </c>
      <c r="AK333" s="232">
        <f t="shared" si="57"/>
        <v>7.0537830242614952E-2</v>
      </c>
      <c r="AL333" s="232">
        <f t="shared" si="58"/>
        <v>-3.9280791880716703E-2</v>
      </c>
      <c r="AM333" s="232">
        <f t="shared" si="59"/>
        <v>0.36988483092941538</v>
      </c>
      <c r="AN333" s="232">
        <v>3.1300000000000001E-2</v>
      </c>
      <c r="AO333" s="232">
        <f t="shared" si="50"/>
        <v>0.1565</v>
      </c>
      <c r="AT333" t="s">
        <v>281</v>
      </c>
      <c r="AU333">
        <v>6048000</v>
      </c>
      <c r="AV333">
        <v>5647000</v>
      </c>
      <c r="AW333">
        <v>18950871.04191678</v>
      </c>
      <c r="AX333">
        <v>7255871.0419167802</v>
      </c>
      <c r="AY333">
        <v>7255871.0419167802</v>
      </c>
      <c r="AZ333">
        <v>190209000</v>
      </c>
      <c r="BA333">
        <v>3.8146833440671997E-2</v>
      </c>
    </row>
    <row r="334" spans="1:53" x14ac:dyDescent="0.25">
      <c r="A334" t="s">
        <v>206</v>
      </c>
      <c r="B334">
        <v>0</v>
      </c>
      <c r="C334">
        <v>34799</v>
      </c>
      <c r="D334">
        <v>137</v>
      </c>
      <c r="E334">
        <v>0</v>
      </c>
      <c r="F334">
        <v>8576</v>
      </c>
      <c r="G334">
        <v>0</v>
      </c>
      <c r="H334">
        <v>15761</v>
      </c>
      <c r="I334">
        <v>1</v>
      </c>
      <c r="J334">
        <v>0</v>
      </c>
      <c r="K334">
        <v>6019</v>
      </c>
      <c r="L334">
        <v>268</v>
      </c>
      <c r="M334">
        <v>3666</v>
      </c>
      <c r="N334">
        <v>1080</v>
      </c>
      <c r="O334">
        <v>16957</v>
      </c>
      <c r="P334">
        <v>11625</v>
      </c>
      <c r="Q334">
        <v>36228</v>
      </c>
      <c r="R334">
        <v>0</v>
      </c>
      <c r="S334">
        <v>0</v>
      </c>
      <c r="T334">
        <v>2874</v>
      </c>
      <c r="U334">
        <v>2623</v>
      </c>
      <c r="V334">
        <v>0</v>
      </c>
      <c r="W334">
        <v>53512</v>
      </c>
      <c r="X334">
        <v>1383</v>
      </c>
      <c r="Y334">
        <v>24258</v>
      </c>
      <c r="Z334">
        <v>3547204.0493011121</v>
      </c>
      <c r="AA334">
        <v>3040460.6136866678</v>
      </c>
      <c r="AB334">
        <v>50944</v>
      </c>
      <c r="AC334">
        <v>-16145</v>
      </c>
      <c r="AD334" t="s">
        <v>206</v>
      </c>
      <c r="AE334" s="232">
        <f t="shared" si="51"/>
        <v>0</v>
      </c>
      <c r="AF334" s="232">
        <f t="shared" si="52"/>
        <v>0.41329047690237702</v>
      </c>
      <c r="AG334" s="232">
        <f t="shared" si="53"/>
        <v>0.16026311855284797</v>
      </c>
      <c r="AH334" s="232">
        <f t="shared" si="54"/>
        <v>0.29455075497084765</v>
      </c>
      <c r="AI334" s="232">
        <f t="shared" si="55"/>
        <v>0.22633652264912543</v>
      </c>
      <c r="AJ334" s="232">
        <f t="shared" si="56"/>
        <v>2.5844670354313051E-2</v>
      </c>
      <c r="AK334" s="232">
        <f t="shared" si="57"/>
        <v>5.6818295217645906E-2</v>
      </c>
      <c r="AL334" s="232">
        <f t="shared" si="58"/>
        <v>-7.5427007026461351E-2</v>
      </c>
      <c r="AM334" s="232">
        <f t="shared" si="59"/>
        <v>0.40653135534157336</v>
      </c>
      <c r="AN334" s="232">
        <v>3.6600000000000001E-2</v>
      </c>
      <c r="AO334" s="232">
        <f t="shared" si="50"/>
        <v>0.183</v>
      </c>
      <c r="AT334" t="s">
        <v>400</v>
      </c>
      <c r="AU334">
        <v>3530000</v>
      </c>
      <c r="AV334">
        <v>1671999.9999999998</v>
      </c>
      <c r="AW334">
        <v>10845551.203290069</v>
      </c>
      <c r="AX334">
        <v>5643551.2032900695</v>
      </c>
      <c r="AY334">
        <v>5643551.2032900695</v>
      </c>
      <c r="AZ334">
        <v>64950000</v>
      </c>
      <c r="BA334">
        <v>8.6890703668823246E-2</v>
      </c>
    </row>
    <row r="335" spans="1:53" x14ac:dyDescent="0.25">
      <c r="A335" t="s">
        <v>257</v>
      </c>
      <c r="B335">
        <v>71</v>
      </c>
      <c r="C335">
        <v>72057</v>
      </c>
      <c r="D335">
        <v>458</v>
      </c>
      <c r="E335">
        <v>10058</v>
      </c>
      <c r="F335">
        <v>9480</v>
      </c>
      <c r="G335">
        <v>0</v>
      </c>
      <c r="H335">
        <v>1861</v>
      </c>
      <c r="I335">
        <v>3</v>
      </c>
      <c r="J335">
        <v>0</v>
      </c>
      <c r="K335">
        <v>-200</v>
      </c>
      <c r="L335">
        <v>-903</v>
      </c>
      <c r="M335">
        <v>3124</v>
      </c>
      <c r="N335">
        <v>8752</v>
      </c>
      <c r="O335">
        <v>53019</v>
      </c>
      <c r="P335">
        <v>18547</v>
      </c>
      <c r="Q335">
        <v>21756</v>
      </c>
      <c r="R335">
        <v>29</v>
      </c>
      <c r="S335">
        <v>0</v>
      </c>
      <c r="T335">
        <v>4925</v>
      </c>
      <c r="U335">
        <v>6485</v>
      </c>
      <c r="V335">
        <v>0</v>
      </c>
      <c r="W335">
        <v>98005</v>
      </c>
      <c r="X335">
        <v>1941</v>
      </c>
      <c r="Y335">
        <v>40847</v>
      </c>
      <c r="Z335">
        <v>4213281.3259123024</v>
      </c>
      <c r="AA335">
        <v>3611383.9936391162</v>
      </c>
      <c r="AB335">
        <v>66576</v>
      </c>
      <c r="AC335">
        <v>5552</v>
      </c>
      <c r="AD335" t="s">
        <v>257</v>
      </c>
      <c r="AE335" s="232">
        <f t="shared" si="51"/>
        <v>0</v>
      </c>
      <c r="AF335" s="232">
        <f t="shared" si="52"/>
        <v>2.942707004744656E-2</v>
      </c>
      <c r="AG335" s="232">
        <f t="shared" si="53"/>
        <v>0.19935717565430336</v>
      </c>
      <c r="AH335" s="232">
        <f t="shared" si="54"/>
        <v>1.9019437783786543E-2</v>
      </c>
      <c r="AI335" s="232">
        <f t="shared" si="55"/>
        <v>4.0036324677312385E-2</v>
      </c>
      <c r="AJ335" s="232">
        <f t="shared" si="56"/>
        <v>1.9805111984082444E-2</v>
      </c>
      <c r="AK335" s="232">
        <f t="shared" si="57"/>
        <v>3.684897702810179E-2</v>
      </c>
      <c r="AL335" s="232">
        <f t="shared" si="58"/>
        <v>1.4162542727411867E-2</v>
      </c>
      <c r="AM335" s="232">
        <f t="shared" si="59"/>
        <v>0.68313589981004386</v>
      </c>
      <c r="AN335" s="232">
        <v>4.41E-2</v>
      </c>
      <c r="AO335" s="232">
        <f t="shared" si="50"/>
        <v>0.2205</v>
      </c>
      <c r="AT335" t="s">
        <v>454</v>
      </c>
      <c r="AU335">
        <v>4972999.9999999991</v>
      </c>
      <c r="AV335">
        <v>4343000</v>
      </c>
      <c r="AW335">
        <v>17273996.17140983</v>
      </c>
      <c r="AX335">
        <v>7957996.1714098305</v>
      </c>
      <c r="AY335">
        <v>7957996.1714098305</v>
      </c>
      <c r="AZ335">
        <v>108772000</v>
      </c>
      <c r="BA335">
        <v>7.3162175664783502E-2</v>
      </c>
    </row>
    <row r="336" spans="1:53" x14ac:dyDescent="0.25">
      <c r="A336" t="s">
        <v>328</v>
      </c>
      <c r="B336">
        <v>18</v>
      </c>
      <c r="C336">
        <v>44498</v>
      </c>
      <c r="D336">
        <v>85</v>
      </c>
      <c r="E336">
        <v>1031</v>
      </c>
      <c r="F336">
        <v>346</v>
      </c>
      <c r="G336">
        <v>0</v>
      </c>
      <c r="H336">
        <v>8321</v>
      </c>
      <c r="I336">
        <v>0</v>
      </c>
      <c r="J336">
        <v>0</v>
      </c>
      <c r="K336">
        <v>0</v>
      </c>
      <c r="L336">
        <v>88</v>
      </c>
      <c r="M336">
        <v>1901</v>
      </c>
      <c r="N336">
        <v>4260</v>
      </c>
      <c r="O336">
        <v>25615</v>
      </c>
      <c r="P336">
        <v>6129</v>
      </c>
      <c r="Q336">
        <v>19091</v>
      </c>
      <c r="R336">
        <v>27</v>
      </c>
      <c r="S336">
        <v>3750</v>
      </c>
      <c r="T336">
        <v>2542</v>
      </c>
      <c r="U336">
        <v>3394</v>
      </c>
      <c r="V336">
        <v>2</v>
      </c>
      <c r="W336">
        <v>50330</v>
      </c>
      <c r="X336">
        <v>2442</v>
      </c>
      <c r="Y336">
        <v>23659</v>
      </c>
      <c r="Z336">
        <v>3366446.813058598</v>
      </c>
      <c r="AA336">
        <v>2885525.8397645126</v>
      </c>
      <c r="AB336">
        <v>40804</v>
      </c>
      <c r="AC336">
        <v>3712</v>
      </c>
      <c r="AD336" t="s">
        <v>328</v>
      </c>
      <c r="AE336" s="232">
        <f t="shared" si="51"/>
        <v>6.1934333091101273E-2</v>
      </c>
      <c r="AF336" s="232">
        <f t="shared" si="52"/>
        <v>0.42078283330021854</v>
      </c>
      <c r="AG336" s="232">
        <f t="shared" si="53"/>
        <v>2.7359427776673953E-2</v>
      </c>
      <c r="AH336" s="232">
        <f t="shared" si="54"/>
        <v>0.16532882972382276</v>
      </c>
      <c r="AI336" s="232">
        <f t="shared" si="55"/>
        <v>0.30833578382674348</v>
      </c>
      <c r="AJ336" s="232">
        <f t="shared" si="56"/>
        <v>4.8519769521160341E-2</v>
      </c>
      <c r="AK336" s="232">
        <f t="shared" si="57"/>
        <v>5.7332124771796396E-2</v>
      </c>
      <c r="AL336" s="232">
        <f t="shared" si="58"/>
        <v>1.8438307172660443E-2</v>
      </c>
      <c r="AM336" s="232">
        <f t="shared" si="59"/>
        <v>0.52427825857171173</v>
      </c>
      <c r="AN336" s="232">
        <v>2.3800000000000002E-2</v>
      </c>
      <c r="AO336" s="232">
        <f t="shared" si="50"/>
        <v>0.11900000000000001</v>
      </c>
      <c r="AT336" t="s">
        <v>325</v>
      </c>
      <c r="AU336">
        <v>7756000</v>
      </c>
      <c r="AV336">
        <v>7545000.0000000019</v>
      </c>
      <c r="AW336">
        <v>22375052.286565755</v>
      </c>
      <c r="AX336">
        <v>7074052.2865657527</v>
      </c>
      <c r="AY336">
        <v>7074052.2865657527</v>
      </c>
      <c r="AZ336">
        <v>171701000</v>
      </c>
      <c r="BA336">
        <v>4.1199831605906505E-2</v>
      </c>
    </row>
    <row r="337" spans="1:53" x14ac:dyDescent="0.25">
      <c r="A337" t="s">
        <v>283</v>
      </c>
      <c r="B337">
        <v>5300</v>
      </c>
      <c r="C337">
        <v>50152</v>
      </c>
      <c r="D337">
        <v>162</v>
      </c>
      <c r="E337">
        <v>3115</v>
      </c>
      <c r="F337">
        <v>0</v>
      </c>
      <c r="G337">
        <v>145</v>
      </c>
      <c r="H337">
        <v>5218</v>
      </c>
      <c r="I337">
        <v>0</v>
      </c>
      <c r="J337">
        <v>0</v>
      </c>
      <c r="K337">
        <v>0</v>
      </c>
      <c r="L337">
        <v>-3083</v>
      </c>
      <c r="M337">
        <v>1605</v>
      </c>
      <c r="N337">
        <v>3090</v>
      </c>
      <c r="O337">
        <v>16671</v>
      </c>
      <c r="P337">
        <v>12900</v>
      </c>
      <c r="Q337">
        <v>26295</v>
      </c>
      <c r="R337">
        <v>10</v>
      </c>
      <c r="S337">
        <v>2000</v>
      </c>
      <c r="T337">
        <v>5685</v>
      </c>
      <c r="U337">
        <v>2143</v>
      </c>
      <c r="V337">
        <v>2</v>
      </c>
      <c r="W337">
        <v>47820</v>
      </c>
      <c r="X337">
        <v>-1101</v>
      </c>
      <c r="Y337">
        <v>23678</v>
      </c>
      <c r="Z337">
        <v>1685563.4103037557</v>
      </c>
      <c r="AA337">
        <v>1444768.637403219</v>
      </c>
      <c r="AB337">
        <v>43862</v>
      </c>
      <c r="AC337">
        <v>11590</v>
      </c>
      <c r="AD337" t="s">
        <v>283</v>
      </c>
      <c r="AE337" s="232">
        <f t="shared" si="51"/>
        <v>3.0439547059539752E-2</v>
      </c>
      <c r="AF337" s="232">
        <f t="shared" si="52"/>
        <v>0.65372229192806353</v>
      </c>
      <c r="AG337" s="232">
        <f t="shared" si="53"/>
        <v>6.5140108741112507E-2</v>
      </c>
      <c r="AH337" s="232">
        <f t="shared" si="54"/>
        <v>0.10911752404851527</v>
      </c>
      <c r="AI337" s="232">
        <f t="shared" si="55"/>
        <v>0.58515683814303632</v>
      </c>
      <c r="AJ337" s="232">
        <f t="shared" si="56"/>
        <v>-2.3023839397741531E-2</v>
      </c>
      <c r="AK337" s="232">
        <f t="shared" si="57"/>
        <v>3.0212644027670828E-2</v>
      </c>
      <c r="AL337" s="232">
        <f t="shared" si="58"/>
        <v>6.0591802593057298E-2</v>
      </c>
      <c r="AM337" s="232">
        <f t="shared" si="59"/>
        <v>0.45006392304882503</v>
      </c>
      <c r="AN337" s="232">
        <v>4.1500000000000002E-2</v>
      </c>
      <c r="AO337" s="232">
        <f t="shared" si="50"/>
        <v>0.20750000000000002</v>
      </c>
      <c r="AT337" t="s">
        <v>490</v>
      </c>
      <c r="AU337">
        <v>16970000</v>
      </c>
      <c r="AV337">
        <v>17983000</v>
      </c>
      <c r="AW337">
        <v>32729562.419611879</v>
      </c>
      <c r="AX337">
        <v>-2223437.5803881213</v>
      </c>
      <c r="AY337">
        <v>0</v>
      </c>
      <c r="AZ337">
        <v>383141000</v>
      </c>
      <c r="BA337">
        <v>-5.8031836331484269E-3</v>
      </c>
    </row>
    <row r="338" spans="1:53" x14ac:dyDescent="0.25">
      <c r="A338" t="s">
        <v>258</v>
      </c>
      <c r="B338">
        <v>1592</v>
      </c>
      <c r="C338">
        <v>128957</v>
      </c>
      <c r="D338">
        <v>564</v>
      </c>
      <c r="E338">
        <v>2577</v>
      </c>
      <c r="F338">
        <v>4141</v>
      </c>
      <c r="G338">
        <v>0</v>
      </c>
      <c r="H338">
        <v>5660</v>
      </c>
      <c r="I338">
        <v>0</v>
      </c>
      <c r="J338">
        <v>0</v>
      </c>
      <c r="K338">
        <v>1302</v>
      </c>
      <c r="L338">
        <v>637</v>
      </c>
      <c r="M338">
        <v>9726</v>
      </c>
      <c r="N338">
        <v>92</v>
      </c>
      <c r="O338">
        <v>60073</v>
      </c>
      <c r="P338">
        <v>7720</v>
      </c>
      <c r="Q338">
        <v>74584</v>
      </c>
      <c r="R338">
        <v>0</v>
      </c>
      <c r="S338">
        <v>5000</v>
      </c>
      <c r="T338">
        <v>4859</v>
      </c>
      <c r="U338">
        <v>3012</v>
      </c>
      <c r="V338">
        <v>-1</v>
      </c>
      <c r="W338">
        <v>109040</v>
      </c>
      <c r="X338">
        <v>473</v>
      </c>
      <c r="Y338">
        <v>28987</v>
      </c>
      <c r="Z338">
        <v>2696109.53171214</v>
      </c>
      <c r="AA338">
        <v>2310951.0271818344</v>
      </c>
      <c r="AB338">
        <v>128149</v>
      </c>
      <c r="AC338">
        <v>2400</v>
      </c>
      <c r="AD338" t="s">
        <v>258</v>
      </c>
      <c r="AE338" s="232">
        <f t="shared" si="51"/>
        <v>3.2206534061630425E-2</v>
      </c>
      <c r="AF338" s="232">
        <f t="shared" si="52"/>
        <v>0.63261188554658843</v>
      </c>
      <c r="AG338" s="232">
        <f t="shared" si="53"/>
        <v>6.1610418195157737E-2</v>
      </c>
      <c r="AH338" s="232">
        <f t="shared" si="54"/>
        <v>5.1907556859867941E-2</v>
      </c>
      <c r="AI338" s="232">
        <f t="shared" si="55"/>
        <v>0.6036698459280998</v>
      </c>
      <c r="AJ338" s="232">
        <f t="shared" si="56"/>
        <v>4.3378576669112255E-3</v>
      </c>
      <c r="AK338" s="232">
        <f t="shared" si="57"/>
        <v>2.1193608099613303E-2</v>
      </c>
      <c r="AL338" s="232">
        <f t="shared" si="58"/>
        <v>5.5025678650036684E-3</v>
      </c>
      <c r="AM338" s="232">
        <f t="shared" si="59"/>
        <v>0.43667551272802224</v>
      </c>
      <c r="AN338" s="232">
        <v>1.7600000000000001E-2</v>
      </c>
      <c r="AO338" s="232">
        <f t="shared" si="50"/>
        <v>8.8000000000000009E-2</v>
      </c>
      <c r="AT338" t="s">
        <v>491</v>
      </c>
      <c r="AU338">
        <v>5739000</v>
      </c>
      <c r="AV338">
        <v>8775999.9999999981</v>
      </c>
      <c r="AW338">
        <v>15621337.159823414</v>
      </c>
      <c r="AX338">
        <v>1106337.1598234158</v>
      </c>
      <c r="AY338">
        <v>1106337.1598234158</v>
      </c>
      <c r="AZ338">
        <v>114721000</v>
      </c>
      <c r="BA338">
        <v>9.6437196313091389E-3</v>
      </c>
    </row>
    <row r="339" spans="1:53" x14ac:dyDescent="0.25">
      <c r="A339" t="s">
        <v>459</v>
      </c>
      <c r="B339">
        <v>279</v>
      </c>
      <c r="C339">
        <v>36225</v>
      </c>
      <c r="D339">
        <v>3149</v>
      </c>
      <c r="E339">
        <v>962</v>
      </c>
      <c r="F339">
        <v>736</v>
      </c>
      <c r="G339">
        <v>0</v>
      </c>
      <c r="H339">
        <v>1129</v>
      </c>
      <c r="I339">
        <v>2</v>
      </c>
      <c r="J339">
        <v>0</v>
      </c>
      <c r="K339">
        <v>1646</v>
      </c>
      <c r="L339">
        <v>9</v>
      </c>
      <c r="M339">
        <v>4614</v>
      </c>
      <c r="N339">
        <v>782</v>
      </c>
      <c r="O339">
        <v>24024</v>
      </c>
      <c r="P339">
        <v>12472</v>
      </c>
      <c r="Q339">
        <v>4172</v>
      </c>
      <c r="R339">
        <v>5</v>
      </c>
      <c r="S339">
        <v>3559</v>
      </c>
      <c r="T339">
        <v>4194</v>
      </c>
      <c r="U339">
        <v>1107</v>
      </c>
      <c r="V339">
        <v>0</v>
      </c>
      <c r="W339">
        <v>46555</v>
      </c>
      <c r="X339">
        <v>-474</v>
      </c>
      <c r="Y339">
        <v>21800</v>
      </c>
      <c r="Z339">
        <v>3197290.7014829973</v>
      </c>
      <c r="AA339">
        <v>2740534.8869854263</v>
      </c>
      <c r="AB339">
        <v>47982</v>
      </c>
      <c r="AC339">
        <v>-11478</v>
      </c>
      <c r="AD339" t="s">
        <v>459</v>
      </c>
      <c r="AE339" s="232">
        <f t="shared" si="51"/>
        <v>7.1851089172874652E-2</v>
      </c>
      <c r="AF339" s="232">
        <f t="shared" si="52"/>
        <v>9.2106111051444534E-2</v>
      </c>
      <c r="AG339" s="232">
        <f t="shared" si="53"/>
        <v>3.647298893781549E-2</v>
      </c>
      <c r="AH339" s="232">
        <f t="shared" si="54"/>
        <v>2.4293845988615614E-2</v>
      </c>
      <c r="AI339" s="232">
        <f t="shared" si="55"/>
        <v>7.9477177531951465E-2</v>
      </c>
      <c r="AJ339" s="232">
        <f t="shared" si="56"/>
        <v>-1.0181505745891956E-2</v>
      </c>
      <c r="AK339" s="232">
        <f t="shared" si="57"/>
        <v>5.8866606959197217E-2</v>
      </c>
      <c r="AL339" s="232">
        <f t="shared" si="58"/>
        <v>-6.1636773708516807E-2</v>
      </c>
      <c r="AM339" s="232">
        <f t="shared" si="59"/>
        <v>0.73680172814083544</v>
      </c>
      <c r="AN339" s="232">
        <v>4.1099999999999998E-2</v>
      </c>
      <c r="AO339" s="232">
        <f t="shared" si="50"/>
        <v>0.20549999999999999</v>
      </c>
      <c r="AT339" t="s">
        <v>282</v>
      </c>
      <c r="AU339">
        <v>2015000.0000000002</v>
      </c>
      <c r="AV339">
        <v>2308000</v>
      </c>
      <c r="AW339">
        <v>6709663.0918683056</v>
      </c>
      <c r="AX339">
        <v>2386663.0918683056</v>
      </c>
      <c r="AY339">
        <v>2386663.0918683056</v>
      </c>
      <c r="AZ339">
        <v>55731000</v>
      </c>
      <c r="BA339">
        <v>4.282469526597954E-2</v>
      </c>
    </row>
    <row r="340" spans="1:53" x14ac:dyDescent="0.25">
      <c r="A340" t="s">
        <v>284</v>
      </c>
      <c r="B340">
        <v>10</v>
      </c>
      <c r="C340">
        <v>191285</v>
      </c>
      <c r="D340">
        <v>352</v>
      </c>
      <c r="E340">
        <v>0</v>
      </c>
      <c r="F340">
        <v>2919</v>
      </c>
      <c r="G340">
        <v>0</v>
      </c>
      <c r="H340">
        <v>-11148</v>
      </c>
      <c r="I340">
        <v>0</v>
      </c>
      <c r="J340">
        <v>0</v>
      </c>
      <c r="K340">
        <v>0</v>
      </c>
      <c r="L340">
        <v>-25</v>
      </c>
      <c r="M340">
        <v>15451</v>
      </c>
      <c r="N340">
        <v>2738</v>
      </c>
      <c r="O340">
        <v>77999</v>
      </c>
      <c r="P340">
        <v>7352</v>
      </c>
      <c r="Q340">
        <v>94872</v>
      </c>
      <c r="R340">
        <v>216</v>
      </c>
      <c r="S340">
        <v>0</v>
      </c>
      <c r="T340">
        <v>12671</v>
      </c>
      <c r="U340">
        <v>8472</v>
      </c>
      <c r="V340">
        <v>0</v>
      </c>
      <c r="W340">
        <v>143105</v>
      </c>
      <c r="X340">
        <v>4253</v>
      </c>
      <c r="Y340">
        <v>51758</v>
      </c>
      <c r="Z340">
        <v>5803957.5364303198</v>
      </c>
      <c r="AA340">
        <v>4974820.7455117032</v>
      </c>
      <c r="AB340">
        <v>182993</v>
      </c>
      <c r="AC340">
        <v>8302</v>
      </c>
      <c r="AD340" t="s">
        <v>284</v>
      </c>
      <c r="AE340" s="232">
        <f t="shared" si="51"/>
        <v>0</v>
      </c>
      <c r="AF340" s="232">
        <f t="shared" si="52"/>
        <v>0.66488242898570982</v>
      </c>
      <c r="AG340" s="232">
        <f t="shared" si="53"/>
        <v>2.0397610146396003E-2</v>
      </c>
      <c r="AH340" s="232">
        <f t="shared" si="54"/>
        <v>-7.7900842039062224E-2</v>
      </c>
      <c r="AI340" s="232">
        <f t="shared" si="55"/>
        <v>0.72186073163062092</v>
      </c>
      <c r="AJ340" s="232">
        <f t="shared" si="56"/>
        <v>2.9719436777191573E-2</v>
      </c>
      <c r="AK340" s="232">
        <f t="shared" si="57"/>
        <v>3.4763430666375758E-2</v>
      </c>
      <c r="AL340" s="232">
        <f t="shared" si="58"/>
        <v>1.4503336710806751E-2</v>
      </c>
      <c r="AM340" s="232">
        <f t="shared" si="59"/>
        <v>0.42340585965016719</v>
      </c>
      <c r="AN340" s="232">
        <v>3.4299999999999997E-2</v>
      </c>
      <c r="AO340" s="232">
        <f t="shared" si="50"/>
        <v>0.17149999999999999</v>
      </c>
      <c r="AT340" t="s">
        <v>378</v>
      </c>
      <c r="AU340">
        <v>8768000</v>
      </c>
      <c r="AV340">
        <v>8051000.0000000009</v>
      </c>
      <c r="AW340">
        <v>19442738.742062774</v>
      </c>
      <c r="AX340">
        <v>2623738.7420627726</v>
      </c>
      <c r="AY340">
        <v>2623738.7420627726</v>
      </c>
      <c r="AZ340">
        <v>244841000</v>
      </c>
      <c r="BA340">
        <v>1.0716092247878306E-2</v>
      </c>
    </row>
    <row r="341" spans="1:53" x14ac:dyDescent="0.25">
      <c r="A341" t="s">
        <v>329</v>
      </c>
      <c r="B341">
        <v>0</v>
      </c>
      <c r="C341">
        <v>29875</v>
      </c>
      <c r="D341">
        <v>803</v>
      </c>
      <c r="E341">
        <v>3657</v>
      </c>
      <c r="F341">
        <v>464</v>
      </c>
      <c r="G341">
        <v>0</v>
      </c>
      <c r="H341">
        <v>-16</v>
      </c>
      <c r="I341">
        <v>0</v>
      </c>
      <c r="J341">
        <v>0</v>
      </c>
      <c r="K341">
        <v>0</v>
      </c>
      <c r="L341">
        <v>145</v>
      </c>
      <c r="M341">
        <v>4825</v>
      </c>
      <c r="N341">
        <v>524</v>
      </c>
      <c r="O341">
        <v>21156</v>
      </c>
      <c r="P341">
        <v>4764</v>
      </c>
      <c r="Q341">
        <v>10085</v>
      </c>
      <c r="R341">
        <v>6</v>
      </c>
      <c r="S341">
        <v>0</v>
      </c>
      <c r="T341">
        <v>3185</v>
      </c>
      <c r="U341">
        <v>1081</v>
      </c>
      <c r="V341">
        <v>1</v>
      </c>
      <c r="W341">
        <v>33032</v>
      </c>
      <c r="X341">
        <v>173</v>
      </c>
      <c r="Y341">
        <v>15995</v>
      </c>
      <c r="Z341">
        <v>1681594.4505316457</v>
      </c>
      <c r="AA341">
        <v>1441366.6718842676</v>
      </c>
      <c r="AB341">
        <v>30424</v>
      </c>
      <c r="AC341">
        <v>-549</v>
      </c>
      <c r="AD341" t="s">
        <v>329</v>
      </c>
      <c r="AE341" s="232">
        <f t="shared" si="51"/>
        <v>0</v>
      </c>
      <c r="AF341" s="232">
        <f t="shared" si="52"/>
        <v>0.14355776217001695</v>
      </c>
      <c r="AG341" s="232">
        <f t="shared" si="53"/>
        <v>0.12475781060789537</v>
      </c>
      <c r="AH341" s="232">
        <f t="shared" si="54"/>
        <v>-4.8437878420925162E-4</v>
      </c>
      <c r="AI341" s="232">
        <f t="shared" si="55"/>
        <v>0.15886776459191085</v>
      </c>
      <c r="AJ341" s="232">
        <f t="shared" si="56"/>
        <v>5.2373456042625333E-3</v>
      </c>
      <c r="AK341" s="232">
        <f t="shared" si="57"/>
        <v>4.3635464757939807E-2</v>
      </c>
      <c r="AL341" s="232">
        <f t="shared" si="58"/>
        <v>-4.1550617582949865E-3</v>
      </c>
      <c r="AM341" s="232">
        <f t="shared" si="59"/>
        <v>0.64354346152891229</v>
      </c>
      <c r="AN341" s="232">
        <v>4.3900000000000002E-2</v>
      </c>
      <c r="AO341" s="232">
        <f t="shared" si="50"/>
        <v>0.2195</v>
      </c>
      <c r="AT341" t="s">
        <v>162</v>
      </c>
      <c r="AU341">
        <v>1901000.0000000002</v>
      </c>
      <c r="AV341">
        <v>1222000</v>
      </c>
      <c r="AW341">
        <v>4686349.4797253814</v>
      </c>
      <c r="AX341">
        <v>1563349.4797253814</v>
      </c>
      <c r="AY341">
        <v>1563349.4797253814</v>
      </c>
      <c r="AZ341">
        <v>54935000</v>
      </c>
      <c r="BA341">
        <v>2.8458168375814715E-2</v>
      </c>
    </row>
    <row r="342" spans="1:53" x14ac:dyDescent="0.25">
      <c r="A342" t="s">
        <v>285</v>
      </c>
      <c r="B342">
        <v>766</v>
      </c>
      <c r="C342">
        <v>22984</v>
      </c>
      <c r="D342">
        <v>188</v>
      </c>
      <c r="E342">
        <v>1612</v>
      </c>
      <c r="F342">
        <v>24</v>
      </c>
      <c r="G342">
        <v>0</v>
      </c>
      <c r="H342">
        <v>12964</v>
      </c>
      <c r="I342">
        <v>0</v>
      </c>
      <c r="J342">
        <v>0</v>
      </c>
      <c r="K342">
        <v>0</v>
      </c>
      <c r="L342">
        <v>-599</v>
      </c>
      <c r="M342">
        <v>3924</v>
      </c>
      <c r="N342">
        <v>470</v>
      </c>
      <c r="O342">
        <v>13105</v>
      </c>
      <c r="P342">
        <v>5322</v>
      </c>
      <c r="Q342">
        <v>12712</v>
      </c>
      <c r="R342">
        <v>7</v>
      </c>
      <c r="S342">
        <v>6000</v>
      </c>
      <c r="T342">
        <v>5030</v>
      </c>
      <c r="U342">
        <v>157</v>
      </c>
      <c r="V342">
        <v>0</v>
      </c>
      <c r="W342">
        <v>34403</v>
      </c>
      <c r="X342">
        <v>2065</v>
      </c>
      <c r="Y342">
        <v>13021</v>
      </c>
      <c r="Z342">
        <v>1640497.4745736397</v>
      </c>
      <c r="AA342">
        <v>1406140.6924916913</v>
      </c>
      <c r="AB342">
        <v>27835</v>
      </c>
      <c r="AC342">
        <v>-4085</v>
      </c>
      <c r="AD342" t="s">
        <v>285</v>
      </c>
      <c r="AE342" s="232">
        <f t="shared" si="51"/>
        <v>0.14173339947558641</v>
      </c>
      <c r="AF342" s="232">
        <f t="shared" si="52"/>
        <v>0.53701712059994766</v>
      </c>
      <c r="AG342" s="232">
        <f t="shared" si="53"/>
        <v>4.7553992384385083E-2</v>
      </c>
      <c r="AH342" s="232">
        <f t="shared" si="54"/>
        <v>0.37682760224399037</v>
      </c>
      <c r="AI342" s="232">
        <f t="shared" si="55"/>
        <v>0.27894427811528061</v>
      </c>
      <c r="AJ342" s="232">
        <f t="shared" si="56"/>
        <v>6.0023835130657212E-2</v>
      </c>
      <c r="AK342" s="232">
        <f t="shared" si="57"/>
        <v>4.0872618448730962E-2</v>
      </c>
      <c r="AL342" s="232">
        <f t="shared" si="58"/>
        <v>-2.9684911199604685E-2</v>
      </c>
      <c r="AM342" s="232">
        <f t="shared" si="59"/>
        <v>0.43528689202277182</v>
      </c>
      <c r="AN342" s="232">
        <v>2.3300000000000001E-2</v>
      </c>
      <c r="AO342" s="232">
        <f t="shared" si="50"/>
        <v>0.11650000000000001</v>
      </c>
      <c r="AT342" t="s">
        <v>183</v>
      </c>
      <c r="AU342">
        <v>259000</v>
      </c>
      <c r="AV342">
        <v>240999.99999999997</v>
      </c>
      <c r="AW342">
        <v>1047188.7052413076</v>
      </c>
      <c r="AX342">
        <v>547188.70524130762</v>
      </c>
      <c r="AY342">
        <v>547188.70524130762</v>
      </c>
      <c r="AZ342">
        <v>8204000</v>
      </c>
      <c r="BA342">
        <v>6.6697794398014099E-2</v>
      </c>
    </row>
    <row r="343" spans="1:53" x14ac:dyDescent="0.25">
      <c r="A343" t="s">
        <v>330</v>
      </c>
      <c r="B343">
        <v>0</v>
      </c>
      <c r="C343">
        <v>647822</v>
      </c>
      <c r="D343">
        <v>3014</v>
      </c>
      <c r="E343">
        <v>21465</v>
      </c>
      <c r="F343">
        <v>36436</v>
      </c>
      <c r="G343">
        <v>0</v>
      </c>
      <c r="H343">
        <v>20045</v>
      </c>
      <c r="I343">
        <v>5538</v>
      </c>
      <c r="J343">
        <v>0</v>
      </c>
      <c r="K343">
        <v>0</v>
      </c>
      <c r="L343">
        <v>3350</v>
      </c>
      <c r="M343">
        <v>52512</v>
      </c>
      <c r="N343">
        <v>32675</v>
      </c>
      <c r="O343">
        <v>127295</v>
      </c>
      <c r="P343">
        <v>30711</v>
      </c>
      <c r="Q343">
        <v>427062</v>
      </c>
      <c r="R343">
        <v>117</v>
      </c>
      <c r="S343">
        <v>137000</v>
      </c>
      <c r="T343">
        <v>20168</v>
      </c>
      <c r="U343">
        <v>80504</v>
      </c>
      <c r="V343">
        <v>-1</v>
      </c>
      <c r="W343">
        <v>449184</v>
      </c>
      <c r="X343">
        <v>3598</v>
      </c>
      <c r="Y343">
        <v>154865</v>
      </c>
      <c r="Z343">
        <v>5420964.6508918032</v>
      </c>
      <c r="AA343">
        <v>4646541.1293358309</v>
      </c>
      <c r="AB343">
        <v>592991</v>
      </c>
      <c r="AC343">
        <v>54831</v>
      </c>
      <c r="AD343" t="s">
        <v>330</v>
      </c>
      <c r="AE343" s="232">
        <f t="shared" si="51"/>
        <v>0.16649308446060493</v>
      </c>
      <c r="AF343" s="232">
        <f t="shared" si="52"/>
        <v>1.1541216962313885</v>
      </c>
      <c r="AG343" s="232">
        <f t="shared" si="53"/>
        <v>0.12890263232884519</v>
      </c>
      <c r="AH343" s="232">
        <f t="shared" si="54"/>
        <v>5.6954388402080218E-2</v>
      </c>
      <c r="AI343" s="232">
        <f t="shared" si="55"/>
        <v>1.1297219402293939</v>
      </c>
      <c r="AJ343" s="232">
        <f t="shared" si="56"/>
        <v>8.0100805015316662E-3</v>
      </c>
      <c r="AK343" s="232">
        <f t="shared" si="57"/>
        <v>1.0344404808131704E-2</v>
      </c>
      <c r="AL343" s="232">
        <f t="shared" si="58"/>
        <v>3.051700416755717E-2</v>
      </c>
      <c r="AM343" s="232">
        <f t="shared" si="59"/>
        <v>0.19202121389257185</v>
      </c>
      <c r="AN343" s="232">
        <v>2.7300000000000001E-2</v>
      </c>
      <c r="AO343" s="232">
        <f t="shared" si="50"/>
        <v>0.13650000000000001</v>
      </c>
      <c r="AT343" t="s">
        <v>401</v>
      </c>
      <c r="AU343">
        <v>4773000</v>
      </c>
      <c r="AV343">
        <v>6630000</v>
      </c>
      <c r="AW343">
        <v>12246675.56955776</v>
      </c>
      <c r="AX343">
        <v>843675.56955775991</v>
      </c>
      <c r="AY343">
        <v>843675.56955775991</v>
      </c>
      <c r="AZ343">
        <v>216372000</v>
      </c>
      <c r="BA343">
        <v>3.8991901427068193E-3</v>
      </c>
    </row>
    <row r="344" spans="1:53" x14ac:dyDescent="0.25">
      <c r="A344" t="s">
        <v>259</v>
      </c>
      <c r="B344">
        <v>0</v>
      </c>
      <c r="C344">
        <v>56507</v>
      </c>
      <c r="D344">
        <v>36</v>
      </c>
      <c r="E344">
        <v>0</v>
      </c>
      <c r="F344">
        <v>1504</v>
      </c>
      <c r="G344">
        <v>0</v>
      </c>
      <c r="H344">
        <v>30302</v>
      </c>
      <c r="I344">
        <v>5</v>
      </c>
      <c r="J344">
        <v>0</v>
      </c>
      <c r="K344">
        <v>1005</v>
      </c>
      <c r="L344">
        <v>456</v>
      </c>
      <c r="M344">
        <v>23715</v>
      </c>
      <c r="N344">
        <v>7220</v>
      </c>
      <c r="O344">
        <v>33522</v>
      </c>
      <c r="P344">
        <v>6163</v>
      </c>
      <c r="Q344">
        <v>54202</v>
      </c>
      <c r="R344">
        <v>173</v>
      </c>
      <c r="S344">
        <v>13000</v>
      </c>
      <c r="T344">
        <v>5634</v>
      </c>
      <c r="U344">
        <v>8056</v>
      </c>
      <c r="V344">
        <v>1</v>
      </c>
      <c r="W344">
        <v>80963</v>
      </c>
      <c r="X344">
        <v>11593</v>
      </c>
      <c r="Y344">
        <v>28014</v>
      </c>
      <c r="Z344">
        <v>2240144.184609158</v>
      </c>
      <c r="AA344">
        <v>1920123.5868078496</v>
      </c>
      <c r="AB344">
        <v>63735</v>
      </c>
      <c r="AC344">
        <v>-7228</v>
      </c>
      <c r="AD344" t="s">
        <v>259</v>
      </c>
      <c r="AE344" s="232">
        <f t="shared" si="51"/>
        <v>0.10766045548654245</v>
      </c>
      <c r="AF344" s="232">
        <f t="shared" si="52"/>
        <v>0.5825500537282462</v>
      </c>
      <c r="AG344" s="232">
        <f t="shared" si="53"/>
        <v>1.8576386744562332E-2</v>
      </c>
      <c r="AH344" s="232">
        <f t="shared" si="54"/>
        <v>0.37433148475229427</v>
      </c>
      <c r="AI344" s="232">
        <f t="shared" si="55"/>
        <v>0.32274718081098769</v>
      </c>
      <c r="AJ344" s="232">
        <f t="shared" si="56"/>
        <v>0.14318886404901005</v>
      </c>
      <c r="AK344" s="232">
        <f t="shared" si="57"/>
        <v>2.3716062729985915E-2</v>
      </c>
      <c r="AL344" s="232">
        <f t="shared" si="58"/>
        <v>-2.2318836999617109E-2</v>
      </c>
      <c r="AM344" s="232">
        <f t="shared" si="59"/>
        <v>0.32865424430641821</v>
      </c>
      <c r="AN344" s="232">
        <v>-3.7000000000000002E-3</v>
      </c>
      <c r="AO344" s="232">
        <f t="shared" si="50"/>
        <v>-1.8500000000000003E-2</v>
      </c>
      <c r="AT344" t="s">
        <v>492</v>
      </c>
      <c r="AU344">
        <v>1710000</v>
      </c>
      <c r="AV344">
        <v>468000</v>
      </c>
      <c r="AW344">
        <v>3211159.0298241647</v>
      </c>
      <c r="AX344">
        <v>1033159.0298241647</v>
      </c>
      <c r="AY344">
        <v>1033159.0298241647</v>
      </c>
      <c r="AZ344">
        <v>25739000</v>
      </c>
      <c r="BA344">
        <v>4.0139827880809852E-2</v>
      </c>
    </row>
    <row r="345" spans="1:53" x14ac:dyDescent="0.25">
      <c r="A345" t="s">
        <v>331</v>
      </c>
      <c r="B345">
        <v>438</v>
      </c>
      <c r="C345">
        <v>55340</v>
      </c>
      <c r="D345">
        <v>121</v>
      </c>
      <c r="E345">
        <v>0</v>
      </c>
      <c r="F345">
        <v>1024</v>
      </c>
      <c r="G345">
        <v>0</v>
      </c>
      <c r="H345">
        <v>5455</v>
      </c>
      <c r="I345">
        <v>0</v>
      </c>
      <c r="J345">
        <v>0</v>
      </c>
      <c r="K345">
        <v>1324</v>
      </c>
      <c r="L345">
        <v>-1259</v>
      </c>
      <c r="M345">
        <v>5338</v>
      </c>
      <c r="N345">
        <v>1246</v>
      </c>
      <c r="O345">
        <v>23036</v>
      </c>
      <c r="P345">
        <v>4659</v>
      </c>
      <c r="Q345">
        <v>32893</v>
      </c>
      <c r="R345">
        <v>226</v>
      </c>
      <c r="S345">
        <v>3277</v>
      </c>
      <c r="T345">
        <v>1140</v>
      </c>
      <c r="U345">
        <v>3796</v>
      </c>
      <c r="V345">
        <v>-1</v>
      </c>
      <c r="W345">
        <v>50576</v>
      </c>
      <c r="X345">
        <v>-448</v>
      </c>
      <c r="Y345">
        <v>16970</v>
      </c>
      <c r="Z345">
        <v>2776832.1656017639</v>
      </c>
      <c r="AA345">
        <v>2380141.8562300834</v>
      </c>
      <c r="AB345">
        <v>58057</v>
      </c>
      <c r="AC345">
        <v>-2279</v>
      </c>
      <c r="AD345" t="s">
        <v>331</v>
      </c>
      <c r="AE345" s="232">
        <f t="shared" si="51"/>
        <v>4.7474176771408291E-2</v>
      </c>
      <c r="AF345" s="232">
        <f t="shared" si="52"/>
        <v>0.66551328693451439</v>
      </c>
      <c r="AG345" s="232">
        <f t="shared" si="53"/>
        <v>2.024675735526732E-2</v>
      </c>
      <c r="AH345" s="232">
        <f t="shared" si="54"/>
        <v>0.10785748180955394</v>
      </c>
      <c r="AI345" s="232">
        <f t="shared" si="55"/>
        <v>0.59244266055045869</v>
      </c>
      <c r="AJ345" s="232">
        <f t="shared" si="56"/>
        <v>-8.8579563429294524E-3</v>
      </c>
      <c r="AK345" s="232">
        <f t="shared" si="57"/>
        <v>4.7060697884966848E-2</v>
      </c>
      <c r="AL345" s="232">
        <f t="shared" si="58"/>
        <v>-1.126522461246441E-2</v>
      </c>
      <c r="AM345" s="232">
        <f t="shared" si="59"/>
        <v>0.40121981253712313</v>
      </c>
      <c r="AN345" s="232">
        <v>1.7399999999999999E-2</v>
      </c>
      <c r="AO345" s="232">
        <f t="shared" si="50"/>
        <v>8.6999999999999994E-2</v>
      </c>
      <c r="AT345" t="s">
        <v>379</v>
      </c>
      <c r="AU345">
        <v>4347000</v>
      </c>
      <c r="AV345">
        <v>1043000</v>
      </c>
      <c r="AW345">
        <v>8570098.4226978384</v>
      </c>
      <c r="AX345">
        <v>3180098.4226978384</v>
      </c>
      <c r="AY345">
        <v>3180098.4226978384</v>
      </c>
      <c r="AZ345">
        <v>52358000</v>
      </c>
      <c r="BA345">
        <v>6.0737583992853783E-2</v>
      </c>
    </row>
    <row r="346" spans="1:53" x14ac:dyDescent="0.25">
      <c r="A346" t="s">
        <v>499</v>
      </c>
      <c r="B346">
        <v>2995</v>
      </c>
      <c r="C346">
        <v>27150</v>
      </c>
      <c r="D346">
        <v>571</v>
      </c>
      <c r="E346">
        <v>0</v>
      </c>
      <c r="F346">
        <v>0</v>
      </c>
      <c r="G346">
        <v>0</v>
      </c>
      <c r="H346">
        <v>39249</v>
      </c>
      <c r="I346">
        <v>0</v>
      </c>
      <c r="J346">
        <v>0</v>
      </c>
      <c r="K346">
        <v>20412</v>
      </c>
      <c r="L346">
        <v>541</v>
      </c>
      <c r="M346">
        <v>15751</v>
      </c>
      <c r="N346">
        <v>0</v>
      </c>
      <c r="O346">
        <v>67408</v>
      </c>
      <c r="P346">
        <v>28394</v>
      </c>
      <c r="Q346">
        <v>0</v>
      </c>
      <c r="R346">
        <v>270</v>
      </c>
      <c r="S346">
        <v>0</v>
      </c>
      <c r="T346">
        <v>10597</v>
      </c>
      <c r="U346">
        <v>0</v>
      </c>
      <c r="V346">
        <v>0</v>
      </c>
      <c r="W346">
        <v>48121</v>
      </c>
      <c r="X346">
        <v>7282</v>
      </c>
      <c r="Y346">
        <v>22407</v>
      </c>
      <c r="Z346">
        <v>3617731.7859339546</v>
      </c>
      <c r="AA346">
        <v>3100912.9593719612</v>
      </c>
      <c r="AB346">
        <v>30249</v>
      </c>
      <c r="AC346">
        <v>-104</v>
      </c>
      <c r="AD346" t="s">
        <v>499</v>
      </c>
      <c r="AE346" s="232">
        <f t="shared" si="51"/>
        <v>0</v>
      </c>
      <c r="AF346" s="232">
        <f t="shared" si="52"/>
        <v>-0.53691735416969721</v>
      </c>
      <c r="AG346" s="232">
        <f t="shared" si="53"/>
        <v>0</v>
      </c>
      <c r="AH346" s="232">
        <f t="shared" si="54"/>
        <v>0.81563142910579578</v>
      </c>
      <c r="AI346" s="232">
        <f t="shared" si="55"/>
        <v>-1.1078593545437543</v>
      </c>
      <c r="AJ346" s="232">
        <f t="shared" si="56"/>
        <v>0.15132686353151431</v>
      </c>
      <c r="AK346" s="232">
        <f t="shared" si="57"/>
        <v>6.4439911044491205E-2</v>
      </c>
      <c r="AL346" s="232">
        <f t="shared" si="58"/>
        <v>-5.4030464869807358E-4</v>
      </c>
      <c r="AM346" s="232">
        <f t="shared" si="59"/>
        <v>0.8981241035352352</v>
      </c>
      <c r="AN346" s="232">
        <v>1.47E-2</v>
      </c>
      <c r="AO346" s="232">
        <f t="shared" si="50"/>
        <v>7.3499999999999996E-2</v>
      </c>
      <c r="AT346" t="s">
        <v>253</v>
      </c>
      <c r="AU346">
        <v>2987000</v>
      </c>
      <c r="AV346">
        <v>2152000</v>
      </c>
      <c r="AW346">
        <v>8557856.4275671057</v>
      </c>
      <c r="AX346">
        <v>3418856.4275671057</v>
      </c>
      <c r="AY346">
        <v>3418856.4275671057</v>
      </c>
      <c r="AZ346">
        <v>65284000</v>
      </c>
      <c r="BA346">
        <v>5.2368979038770691E-2</v>
      </c>
    </row>
    <row r="347" spans="1:53" x14ac:dyDescent="0.25">
      <c r="A347" t="s">
        <v>286</v>
      </c>
      <c r="B347">
        <v>-182</v>
      </c>
      <c r="C347">
        <v>145547</v>
      </c>
      <c r="D347">
        <v>818</v>
      </c>
      <c r="E347">
        <v>0</v>
      </c>
      <c r="F347">
        <v>13337</v>
      </c>
      <c r="G347">
        <v>0</v>
      </c>
      <c r="H347">
        <v>81</v>
      </c>
      <c r="I347">
        <v>-554</v>
      </c>
      <c r="J347">
        <v>0</v>
      </c>
      <c r="K347">
        <v>43404</v>
      </c>
      <c r="L347">
        <v>7320</v>
      </c>
      <c r="M347">
        <v>14243</v>
      </c>
      <c r="N347">
        <v>6677</v>
      </c>
      <c r="O347">
        <v>152577</v>
      </c>
      <c r="P347">
        <v>15846</v>
      </c>
      <c r="Q347">
        <v>39300</v>
      </c>
      <c r="R347">
        <v>28</v>
      </c>
      <c r="S347">
        <v>0</v>
      </c>
      <c r="T347">
        <v>19684</v>
      </c>
      <c r="U347">
        <v>3256</v>
      </c>
      <c r="V347">
        <v>2</v>
      </c>
      <c r="W347">
        <v>154745</v>
      </c>
      <c r="X347">
        <v>3610</v>
      </c>
      <c r="Y347">
        <v>63322</v>
      </c>
      <c r="Z347">
        <v>13240410.593103003</v>
      </c>
      <c r="AA347">
        <v>11348923.36551686</v>
      </c>
      <c r="AB347">
        <v>119244</v>
      </c>
      <c r="AC347">
        <v>26121</v>
      </c>
      <c r="AD347" t="s">
        <v>286</v>
      </c>
      <c r="AE347" s="232">
        <f t="shared" si="51"/>
        <v>0</v>
      </c>
      <c r="AF347" s="232">
        <f t="shared" si="52"/>
        <v>-0.14677695563669263</v>
      </c>
      <c r="AG347" s="232">
        <f t="shared" si="53"/>
        <v>8.6186952728682667E-2</v>
      </c>
      <c r="AH347" s="232">
        <f t="shared" si="54"/>
        <v>-3.0566415716178231E-3</v>
      </c>
      <c r="AI347" s="232">
        <f t="shared" si="55"/>
        <v>-0.13429487220911823</v>
      </c>
      <c r="AJ347" s="232">
        <f t="shared" si="56"/>
        <v>2.3328702058224821E-2</v>
      </c>
      <c r="AK347" s="232">
        <f t="shared" si="57"/>
        <v>7.3339515755060647E-2</v>
      </c>
      <c r="AL347" s="232">
        <f t="shared" si="58"/>
        <v>4.2200071084687714E-2</v>
      </c>
      <c r="AM347" s="232">
        <f t="shared" si="59"/>
        <v>0.73008049728858082</v>
      </c>
      <c r="AN347" s="232">
        <v>3.4200000000000001E-2</v>
      </c>
      <c r="AO347" s="232">
        <f t="shared" si="50"/>
        <v>0.17100000000000001</v>
      </c>
      <c r="AT347" t="s">
        <v>455</v>
      </c>
      <c r="AU347">
        <v>4169000</v>
      </c>
      <c r="AV347">
        <v>2585000</v>
      </c>
      <c r="AW347">
        <v>10056513.643255886</v>
      </c>
      <c r="AX347">
        <v>3302513.6432558857</v>
      </c>
      <c r="AY347">
        <v>3302513.6432558857</v>
      </c>
      <c r="AZ347">
        <v>74273000</v>
      </c>
      <c r="BA347">
        <v>4.446452470286491E-2</v>
      </c>
    </row>
    <row r="348" spans="1:53" x14ac:dyDescent="0.25">
      <c r="A348" t="s">
        <v>260</v>
      </c>
      <c r="B348">
        <v>377</v>
      </c>
      <c r="C348">
        <v>119674</v>
      </c>
      <c r="D348">
        <v>35</v>
      </c>
      <c r="E348">
        <v>758</v>
      </c>
      <c r="F348">
        <v>13184</v>
      </c>
      <c r="G348">
        <v>0</v>
      </c>
      <c r="H348">
        <v>39173</v>
      </c>
      <c r="I348">
        <v>0</v>
      </c>
      <c r="J348">
        <v>0</v>
      </c>
      <c r="K348">
        <v>0</v>
      </c>
      <c r="L348">
        <v>19</v>
      </c>
      <c r="M348">
        <v>11307</v>
      </c>
      <c r="N348">
        <v>3832</v>
      </c>
      <c r="O348">
        <v>40818</v>
      </c>
      <c r="P348">
        <v>8802</v>
      </c>
      <c r="Q348">
        <v>118011</v>
      </c>
      <c r="R348">
        <v>1043</v>
      </c>
      <c r="S348">
        <v>5918</v>
      </c>
      <c r="T348">
        <v>4678</v>
      </c>
      <c r="U348">
        <v>9089</v>
      </c>
      <c r="V348">
        <v>0</v>
      </c>
      <c r="W348">
        <v>119452</v>
      </c>
      <c r="X348">
        <v>-4824</v>
      </c>
      <c r="Y348">
        <v>43402</v>
      </c>
      <c r="Z348">
        <v>1671677.269816766</v>
      </c>
      <c r="AA348">
        <v>1432866.2312715137</v>
      </c>
      <c r="AB348">
        <v>108017</v>
      </c>
      <c r="AC348">
        <v>12034</v>
      </c>
      <c r="AD348" t="s">
        <v>260</v>
      </c>
      <c r="AE348" s="232">
        <f t="shared" si="51"/>
        <v>3.1418727005346175E-2</v>
      </c>
      <c r="AF348" s="232">
        <f t="shared" si="52"/>
        <v>0.91784984763754474</v>
      </c>
      <c r="AG348" s="232">
        <f t="shared" si="53"/>
        <v>0.11671633794327428</v>
      </c>
      <c r="AH348" s="232">
        <f t="shared" si="54"/>
        <v>0.32793925593543849</v>
      </c>
      <c r="AI348" s="232">
        <f t="shared" si="55"/>
        <v>0.7022983290359307</v>
      </c>
      <c r="AJ348" s="232">
        <f t="shared" si="56"/>
        <v>-4.0384422194689081E-2</v>
      </c>
      <c r="AK348" s="232">
        <f t="shared" si="57"/>
        <v>1.1995330603686115E-2</v>
      </c>
      <c r="AL348" s="232">
        <f t="shared" si="58"/>
        <v>2.5185848709104914E-2</v>
      </c>
      <c r="AM348" s="232">
        <f t="shared" si="59"/>
        <v>0.26343312504313571</v>
      </c>
      <c r="AN348" s="232">
        <v>2.9100000000000001E-2</v>
      </c>
      <c r="AO348" s="232">
        <f t="shared" si="50"/>
        <v>0.14550000000000002</v>
      </c>
      <c r="AT348" t="s">
        <v>456</v>
      </c>
      <c r="AU348">
        <v>2596999.9999999995</v>
      </c>
      <c r="AV348">
        <v>701000</v>
      </c>
      <c r="AW348">
        <v>5991612.0514032887</v>
      </c>
      <c r="AX348">
        <v>2693612.0514032892</v>
      </c>
      <c r="AY348">
        <v>2693612.0514032892</v>
      </c>
      <c r="AZ348">
        <v>33090000</v>
      </c>
      <c r="BA348">
        <v>8.1402600525938021E-2</v>
      </c>
    </row>
    <row r="349" spans="1:53" x14ac:dyDescent="0.25">
      <c r="A349" t="s">
        <v>385</v>
      </c>
      <c r="B349">
        <v>304</v>
      </c>
      <c r="C349">
        <v>333149</v>
      </c>
      <c r="D349">
        <v>9</v>
      </c>
      <c r="E349">
        <v>0</v>
      </c>
      <c r="F349">
        <v>10255</v>
      </c>
      <c r="G349">
        <v>0</v>
      </c>
      <c r="H349">
        <v>29468</v>
      </c>
      <c r="I349">
        <v>122</v>
      </c>
      <c r="J349">
        <v>0</v>
      </c>
      <c r="K349">
        <v>0</v>
      </c>
      <c r="L349">
        <v>3476</v>
      </c>
      <c r="M349">
        <v>21315</v>
      </c>
      <c r="N349">
        <v>29863</v>
      </c>
      <c r="O349">
        <v>245623</v>
      </c>
      <c r="P349">
        <v>56211</v>
      </c>
      <c r="Q349">
        <v>40559</v>
      </c>
      <c r="R349">
        <v>47</v>
      </c>
      <c r="S349">
        <v>32000</v>
      </c>
      <c r="T349">
        <v>20870</v>
      </c>
      <c r="U349">
        <v>32651</v>
      </c>
      <c r="V349">
        <v>0</v>
      </c>
      <c r="W349">
        <v>340963</v>
      </c>
      <c r="X349">
        <v>-786</v>
      </c>
      <c r="Y349">
        <v>124695</v>
      </c>
      <c r="Z349">
        <v>-459677.82625188306</v>
      </c>
      <c r="AA349">
        <v>-394009.56535875692</v>
      </c>
      <c r="AB349">
        <v>270099</v>
      </c>
      <c r="AC349">
        <v>63354</v>
      </c>
      <c r="AD349" t="s">
        <v>385</v>
      </c>
      <c r="AE349" s="232">
        <f t="shared" si="51"/>
        <v>7.4773168583118554E-2</v>
      </c>
      <c r="AF349" s="232">
        <f t="shared" si="52"/>
        <v>0.1795444080442746</v>
      </c>
      <c r="AG349" s="232">
        <f t="shared" si="53"/>
        <v>3.0076577223921656E-2</v>
      </c>
      <c r="AH349" s="232">
        <f t="shared" si="54"/>
        <v>8.6783609951812959E-2</v>
      </c>
      <c r="AI349" s="232">
        <f t="shared" si="55"/>
        <v>0.12240507034487613</v>
      </c>
      <c r="AJ349" s="232">
        <f t="shared" si="56"/>
        <v>-2.3052354654317332E-3</v>
      </c>
      <c r="AK349" s="232">
        <f t="shared" si="57"/>
        <v>-1.1555786562141843E-3</v>
      </c>
      <c r="AL349" s="232">
        <f t="shared" si="58"/>
        <v>4.6452254350178759E-2</v>
      </c>
      <c r="AM349" s="232">
        <f t="shared" si="59"/>
        <v>0.70528389269115643</v>
      </c>
      <c r="AN349" s="232">
        <v>4.7399999999999998E-2</v>
      </c>
      <c r="AO349" s="232">
        <f t="shared" si="50"/>
        <v>0.23699999999999999</v>
      </c>
      <c r="AT349" t="s">
        <v>457</v>
      </c>
      <c r="AU349">
        <v>5492000</v>
      </c>
      <c r="AV349">
        <v>5934000</v>
      </c>
      <c r="AW349">
        <v>16990070.274878748</v>
      </c>
      <c r="AX349">
        <v>5564070.2748787478</v>
      </c>
      <c r="AY349">
        <v>5564070.2748787478</v>
      </c>
      <c r="AZ349">
        <v>138925000</v>
      </c>
      <c r="BA349">
        <v>4.0050892747012762E-2</v>
      </c>
    </row>
    <row r="350" spans="1:53" x14ac:dyDescent="0.25">
      <c r="A350" t="s">
        <v>386</v>
      </c>
      <c r="B350">
        <v>9537</v>
      </c>
      <c r="C350">
        <v>21526</v>
      </c>
      <c r="D350">
        <v>685</v>
      </c>
      <c r="E350">
        <v>2931</v>
      </c>
      <c r="F350">
        <v>318</v>
      </c>
      <c r="G350">
        <v>0</v>
      </c>
      <c r="H350">
        <v>4195</v>
      </c>
      <c r="I350">
        <v>1</v>
      </c>
      <c r="J350">
        <v>125</v>
      </c>
      <c r="K350">
        <v>1939</v>
      </c>
      <c r="L350">
        <v>4</v>
      </c>
      <c r="M350">
        <v>10109</v>
      </c>
      <c r="N350">
        <v>91</v>
      </c>
      <c r="O350">
        <v>20235</v>
      </c>
      <c r="P350">
        <v>3065</v>
      </c>
      <c r="Q350">
        <v>24626</v>
      </c>
      <c r="R350">
        <v>1</v>
      </c>
      <c r="S350">
        <v>-255</v>
      </c>
      <c r="T350">
        <v>3190</v>
      </c>
      <c r="U350">
        <v>599</v>
      </c>
      <c r="V350">
        <v>-2</v>
      </c>
      <c r="W350">
        <v>22966</v>
      </c>
      <c r="X350">
        <v>1932</v>
      </c>
      <c r="Y350">
        <v>8430</v>
      </c>
      <c r="Z350">
        <v>266271.22662266297</v>
      </c>
      <c r="AA350">
        <v>228232.47996228255</v>
      </c>
      <c r="AB350">
        <v>20395</v>
      </c>
      <c r="AC350">
        <v>10668</v>
      </c>
      <c r="AD350" t="s">
        <v>386</v>
      </c>
      <c r="AE350" s="232">
        <f t="shared" si="51"/>
        <v>-4.9552087988962512E-3</v>
      </c>
      <c r="AF350" s="232">
        <f t="shared" si="52"/>
        <v>0.55055299137855962</v>
      </c>
      <c r="AG350" s="232">
        <f t="shared" si="53"/>
        <v>0.14146999912914743</v>
      </c>
      <c r="AH350" s="232">
        <f t="shared" si="54"/>
        <v>0.18270486806583647</v>
      </c>
      <c r="AI350" s="232">
        <f t="shared" si="55"/>
        <v>0.43963598362797179</v>
      </c>
      <c r="AJ350" s="232">
        <f t="shared" si="56"/>
        <v>8.4124357746233558E-2</v>
      </c>
      <c r="AK350" s="232">
        <f t="shared" si="57"/>
        <v>9.9378420257024529E-3</v>
      </c>
      <c r="AL350" s="232">
        <f t="shared" si="58"/>
        <v>0.11612818949751808</v>
      </c>
      <c r="AM350" s="232">
        <f t="shared" si="59"/>
        <v>0.45277005887953986</v>
      </c>
      <c r="AN350" s="232">
        <v>1.8E-3</v>
      </c>
      <c r="AO350" s="232">
        <f t="shared" si="50"/>
        <v>8.9999999999999993E-3</v>
      </c>
      <c r="AT350" t="s">
        <v>380</v>
      </c>
      <c r="AU350">
        <v>3401000</v>
      </c>
      <c r="AV350">
        <v>3647000</v>
      </c>
      <c r="AW350">
        <v>8219230.2600436378</v>
      </c>
      <c r="AX350">
        <v>1171230.2600436378</v>
      </c>
      <c r="AY350">
        <v>1171230.2600436378</v>
      </c>
      <c r="AZ350">
        <v>70263000</v>
      </c>
      <c r="BA350">
        <v>1.666923217118025E-2</v>
      </c>
    </row>
    <row r="351" spans="1:53" x14ac:dyDescent="0.25">
      <c r="A351" t="s">
        <v>387</v>
      </c>
      <c r="B351">
        <v>2159</v>
      </c>
      <c r="C351">
        <v>140516</v>
      </c>
      <c r="D351">
        <v>503</v>
      </c>
      <c r="E351">
        <v>12392</v>
      </c>
      <c r="F351">
        <v>1716</v>
      </c>
      <c r="G351">
        <v>0</v>
      </c>
      <c r="H351">
        <v>25852</v>
      </c>
      <c r="I351">
        <v>1689</v>
      </c>
      <c r="J351">
        <v>0</v>
      </c>
      <c r="K351">
        <v>0</v>
      </c>
      <c r="L351">
        <v>93</v>
      </c>
      <c r="M351">
        <v>11199</v>
      </c>
      <c r="N351">
        <v>4524</v>
      </c>
      <c r="O351">
        <v>44167</v>
      </c>
      <c r="P351">
        <v>22540</v>
      </c>
      <c r="Q351">
        <v>106889</v>
      </c>
      <c r="R351">
        <v>20</v>
      </c>
      <c r="S351">
        <v>15869</v>
      </c>
      <c r="T351">
        <v>3800</v>
      </c>
      <c r="U351">
        <v>7358</v>
      </c>
      <c r="V351">
        <v>-1</v>
      </c>
      <c r="W351">
        <v>102601</v>
      </c>
      <c r="X351">
        <v>470</v>
      </c>
      <c r="Y351">
        <v>41882</v>
      </c>
      <c r="Z351">
        <v>5110927.114810653</v>
      </c>
      <c r="AA351">
        <v>4380794.669837703</v>
      </c>
      <c r="AB351">
        <v>126697</v>
      </c>
      <c r="AC351">
        <v>15978</v>
      </c>
      <c r="AD351" t="s">
        <v>387</v>
      </c>
      <c r="AE351" s="232">
        <f t="shared" si="51"/>
        <v>7.9090723324511697E-2</v>
      </c>
      <c r="AF351" s="232">
        <f t="shared" si="52"/>
        <v>1.0137523026091364</v>
      </c>
      <c r="AG351" s="232">
        <f t="shared" si="53"/>
        <v>0.13750353310396585</v>
      </c>
      <c r="AH351" s="232">
        <f t="shared" si="54"/>
        <v>0.26842818296117971</v>
      </c>
      <c r="AI351" s="232">
        <f t="shared" si="55"/>
        <v>0.84235299850878653</v>
      </c>
      <c r="AJ351" s="232">
        <f t="shared" si="56"/>
        <v>4.5808520384791572E-3</v>
      </c>
      <c r="AK351" s="232">
        <f t="shared" si="57"/>
        <v>4.2697387645712057E-2</v>
      </c>
      <c r="AL351" s="232">
        <f t="shared" si="58"/>
        <v>3.8932369080223392E-2</v>
      </c>
      <c r="AM351" s="232">
        <f t="shared" si="59"/>
        <v>0.33246612141963588</v>
      </c>
      <c r="AN351" s="232">
        <v>2.87E-2</v>
      </c>
      <c r="AO351" s="232">
        <f t="shared" si="50"/>
        <v>0.14349999999999999</v>
      </c>
      <c r="AT351" t="s">
        <v>254</v>
      </c>
      <c r="AU351">
        <v>4942000.0000000009</v>
      </c>
      <c r="AV351">
        <v>4739000</v>
      </c>
      <c r="AW351">
        <v>11546231.627032273</v>
      </c>
      <c r="AX351">
        <v>1865231.6270322716</v>
      </c>
      <c r="AY351">
        <v>1865231.6270322716</v>
      </c>
      <c r="AZ351">
        <v>98734000</v>
      </c>
      <c r="BA351">
        <v>1.889148243798764E-2</v>
      </c>
    </row>
    <row r="352" spans="1:53" x14ac:dyDescent="0.25">
      <c r="A352" t="s">
        <v>461</v>
      </c>
      <c r="B352">
        <v>283</v>
      </c>
      <c r="C352">
        <v>32422</v>
      </c>
      <c r="D352">
        <v>358</v>
      </c>
      <c r="E352">
        <v>2001</v>
      </c>
      <c r="F352">
        <v>109</v>
      </c>
      <c r="G352">
        <v>0</v>
      </c>
      <c r="H352">
        <v>8551</v>
      </c>
      <c r="I352">
        <v>0</v>
      </c>
      <c r="J352">
        <v>0</v>
      </c>
      <c r="K352">
        <v>55907</v>
      </c>
      <c r="L352">
        <v>812</v>
      </c>
      <c r="M352">
        <v>8085</v>
      </c>
      <c r="N352">
        <v>1300</v>
      </c>
      <c r="O352">
        <v>12490</v>
      </c>
      <c r="P352">
        <v>15030</v>
      </c>
      <c r="Q352">
        <v>18270</v>
      </c>
      <c r="R352">
        <v>5</v>
      </c>
      <c r="S352">
        <v>0</v>
      </c>
      <c r="T352">
        <v>60119</v>
      </c>
      <c r="U352">
        <v>3914</v>
      </c>
      <c r="V352">
        <v>-4</v>
      </c>
      <c r="W352">
        <v>50405</v>
      </c>
      <c r="X352">
        <v>-2161</v>
      </c>
      <c r="Y352">
        <v>21525</v>
      </c>
      <c r="Z352">
        <v>2996050.7911665905</v>
      </c>
      <c r="AA352">
        <v>2568043.5352856494</v>
      </c>
      <c r="AB352">
        <v>27219</v>
      </c>
      <c r="AC352">
        <v>5486</v>
      </c>
      <c r="AD352" t="s">
        <v>461</v>
      </c>
      <c r="AE352" s="232">
        <f t="shared" si="51"/>
        <v>0</v>
      </c>
      <c r="AF352" s="232">
        <f t="shared" si="52"/>
        <v>0.27961511754786234</v>
      </c>
      <c r="AG352" s="232">
        <f t="shared" si="53"/>
        <v>4.1860926495387363E-2</v>
      </c>
      <c r="AH352" s="232">
        <f t="shared" si="54"/>
        <v>0.16964586846543001</v>
      </c>
      <c r="AI352" s="232">
        <f t="shared" si="55"/>
        <v>0.16588632080150784</v>
      </c>
      <c r="AJ352" s="232">
        <f t="shared" si="56"/>
        <v>-4.2872730879873026E-2</v>
      </c>
      <c r="AK352" s="232">
        <f t="shared" si="57"/>
        <v>5.094819036376648E-2</v>
      </c>
      <c r="AL352" s="232">
        <f t="shared" si="58"/>
        <v>2.7209602222001784E-2</v>
      </c>
      <c r="AM352" s="232">
        <f t="shared" si="59"/>
        <v>0.25057362421240487</v>
      </c>
      <c r="AN352" s="232">
        <v>5.0299999999999997E-2</v>
      </c>
      <c r="AO352" s="232">
        <f t="shared" si="50"/>
        <v>0.2515</v>
      </c>
      <c r="AT352" t="s">
        <v>381</v>
      </c>
      <c r="AU352">
        <v>6856000</v>
      </c>
      <c r="AV352">
        <v>2729000.0000000005</v>
      </c>
      <c r="AW352">
        <v>15913855.432337798</v>
      </c>
      <c r="AX352">
        <v>6328855.4323377982</v>
      </c>
      <c r="AY352">
        <v>6328855.4323377982</v>
      </c>
      <c r="AZ352">
        <v>70346000</v>
      </c>
      <c r="BA352">
        <v>8.9967523844110511E-2</v>
      </c>
    </row>
    <row r="353" spans="1:53" x14ac:dyDescent="0.25">
      <c r="A353" t="s">
        <v>261</v>
      </c>
      <c r="B353">
        <v>123</v>
      </c>
      <c r="C353">
        <v>151212</v>
      </c>
      <c r="D353">
        <v>5444</v>
      </c>
      <c r="E353">
        <v>22391</v>
      </c>
      <c r="F353">
        <v>1895</v>
      </c>
      <c r="G353">
        <v>69</v>
      </c>
      <c r="H353">
        <v>43040</v>
      </c>
      <c r="I353">
        <v>2</v>
      </c>
      <c r="J353">
        <v>1232</v>
      </c>
      <c r="K353">
        <v>4</v>
      </c>
      <c r="L353">
        <v>-612</v>
      </c>
      <c r="M353">
        <v>20802</v>
      </c>
      <c r="N353">
        <v>6255</v>
      </c>
      <c r="O353">
        <v>51046</v>
      </c>
      <c r="P353">
        <v>20581</v>
      </c>
      <c r="Q353">
        <v>115002</v>
      </c>
      <c r="R353">
        <v>81</v>
      </c>
      <c r="S353">
        <v>24000</v>
      </c>
      <c r="T353">
        <v>6917</v>
      </c>
      <c r="U353">
        <v>34230</v>
      </c>
      <c r="V353">
        <v>1</v>
      </c>
      <c r="W353">
        <v>168561</v>
      </c>
      <c r="X353">
        <v>-16890</v>
      </c>
      <c r="Y353">
        <v>47537</v>
      </c>
      <c r="Z353">
        <v>3940645.5296665262</v>
      </c>
      <c r="AA353">
        <v>3377696.1682855939</v>
      </c>
      <c r="AB353">
        <v>141882</v>
      </c>
      <c r="AC353">
        <v>9453</v>
      </c>
      <c r="AD353" t="s">
        <v>261</v>
      </c>
      <c r="AE353" s="232">
        <f t="shared" si="51"/>
        <v>9.5292169763000437E-2</v>
      </c>
      <c r="AF353" s="232">
        <f t="shared" si="52"/>
        <v>0.76051993047027489</v>
      </c>
      <c r="AG353" s="232">
        <f t="shared" si="53"/>
        <v>0.14407840485046955</v>
      </c>
      <c r="AH353" s="232">
        <f t="shared" si="54"/>
        <v>0.25534969536250973</v>
      </c>
      <c r="AI353" s="232">
        <f t="shared" si="55"/>
        <v>0.59906455229857436</v>
      </c>
      <c r="AJ353" s="232">
        <f t="shared" si="56"/>
        <v>-0.10020111413672202</v>
      </c>
      <c r="AK353" s="232">
        <f t="shared" si="57"/>
        <v>2.0038420324307485E-2</v>
      </c>
      <c r="AL353" s="232">
        <f t="shared" si="58"/>
        <v>1.402014700909463E-2</v>
      </c>
      <c r="AM353" s="232">
        <f t="shared" si="59"/>
        <v>0.28439551015060133</v>
      </c>
      <c r="AN353" s="232">
        <v>5.3400000000000003E-2</v>
      </c>
      <c r="AO353" s="232">
        <f t="shared" si="50"/>
        <v>0.26700000000000002</v>
      </c>
      <c r="AT353" t="s">
        <v>326</v>
      </c>
      <c r="AU353">
        <v>2220000</v>
      </c>
      <c r="AV353">
        <v>735000</v>
      </c>
      <c r="AW353">
        <v>5584623.4671024838</v>
      </c>
      <c r="AX353">
        <v>2629623.4671024838</v>
      </c>
      <c r="AY353">
        <v>2629623.4671024838</v>
      </c>
      <c r="AZ353">
        <v>32732000</v>
      </c>
      <c r="BA353">
        <v>8.0338001561239269E-2</v>
      </c>
    </row>
    <row r="354" spans="1:53" x14ac:dyDescent="0.25">
      <c r="A354" t="s">
        <v>207</v>
      </c>
      <c r="B354">
        <v>515</v>
      </c>
      <c r="C354">
        <v>67774</v>
      </c>
      <c r="D354">
        <v>397</v>
      </c>
      <c r="E354">
        <v>4087</v>
      </c>
      <c r="F354">
        <v>4289</v>
      </c>
      <c r="G354">
        <v>0</v>
      </c>
      <c r="H354">
        <v>28965</v>
      </c>
      <c r="I354">
        <v>6</v>
      </c>
      <c r="J354">
        <v>0</v>
      </c>
      <c r="K354">
        <v>0</v>
      </c>
      <c r="L354">
        <v>-2623</v>
      </c>
      <c r="M354">
        <v>5680</v>
      </c>
      <c r="N354">
        <v>3419</v>
      </c>
      <c r="O354">
        <v>25929</v>
      </c>
      <c r="P354">
        <v>8566</v>
      </c>
      <c r="Q354">
        <v>63036</v>
      </c>
      <c r="R354">
        <v>-7</v>
      </c>
      <c r="S354">
        <v>6000</v>
      </c>
      <c r="T354">
        <v>5690</v>
      </c>
      <c r="U354">
        <v>3295</v>
      </c>
      <c r="V354">
        <v>1</v>
      </c>
      <c r="W354">
        <v>50469</v>
      </c>
      <c r="X354">
        <v>866</v>
      </c>
      <c r="Y354">
        <v>22468</v>
      </c>
      <c r="Z354">
        <v>2171865.7266360344</v>
      </c>
      <c r="AA354">
        <v>1861599.1942594582</v>
      </c>
      <c r="AB354">
        <v>72260</v>
      </c>
      <c r="AC354">
        <v>-3971</v>
      </c>
      <c r="AD354" t="s">
        <v>207</v>
      </c>
      <c r="AE354" s="232">
        <f t="shared" si="51"/>
        <v>5.3329067007972693E-2</v>
      </c>
      <c r="AF354" s="232">
        <f t="shared" si="52"/>
        <v>1.2515009213576651</v>
      </c>
      <c r="AG354" s="232">
        <f t="shared" si="53"/>
        <v>0.16596326457825597</v>
      </c>
      <c r="AH354" s="232">
        <f t="shared" si="54"/>
        <v>0.57403554657314393</v>
      </c>
      <c r="AI354" s="232">
        <f t="shared" si="55"/>
        <v>0.86959163050585508</v>
      </c>
      <c r="AJ354" s="232">
        <f t="shared" si="56"/>
        <v>1.7159048128554164E-2</v>
      </c>
      <c r="AK354" s="232">
        <f t="shared" si="57"/>
        <v>3.6885993268332209E-2</v>
      </c>
      <c r="AL354" s="232">
        <f t="shared" si="58"/>
        <v>-1.9670490796330421E-2</v>
      </c>
      <c r="AM354" s="232">
        <f t="shared" si="59"/>
        <v>0.30659769440666967</v>
      </c>
      <c r="AN354" s="232">
        <v>2.6700000000000002E-2</v>
      </c>
      <c r="AO354" s="232">
        <f t="shared" si="50"/>
        <v>0.13350000000000001</v>
      </c>
      <c r="AT354" t="s">
        <v>493</v>
      </c>
      <c r="AU354">
        <v>5843000.0000000009</v>
      </c>
      <c r="AV354">
        <v>4422999.9999999991</v>
      </c>
      <c r="AW354">
        <v>16193021.538872285</v>
      </c>
      <c r="AX354">
        <v>5927021.5388722839</v>
      </c>
      <c r="AY354">
        <v>5927021.5388722839</v>
      </c>
      <c r="AZ354">
        <v>153500000</v>
      </c>
      <c r="BA354">
        <v>3.8612518168549083E-2</v>
      </c>
    </row>
    <row r="355" spans="1:53" x14ac:dyDescent="0.25">
      <c r="A355" t="s">
        <v>388</v>
      </c>
      <c r="B355">
        <v>165</v>
      </c>
      <c r="C355">
        <v>176428</v>
      </c>
      <c r="D355">
        <v>1601</v>
      </c>
      <c r="E355">
        <v>3349</v>
      </c>
      <c r="F355">
        <v>3180</v>
      </c>
      <c r="G355">
        <v>0</v>
      </c>
      <c r="H355">
        <v>12204</v>
      </c>
      <c r="I355">
        <v>268</v>
      </c>
      <c r="J355">
        <v>0</v>
      </c>
      <c r="K355">
        <v>6000</v>
      </c>
      <c r="L355">
        <v>32</v>
      </c>
      <c r="M355">
        <v>17390</v>
      </c>
      <c r="N355">
        <v>4609</v>
      </c>
      <c r="O355">
        <v>47086</v>
      </c>
      <c r="P355">
        <v>11355</v>
      </c>
      <c r="Q355">
        <v>132659</v>
      </c>
      <c r="R355">
        <v>0</v>
      </c>
      <c r="S355">
        <v>22107</v>
      </c>
      <c r="T355">
        <v>3912</v>
      </c>
      <c r="U355">
        <v>8107</v>
      </c>
      <c r="V355">
        <v>0</v>
      </c>
      <c r="W355">
        <v>126147</v>
      </c>
      <c r="X355">
        <v>8527</v>
      </c>
      <c r="Y355">
        <v>44586</v>
      </c>
      <c r="Z355">
        <v>2063171.6196136717</v>
      </c>
      <c r="AA355">
        <v>1768432.8168117187</v>
      </c>
      <c r="AB355">
        <v>145003</v>
      </c>
      <c r="AC355">
        <v>31590</v>
      </c>
      <c r="AD355" t="s">
        <v>388</v>
      </c>
      <c r="AE355" s="232">
        <f t="shared" si="51"/>
        <v>9.8154742347686327E-2</v>
      </c>
      <c r="AF355" s="232">
        <f t="shared" si="52"/>
        <v>1.0481818830412137</v>
      </c>
      <c r="AG355" s="232">
        <f t="shared" si="53"/>
        <v>5.1757077060889278E-2</v>
      </c>
      <c r="AH355" s="232">
        <f t="shared" si="54"/>
        <v>9.886878007404061E-2</v>
      </c>
      <c r="AI355" s="232">
        <f t="shared" si="55"/>
        <v>0.98518458623669203</v>
      </c>
      <c r="AJ355" s="232">
        <f t="shared" si="56"/>
        <v>6.7595741476214263E-2</v>
      </c>
      <c r="AK355" s="232">
        <f t="shared" si="57"/>
        <v>1.4018825789053396E-2</v>
      </c>
      <c r="AL355" s="232">
        <f t="shared" si="58"/>
        <v>6.2605531641656165E-2</v>
      </c>
      <c r="AM355" s="232">
        <f t="shared" si="59"/>
        <v>0.25947714739861294</v>
      </c>
      <c r="AN355" s="232">
        <v>1.5900000000000001E-2</v>
      </c>
      <c r="AO355" s="232">
        <f t="shared" si="50"/>
        <v>7.9500000000000001E-2</v>
      </c>
      <c r="AT355" t="s">
        <v>327</v>
      </c>
      <c r="AU355">
        <v>1933000</v>
      </c>
      <c r="AV355">
        <v>1988000</v>
      </c>
      <c r="AW355">
        <v>6353669.0795425931</v>
      </c>
      <c r="AX355">
        <v>2432669.0795425931</v>
      </c>
      <c r="AY355">
        <v>2432669.0795425931</v>
      </c>
      <c r="AZ355">
        <v>54514000</v>
      </c>
      <c r="BA355">
        <v>4.4624666682734584E-2</v>
      </c>
    </row>
    <row r="356" spans="1:53" x14ac:dyDescent="0.25">
      <c r="A356" t="s">
        <v>208</v>
      </c>
      <c r="B356">
        <v>5085</v>
      </c>
      <c r="C356">
        <v>437104</v>
      </c>
      <c r="D356">
        <v>1223</v>
      </c>
      <c r="E356">
        <v>22967</v>
      </c>
      <c r="F356">
        <v>9115</v>
      </c>
      <c r="G356">
        <v>0</v>
      </c>
      <c r="H356">
        <v>59841</v>
      </c>
      <c r="I356">
        <v>-816</v>
      </c>
      <c r="J356">
        <v>0</v>
      </c>
      <c r="K356">
        <v>0</v>
      </c>
      <c r="L356">
        <v>922</v>
      </c>
      <c r="M356">
        <v>31688</v>
      </c>
      <c r="N356">
        <v>26012</v>
      </c>
      <c r="O356">
        <v>172070</v>
      </c>
      <c r="P356">
        <v>12775</v>
      </c>
      <c r="Q356">
        <v>290159</v>
      </c>
      <c r="R356">
        <v>0</v>
      </c>
      <c r="S356">
        <v>37438</v>
      </c>
      <c r="T356">
        <v>36325</v>
      </c>
      <c r="U356">
        <v>44374</v>
      </c>
      <c r="V356">
        <v>1</v>
      </c>
      <c r="W356">
        <v>557422</v>
      </c>
      <c r="X356">
        <v>20372</v>
      </c>
      <c r="Y356">
        <v>126116</v>
      </c>
      <c r="Z356">
        <v>4363495.9339267313</v>
      </c>
      <c r="AA356">
        <v>3740139.3719371981</v>
      </c>
      <c r="AB356">
        <v>387465</v>
      </c>
      <c r="AC356">
        <v>54724</v>
      </c>
      <c r="AD356" t="s">
        <v>208</v>
      </c>
      <c r="AE356" s="232">
        <f t="shared" si="51"/>
        <v>6.3118213038720977E-2</v>
      </c>
      <c r="AF356" s="232">
        <f t="shared" si="52"/>
        <v>0.56975146298495571</v>
      </c>
      <c r="AG356" s="232">
        <f t="shared" si="53"/>
        <v>5.7554240772700035E-2</v>
      </c>
      <c r="AH356" s="232">
        <f t="shared" si="54"/>
        <v>0.10588925446071379</v>
      </c>
      <c r="AI356" s="232">
        <f t="shared" si="55"/>
        <v>0.50253549375518014</v>
      </c>
      <c r="AJ356" s="232">
        <f t="shared" si="56"/>
        <v>3.6546817312556733E-2</v>
      </c>
      <c r="AK356" s="232">
        <f t="shared" si="57"/>
        <v>6.7097089313611557E-3</v>
      </c>
      <c r="AL356" s="232">
        <f t="shared" si="58"/>
        <v>2.4543344180889881E-2</v>
      </c>
      <c r="AM356" s="232">
        <f t="shared" si="59"/>
        <v>0.31163753643737324</v>
      </c>
      <c r="AN356" s="232">
        <v>2.5999999999999999E-2</v>
      </c>
      <c r="AO356" s="232">
        <f t="shared" si="50"/>
        <v>0.13</v>
      </c>
      <c r="AT356" t="s">
        <v>458</v>
      </c>
      <c r="AU356">
        <v>2739000</v>
      </c>
      <c r="AV356">
        <v>1223000</v>
      </c>
      <c r="AW356">
        <v>7471842.3295890763</v>
      </c>
      <c r="AX356">
        <v>3509842.3295890763</v>
      </c>
      <c r="AY356">
        <v>3509842.3295890763</v>
      </c>
      <c r="AZ356">
        <v>61895000</v>
      </c>
      <c r="BA356">
        <v>5.6706395178755573E-2</v>
      </c>
    </row>
    <row r="357" spans="1:53" x14ac:dyDescent="0.25">
      <c r="A357" t="s">
        <v>510</v>
      </c>
      <c r="B357">
        <f t="shared" ref="B357:U357" si="60">SUM(B2:B356)</f>
        <v>1984571</v>
      </c>
      <c r="C357">
        <f t="shared" si="60"/>
        <v>60008841</v>
      </c>
      <c r="D357">
        <f t="shared" si="60"/>
        <v>1916824</v>
      </c>
      <c r="E357">
        <f t="shared" si="60"/>
        <v>3070775</v>
      </c>
      <c r="F357">
        <f t="shared" si="60"/>
        <v>2489049</v>
      </c>
      <c r="G357">
        <f t="shared" si="60"/>
        <v>78976</v>
      </c>
      <c r="H357">
        <f t="shared" si="60"/>
        <v>6916296</v>
      </c>
      <c r="I357">
        <f t="shared" si="60"/>
        <v>287815</v>
      </c>
      <c r="J357">
        <f t="shared" si="60"/>
        <v>149330</v>
      </c>
      <c r="K357">
        <f t="shared" si="60"/>
        <v>1553783</v>
      </c>
      <c r="L357">
        <f t="shared" si="60"/>
        <v>384268</v>
      </c>
      <c r="M357">
        <f t="shared" si="60"/>
        <v>5616416</v>
      </c>
      <c r="N357">
        <f t="shared" si="60"/>
        <v>3154719</v>
      </c>
      <c r="O357">
        <f t="shared" si="60"/>
        <v>30477060</v>
      </c>
      <c r="P357">
        <f t="shared" si="60"/>
        <v>6661910</v>
      </c>
      <c r="Q357">
        <f t="shared" si="60"/>
        <v>37664857</v>
      </c>
      <c r="R357">
        <f t="shared" si="60"/>
        <v>305450</v>
      </c>
      <c r="S357">
        <f t="shared" si="60"/>
        <v>4326228</v>
      </c>
      <c r="T357">
        <f t="shared" si="60"/>
        <v>3750894</v>
      </c>
      <c r="U357">
        <f t="shared" si="60"/>
        <v>4425168</v>
      </c>
      <c r="W357">
        <f t="shared" ref="W357:AC357" si="61">SUM(W2:W356)</f>
        <v>57270600</v>
      </c>
      <c r="X357">
        <f t="shared" si="61"/>
        <v>204631</v>
      </c>
      <c r="Y357">
        <f t="shared" si="61"/>
        <v>17181084</v>
      </c>
      <c r="Z357">
        <f t="shared" si="61"/>
        <v>1591242617.7630723</v>
      </c>
      <c r="AA357">
        <f t="shared" si="61"/>
        <v>1363922243.7969208</v>
      </c>
      <c r="AB357">
        <f t="shared" si="61"/>
        <v>56301915.000000007</v>
      </c>
      <c r="AC357">
        <f t="shared" si="61"/>
        <v>5691497.0000000009</v>
      </c>
      <c r="AD357" t="s">
        <v>510</v>
      </c>
      <c r="AE357" s="232">
        <f t="shared" si="51"/>
        <v>4.9379644128497324E-2</v>
      </c>
      <c r="AF357" s="232">
        <f t="shared" si="52"/>
        <v>0.59324122673762802</v>
      </c>
      <c r="AG357" s="232">
        <f t="shared" si="53"/>
        <v>9.7079897888270775E-2</v>
      </c>
      <c r="AH357" s="232">
        <f t="shared" si="54"/>
        <v>0.12579073730675075</v>
      </c>
      <c r="AI357" s="232">
        <f t="shared" si="55"/>
        <v>0.51683729836949499</v>
      </c>
      <c r="AJ357" s="232">
        <f t="shared" si="56"/>
        <v>3.5730549356912623E-3</v>
      </c>
      <c r="AK357" s="232">
        <f t="shared" si="57"/>
        <v>2.3815399939880511E-2</v>
      </c>
      <c r="AL357" s="232">
        <f t="shared" si="58"/>
        <v>2.4844758916442299E-2</v>
      </c>
      <c r="AM357" s="232">
        <f t="shared" si="59"/>
        <v>0.42390487091732992</v>
      </c>
      <c r="AN357" s="232">
        <v>3.04E-2</v>
      </c>
      <c r="AO357" s="232">
        <f t="shared" si="50"/>
        <v>0.152</v>
      </c>
      <c r="AT357" t="s">
        <v>255</v>
      </c>
      <c r="AU357">
        <v>2298000</v>
      </c>
      <c r="AV357">
        <v>1477000</v>
      </c>
      <c r="AW357">
        <v>5629819.2962792153</v>
      </c>
      <c r="AX357">
        <v>1854819.2962792153</v>
      </c>
      <c r="AY357">
        <v>1854819.2962792153</v>
      </c>
      <c r="AZ357">
        <v>44366000</v>
      </c>
      <c r="BA357">
        <v>4.1807223916494954E-2</v>
      </c>
    </row>
    <row r="358" spans="1:53" x14ac:dyDescent="0.25">
      <c r="AT358" t="s">
        <v>139</v>
      </c>
      <c r="AU358">
        <v>2263000</v>
      </c>
      <c r="AV358">
        <v>1220000</v>
      </c>
      <c r="AW358">
        <v>6730394.9961572252</v>
      </c>
      <c r="AX358">
        <v>3247394.9961572252</v>
      </c>
      <c r="AY358">
        <v>3247394.9961572252</v>
      </c>
      <c r="AZ358">
        <v>46779000</v>
      </c>
      <c r="BA358">
        <v>6.9419931938631121E-2</v>
      </c>
    </row>
    <row r="359" spans="1:53" x14ac:dyDescent="0.25">
      <c r="A359" s="269" t="s">
        <v>145</v>
      </c>
      <c r="B359">
        <v>0</v>
      </c>
      <c r="C359">
        <v>29333</v>
      </c>
      <c r="D359">
        <v>81</v>
      </c>
      <c r="E359">
        <v>708</v>
      </c>
      <c r="F359">
        <v>0</v>
      </c>
      <c r="G359">
        <v>0</v>
      </c>
      <c r="H359">
        <v>547</v>
      </c>
      <c r="I359">
        <v>0</v>
      </c>
      <c r="J359">
        <v>0</v>
      </c>
      <c r="K359">
        <v>1</v>
      </c>
      <c r="L359">
        <v>495</v>
      </c>
      <c r="M359">
        <v>9167</v>
      </c>
      <c r="N359">
        <v>-213</v>
      </c>
      <c r="O359">
        <v>8267</v>
      </c>
      <c r="P359">
        <v>1910</v>
      </c>
      <c r="Q359">
        <v>19650</v>
      </c>
      <c r="R359">
        <v>0</v>
      </c>
      <c r="S359">
        <v>1569</v>
      </c>
      <c r="T359">
        <v>5966</v>
      </c>
      <c r="U359">
        <v>2757</v>
      </c>
      <c r="V359">
        <v>3</v>
      </c>
      <c r="W359">
        <v>34040</v>
      </c>
      <c r="X359">
        <v>-611</v>
      </c>
      <c r="Y359">
        <v>10058</v>
      </c>
      <c r="Z359">
        <v>-153258.84369448386</v>
      </c>
      <c r="AA359">
        <v>-131364.72316670045</v>
      </c>
      <c r="AB359">
        <v>32548</v>
      </c>
      <c r="AC359">
        <v>-3215</v>
      </c>
      <c r="AD359" t="s">
        <v>145</v>
      </c>
      <c r="AE359" s="232"/>
      <c r="AF359" s="232"/>
      <c r="AG359" s="232"/>
      <c r="AH359" s="232"/>
      <c r="AI359" s="232"/>
      <c r="AJ359" s="232"/>
      <c r="AK359" s="232"/>
      <c r="AL359" s="232"/>
      <c r="AM359" s="232"/>
      <c r="AN359" s="232">
        <v>2.7400000000000001E-2</v>
      </c>
      <c r="AO359" s="232">
        <f>5*AN359</f>
        <v>0.13700000000000001</v>
      </c>
      <c r="AT359" t="s">
        <v>256</v>
      </c>
      <c r="AU359">
        <v>2084000.0000000002</v>
      </c>
      <c r="AV359">
        <v>442000</v>
      </c>
      <c r="AW359">
        <v>3112200.7782024238</v>
      </c>
      <c r="AX359">
        <v>586200.77820242359</v>
      </c>
      <c r="AY359">
        <v>586200.77820242359</v>
      </c>
      <c r="AZ359">
        <v>34927000</v>
      </c>
      <c r="BA359">
        <v>1.6783599456077637E-2</v>
      </c>
    </row>
    <row r="360" spans="1:53" x14ac:dyDescent="0.25">
      <c r="A360" s="269" t="s">
        <v>163</v>
      </c>
      <c r="B360">
        <v>16</v>
      </c>
      <c r="C360">
        <v>18910</v>
      </c>
      <c r="D360">
        <v>67</v>
      </c>
      <c r="E360">
        <v>1562</v>
      </c>
      <c r="F360">
        <v>320</v>
      </c>
      <c r="G360">
        <v>0</v>
      </c>
      <c r="H360">
        <v>1542</v>
      </c>
      <c r="I360">
        <v>0</v>
      </c>
      <c r="J360">
        <v>0</v>
      </c>
      <c r="K360">
        <v>-3219</v>
      </c>
      <c r="L360">
        <v>364</v>
      </c>
      <c r="M360">
        <v>14197</v>
      </c>
      <c r="N360">
        <v>7510</v>
      </c>
      <c r="O360">
        <v>17101</v>
      </c>
      <c r="P360">
        <v>2777</v>
      </c>
      <c r="Q360">
        <v>2459</v>
      </c>
      <c r="R360">
        <v>0</v>
      </c>
      <c r="S360">
        <v>7877</v>
      </c>
      <c r="T360">
        <v>6935</v>
      </c>
      <c r="U360">
        <v>4120</v>
      </c>
      <c r="V360">
        <v>225</v>
      </c>
      <c r="W360">
        <v>36382</v>
      </c>
      <c r="X360">
        <v>-1988</v>
      </c>
      <c r="Y360">
        <v>13560</v>
      </c>
      <c r="Z360">
        <v>76264.491516514216</v>
      </c>
      <c r="AA360">
        <v>65369.564157012188</v>
      </c>
      <c r="AB360">
        <v>21139</v>
      </c>
      <c r="AC360">
        <v>-2213</v>
      </c>
      <c r="AD360" t="s">
        <v>163</v>
      </c>
      <c r="AE360" s="232"/>
      <c r="AF360" s="232"/>
      <c r="AG360" s="232"/>
      <c r="AH360" s="232"/>
      <c r="AI360" s="232"/>
      <c r="AJ360" s="232"/>
      <c r="AK360" s="232"/>
      <c r="AL360" s="232"/>
      <c r="AM360" s="232"/>
      <c r="AN360" s="232">
        <v>5.33E-2</v>
      </c>
      <c r="AO360" s="232">
        <f>5*AN360</f>
        <v>0.26650000000000001</v>
      </c>
      <c r="AT360" t="s">
        <v>382</v>
      </c>
      <c r="AU360">
        <v>13215000.000000002</v>
      </c>
      <c r="AV360">
        <v>17885000</v>
      </c>
      <c r="AW360">
        <v>45074133.467129976</v>
      </c>
      <c r="AX360">
        <v>13974133.467129976</v>
      </c>
      <c r="AY360">
        <v>13974133.467129976</v>
      </c>
      <c r="AZ360">
        <v>240972000</v>
      </c>
      <c r="BA360">
        <v>5.799069380313885E-2</v>
      </c>
    </row>
    <row r="361" spans="1:53" x14ac:dyDescent="0.25">
      <c r="A361" s="269" t="s">
        <v>143</v>
      </c>
      <c r="B361">
        <v>24</v>
      </c>
      <c r="C361">
        <v>17611</v>
      </c>
      <c r="D361">
        <v>77</v>
      </c>
      <c r="E361">
        <v>3007</v>
      </c>
      <c r="F361">
        <v>2101</v>
      </c>
      <c r="G361">
        <v>0</v>
      </c>
      <c r="H361">
        <v>3926</v>
      </c>
      <c r="I361">
        <v>4</v>
      </c>
      <c r="J361">
        <v>0</v>
      </c>
      <c r="K361">
        <v>4456</v>
      </c>
      <c r="L361">
        <v>62</v>
      </c>
      <c r="M361">
        <v>2675</v>
      </c>
      <c r="N361">
        <v>2278</v>
      </c>
      <c r="O361">
        <v>12822</v>
      </c>
      <c r="P361">
        <v>4678</v>
      </c>
      <c r="Q361">
        <v>13715</v>
      </c>
      <c r="R361">
        <v>0</v>
      </c>
      <c r="S361">
        <v>163</v>
      </c>
      <c r="T361">
        <v>1523</v>
      </c>
      <c r="U361">
        <v>3320</v>
      </c>
      <c r="V361">
        <v>4</v>
      </c>
      <c r="W361">
        <v>24490</v>
      </c>
      <c r="X361">
        <v>-2115</v>
      </c>
      <c r="Y361">
        <v>10475</v>
      </c>
      <c r="Z361">
        <v>424804.61190427653</v>
      </c>
      <c r="AA361">
        <v>364118.23877509416</v>
      </c>
      <c r="AB361">
        <v>19796</v>
      </c>
      <c r="AC361">
        <v>-2161</v>
      </c>
      <c r="AD361" t="s">
        <v>143</v>
      </c>
      <c r="AE361" s="232"/>
      <c r="AF361" s="232"/>
      <c r="AG361" s="232"/>
      <c r="AH361" s="232"/>
      <c r="AI361" s="232"/>
      <c r="AJ361" s="232"/>
      <c r="AK361" s="232"/>
      <c r="AL361" s="232"/>
      <c r="AM361" s="232"/>
      <c r="AN361" s="232">
        <v>5.0200000000000002E-2</v>
      </c>
      <c r="AO361" s="232">
        <f>5*AN361</f>
        <v>0.251</v>
      </c>
      <c r="AT361" t="s">
        <v>184</v>
      </c>
      <c r="AU361">
        <v>3029000.0000000005</v>
      </c>
      <c r="AV361">
        <v>2240000</v>
      </c>
      <c r="AW361">
        <v>6891726.8557579797</v>
      </c>
      <c r="AX361">
        <v>1622726.8557579792</v>
      </c>
      <c r="AY361">
        <v>1622726.8557579792</v>
      </c>
      <c r="AZ361">
        <v>71406000</v>
      </c>
      <c r="BA361">
        <v>2.2725357193484851E-2</v>
      </c>
    </row>
    <row r="362" spans="1:53" x14ac:dyDescent="0.25">
      <c r="A362" s="269" t="s">
        <v>147</v>
      </c>
      <c r="B362">
        <v>85</v>
      </c>
      <c r="C362">
        <v>73039</v>
      </c>
      <c r="D362">
        <v>564</v>
      </c>
      <c r="E362">
        <v>965</v>
      </c>
      <c r="F362">
        <v>1240</v>
      </c>
      <c r="G362">
        <v>0</v>
      </c>
      <c r="H362">
        <v>2392</v>
      </c>
      <c r="I362">
        <v>2435</v>
      </c>
      <c r="J362">
        <v>0</v>
      </c>
      <c r="K362">
        <v>4492</v>
      </c>
      <c r="L362">
        <v>-3106</v>
      </c>
      <c r="M362">
        <v>7164</v>
      </c>
      <c r="N362">
        <v>3064</v>
      </c>
      <c r="O362">
        <v>24453</v>
      </c>
      <c r="P362">
        <v>11635</v>
      </c>
      <c r="Q362">
        <v>40188</v>
      </c>
      <c r="R362">
        <v>0</v>
      </c>
      <c r="S362">
        <v>5000</v>
      </c>
      <c r="T362">
        <v>9239</v>
      </c>
      <c r="U362">
        <v>1819</v>
      </c>
      <c r="V362">
        <v>4</v>
      </c>
      <c r="W362">
        <v>58427</v>
      </c>
      <c r="X362">
        <v>-5762</v>
      </c>
      <c r="Y362">
        <v>15553</v>
      </c>
      <c r="Z362">
        <v>-3721567.2610691348</v>
      </c>
      <c r="AA362">
        <v>-3189914.7952021156</v>
      </c>
      <c r="AB362">
        <v>73539</v>
      </c>
      <c r="AC362">
        <v>-415</v>
      </c>
      <c r="AD362" t="s">
        <v>147</v>
      </c>
      <c r="AE362" s="232"/>
      <c r="AF362" s="232"/>
      <c r="AG362" s="232"/>
      <c r="AH362" s="232"/>
      <c r="AI362" s="232"/>
      <c r="AJ362" s="232"/>
      <c r="AK362" s="232"/>
      <c r="AL362" s="232"/>
      <c r="AM362" s="232"/>
      <c r="AN362" s="232">
        <v>4.0800000000000003E-2</v>
      </c>
      <c r="AO362" s="232">
        <f>5*AN362</f>
        <v>0.20400000000000001</v>
      </c>
      <c r="AT362" t="s">
        <v>383</v>
      </c>
      <c r="AU362">
        <v>1801000</v>
      </c>
      <c r="AV362">
        <v>465000</v>
      </c>
      <c r="AW362">
        <v>5549947.4684701413</v>
      </c>
      <c r="AX362">
        <v>3283947.4684701413</v>
      </c>
      <c r="AY362">
        <v>3283947.4684701413</v>
      </c>
      <c r="AZ362">
        <v>39905000</v>
      </c>
      <c r="BA362">
        <v>8.2294135283050782E-2</v>
      </c>
    </row>
    <row r="363" spans="1:53" x14ac:dyDescent="0.25">
      <c r="A363" t="s">
        <v>747</v>
      </c>
      <c r="B363">
        <f>SUM(B359:B362)</f>
        <v>125</v>
      </c>
      <c r="C363">
        <f t="shared" ref="C363:AC363" si="62">SUM(C359:C362)</f>
        <v>138893</v>
      </c>
      <c r="D363">
        <f t="shared" si="62"/>
        <v>789</v>
      </c>
      <c r="E363">
        <f t="shared" si="62"/>
        <v>6242</v>
      </c>
      <c r="F363">
        <f t="shared" si="62"/>
        <v>3661</v>
      </c>
      <c r="G363">
        <f t="shared" si="62"/>
        <v>0</v>
      </c>
      <c r="H363">
        <f t="shared" si="62"/>
        <v>8407</v>
      </c>
      <c r="I363">
        <f t="shared" si="62"/>
        <v>2439</v>
      </c>
      <c r="J363">
        <f t="shared" si="62"/>
        <v>0</v>
      </c>
      <c r="K363">
        <f t="shared" si="62"/>
        <v>5730</v>
      </c>
      <c r="L363">
        <f t="shared" si="62"/>
        <v>-2185</v>
      </c>
      <c r="M363">
        <f t="shared" si="62"/>
        <v>33203</v>
      </c>
      <c r="N363">
        <f t="shared" si="62"/>
        <v>12639</v>
      </c>
      <c r="O363">
        <f t="shared" si="62"/>
        <v>62643</v>
      </c>
      <c r="P363">
        <f t="shared" si="62"/>
        <v>21000</v>
      </c>
      <c r="Q363">
        <f t="shared" si="62"/>
        <v>76012</v>
      </c>
      <c r="R363">
        <f t="shared" si="62"/>
        <v>0</v>
      </c>
      <c r="S363">
        <f t="shared" si="62"/>
        <v>14609</v>
      </c>
      <c r="T363">
        <f t="shared" si="62"/>
        <v>23663</v>
      </c>
      <c r="U363">
        <f t="shared" si="62"/>
        <v>12016</v>
      </c>
      <c r="V363">
        <f t="shared" si="62"/>
        <v>236</v>
      </c>
      <c r="W363">
        <f t="shared" si="62"/>
        <v>153339</v>
      </c>
      <c r="X363">
        <f t="shared" si="62"/>
        <v>-10476</v>
      </c>
      <c r="Y363">
        <f t="shared" si="62"/>
        <v>49646</v>
      </c>
      <c r="Z363">
        <f t="shared" si="62"/>
        <v>-3373757.0013428279</v>
      </c>
      <c r="AA363">
        <f t="shared" si="62"/>
        <v>-2891791.7154367096</v>
      </c>
      <c r="AB363">
        <f t="shared" si="62"/>
        <v>147022</v>
      </c>
      <c r="AC363">
        <f t="shared" si="62"/>
        <v>-8004</v>
      </c>
      <c r="AD363" t="s">
        <v>747</v>
      </c>
      <c r="AT363" t="s">
        <v>206</v>
      </c>
      <c r="AU363">
        <v>2518999.9999999995</v>
      </c>
      <c r="AV363">
        <v>850000</v>
      </c>
      <c r="AW363">
        <v>6916204.0493011139</v>
      </c>
      <c r="AX363">
        <v>3547204.0493011139</v>
      </c>
      <c r="AY363">
        <v>3547204.0493011139</v>
      </c>
      <c r="AZ363">
        <v>53512000</v>
      </c>
      <c r="BA363">
        <v>6.6288011087253587E-2</v>
      </c>
    </row>
    <row r="364" spans="1:53" x14ac:dyDescent="0.25">
      <c r="AT364" t="s">
        <v>257</v>
      </c>
      <c r="AU364">
        <v>4794000</v>
      </c>
      <c r="AV364">
        <v>3325000</v>
      </c>
      <c r="AW364">
        <v>12332281.325912302</v>
      </c>
      <c r="AX364">
        <v>4213281.3259123024</v>
      </c>
      <c r="AY364">
        <v>4213281.3259123024</v>
      </c>
      <c r="AZ364">
        <v>98005000</v>
      </c>
      <c r="BA364">
        <v>4.2990473199452095E-2</v>
      </c>
    </row>
    <row r="365" spans="1:53" x14ac:dyDescent="0.25">
      <c r="A365" s="269" t="s">
        <v>282</v>
      </c>
      <c r="B365">
        <v>-273</v>
      </c>
      <c r="C365">
        <v>65445</v>
      </c>
      <c r="D365">
        <v>7775</v>
      </c>
      <c r="E365">
        <v>0</v>
      </c>
      <c r="F365">
        <v>8275</v>
      </c>
      <c r="G365">
        <v>0</v>
      </c>
      <c r="H365">
        <v>8292</v>
      </c>
      <c r="I365">
        <v>0</v>
      </c>
      <c r="J365">
        <v>0</v>
      </c>
      <c r="K365">
        <v>457</v>
      </c>
      <c r="L365">
        <v>1377</v>
      </c>
      <c r="M365">
        <v>3973</v>
      </c>
      <c r="N365">
        <v>6288</v>
      </c>
      <c r="O365">
        <v>39806</v>
      </c>
      <c r="P365">
        <v>14141</v>
      </c>
      <c r="Q365">
        <v>38291</v>
      </c>
      <c r="R365">
        <v>-1</v>
      </c>
      <c r="S365">
        <v>0</v>
      </c>
      <c r="T365">
        <v>5981</v>
      </c>
      <c r="U365">
        <v>3391</v>
      </c>
      <c r="V365">
        <v>-1</v>
      </c>
      <c r="W365">
        <v>55731</v>
      </c>
      <c r="X365">
        <v>-10143</v>
      </c>
      <c r="Y365">
        <v>19967</v>
      </c>
      <c r="Z365">
        <v>2386663.0918683046</v>
      </c>
      <c r="AA365">
        <v>2045711.221601404</v>
      </c>
      <c r="AB365">
        <v>63071</v>
      </c>
      <c r="AC365">
        <v>2101</v>
      </c>
      <c r="AD365" t="s">
        <v>282</v>
      </c>
      <c r="AE365" s="232">
        <f>S365/SUM(O365:U365)</f>
        <v>0</v>
      </c>
      <c r="AF365" s="232">
        <f>SUM(Q365,R365,S365,T365,U365,-E365,-F365,-G365,-J365,-K365,-L365,-M365,-N365)/W365</f>
        <v>0.48970949740718811</v>
      </c>
      <c r="AG365" s="232">
        <f>SUM(E365,F365)/W365</f>
        <v>0.14848109669663204</v>
      </c>
      <c r="AH365" s="232">
        <f>SUM(H365,I365)/W365</f>
        <v>0.148786133390752</v>
      </c>
      <c r="AI365" s="232">
        <f>SUM(AF365,0.12*AG365,-0.7*AH365)</f>
        <v>0.40337693563725757</v>
      </c>
      <c r="AJ365" s="232">
        <f>X365/W365</f>
        <v>-0.18199924637993217</v>
      </c>
      <c r="AK365" s="232">
        <f>AA365/(1000*W365)</f>
        <v>3.6706881656553877E-2</v>
      </c>
      <c r="AL365" s="232">
        <f>(AC365/4)/W365</f>
        <v>9.4247366815596346E-3</v>
      </c>
      <c r="AM365" s="232">
        <f>SUM(O365,P365)/SUM(O365,P365,Q365,R365,S365,T365,U365)</f>
        <v>0.53092737848025273</v>
      </c>
      <c r="AN365" s="232">
        <v>6.0499999999999998E-2</v>
      </c>
      <c r="AO365" s="232">
        <f>5*AN365</f>
        <v>0.30249999999999999</v>
      </c>
      <c r="AT365" t="s">
        <v>328</v>
      </c>
      <c r="AU365">
        <v>4726999.9999999991</v>
      </c>
      <c r="AV365">
        <v>1506000</v>
      </c>
      <c r="AW365">
        <v>9599446.8130586017</v>
      </c>
      <c r="AX365">
        <v>3366446.8130586026</v>
      </c>
      <c r="AY365">
        <v>3366446.8130586026</v>
      </c>
      <c r="AZ365">
        <v>50330000</v>
      </c>
      <c r="BA365">
        <v>6.6887478900429218E-2</v>
      </c>
    </row>
    <row r="366" spans="1:53" x14ac:dyDescent="0.25">
      <c r="A366" s="269" t="s">
        <v>384</v>
      </c>
      <c r="B366">
        <v>131</v>
      </c>
      <c r="C366">
        <v>29637</v>
      </c>
      <c r="D366">
        <v>948</v>
      </c>
      <c r="E366">
        <v>3505</v>
      </c>
      <c r="F366">
        <v>4236</v>
      </c>
      <c r="G366">
        <v>0</v>
      </c>
      <c r="H366">
        <v>998</v>
      </c>
      <c r="I366">
        <v>7</v>
      </c>
      <c r="J366">
        <v>0</v>
      </c>
      <c r="K366">
        <v>1042</v>
      </c>
      <c r="L366">
        <v>209</v>
      </c>
      <c r="M366">
        <v>3537</v>
      </c>
      <c r="N366">
        <v>893</v>
      </c>
      <c r="O366">
        <v>17741</v>
      </c>
      <c r="P366">
        <v>3966</v>
      </c>
      <c r="Q366">
        <v>17719</v>
      </c>
      <c r="R366">
        <v>0</v>
      </c>
      <c r="S366">
        <v>-402</v>
      </c>
      <c r="T366">
        <v>2626</v>
      </c>
      <c r="U366">
        <v>3493</v>
      </c>
      <c r="V366">
        <v>0</v>
      </c>
      <c r="W366">
        <v>30032</v>
      </c>
      <c r="X366">
        <v>1542</v>
      </c>
      <c r="Y366">
        <v>14004</v>
      </c>
      <c r="Z366">
        <v>1778415.5219798805</v>
      </c>
      <c r="AA366">
        <v>1524356.1616970405</v>
      </c>
      <c r="AB366">
        <v>30980</v>
      </c>
      <c r="AC366">
        <v>-1212</v>
      </c>
      <c r="AD366" t="s">
        <v>384</v>
      </c>
      <c r="AE366" s="232">
        <f>S366/SUM(O366:U366)</f>
        <v>-8.9050351106483832E-3</v>
      </c>
      <c r="AF366" s="232">
        <f>SUM(Q366,R366,S366,T366,U366,-E366,-F366,-G366,-J366,-K366,-L366,-M366,-N366)/W366</f>
        <v>0.33344432605221097</v>
      </c>
      <c r="AG366" s="232">
        <f>SUM(E366,F366)/W366</f>
        <v>0.25775839104954718</v>
      </c>
      <c r="AH366" s="232">
        <f>SUM(H366,I366)/W366</f>
        <v>3.3464304741608948E-2</v>
      </c>
      <c r="AI366" s="232">
        <f>SUM(AF366,0.12*AG366,-0.7*AH366)</f>
        <v>0.34095031965903033</v>
      </c>
      <c r="AJ366" s="232">
        <f>X366/W366</f>
        <v>5.1345231752797017E-2</v>
      </c>
      <c r="AK366" s="232">
        <f>AA366/(1000*W366)</f>
        <v>5.0757730477392134E-2</v>
      </c>
      <c r="AL366" s="232">
        <f>(AC366/4)/W366</f>
        <v>-1.0089238145977624E-2</v>
      </c>
      <c r="AM366" s="232">
        <f>SUM(O366,P366)/SUM(O366,P366,Q366,R366,S366,T366,U366)</f>
        <v>0.48084974414637927</v>
      </c>
      <c r="AN366" s="232">
        <v>1.37E-2</v>
      </c>
      <c r="AO366" s="232">
        <f>5*AN366</f>
        <v>6.8500000000000005E-2</v>
      </c>
      <c r="AT366" t="s">
        <v>283</v>
      </c>
      <c r="AU366">
        <v>3699000.0000000005</v>
      </c>
      <c r="AV366">
        <v>1107000</v>
      </c>
      <c r="AW366">
        <v>6491563.4103037566</v>
      </c>
      <c r="AX366">
        <v>1685563.4103037561</v>
      </c>
      <c r="AY366">
        <v>1685563.4103037561</v>
      </c>
      <c r="AZ366">
        <v>47820000</v>
      </c>
      <c r="BA366">
        <v>3.5248084698949314E-2</v>
      </c>
    </row>
    <row r="367" spans="1:53" x14ac:dyDescent="0.25">
      <c r="A367" s="269" t="s">
        <v>356</v>
      </c>
      <c r="B367">
        <v>0</v>
      </c>
      <c r="C367">
        <v>44907</v>
      </c>
      <c r="D367">
        <v>-574</v>
      </c>
      <c r="E367">
        <v>0</v>
      </c>
      <c r="F367">
        <v>5424</v>
      </c>
      <c r="G367">
        <v>0</v>
      </c>
      <c r="H367">
        <v>19545</v>
      </c>
      <c r="I367">
        <v>6</v>
      </c>
      <c r="J367">
        <v>0</v>
      </c>
      <c r="K367">
        <v>0</v>
      </c>
      <c r="L367">
        <v>-694</v>
      </c>
      <c r="M367">
        <v>9777</v>
      </c>
      <c r="N367">
        <v>3041</v>
      </c>
      <c r="O367">
        <v>23670</v>
      </c>
      <c r="P367">
        <v>7241</v>
      </c>
      <c r="Q367">
        <v>32600</v>
      </c>
      <c r="R367">
        <v>0</v>
      </c>
      <c r="S367">
        <v>8500</v>
      </c>
      <c r="T367">
        <v>7953</v>
      </c>
      <c r="U367">
        <v>1468</v>
      </c>
      <c r="V367">
        <v>1</v>
      </c>
      <c r="W367">
        <v>59798</v>
      </c>
      <c r="X367">
        <v>509</v>
      </c>
      <c r="Y367">
        <v>21030</v>
      </c>
      <c r="Z367">
        <v>519736.12982723024</v>
      </c>
      <c r="AA367">
        <v>445488.11128048308</v>
      </c>
      <c r="AB367">
        <v>44150</v>
      </c>
      <c r="AC367">
        <v>757</v>
      </c>
      <c r="AD367" t="s">
        <v>356</v>
      </c>
      <c r="AE367" s="232">
        <f>S367/SUM(O367:U367)</f>
        <v>0.10438156989881128</v>
      </c>
      <c r="AF367" s="232">
        <f>SUM(Q367,R367,S367,T367,U367,-E367,-F367,-G367,-J367,-K367,-L367,-M367,-N367)/W367</f>
        <v>0.55140640155189136</v>
      </c>
      <c r="AG367" s="232">
        <f>SUM(E367,F367)/W367</f>
        <v>9.070537476169771E-2</v>
      </c>
      <c r="AH367" s="232">
        <f>SUM(H367,I367)/W367</f>
        <v>0.32695073413826548</v>
      </c>
      <c r="AI367" s="232">
        <f>SUM(AF367,0.12*AG367,-0.7*AH367)</f>
        <v>0.33342553262650931</v>
      </c>
      <c r="AJ367" s="232">
        <f>X367/W367</f>
        <v>8.5119903675708215E-3</v>
      </c>
      <c r="AK367" s="232">
        <f>AA367/(1000*W367)</f>
        <v>7.4498831278718867E-3</v>
      </c>
      <c r="AL367" s="232">
        <f>(AC367/4)/W367</f>
        <v>3.16482156593866E-3</v>
      </c>
      <c r="AM367" s="232">
        <f>SUM(O367,P367)/SUM(O367,P367,Q367,R367,S367,T367,U367)</f>
        <v>0.37959278907554772</v>
      </c>
      <c r="AN367" s="232">
        <v>3.5299999999999998E-2</v>
      </c>
      <c r="AO367" s="232">
        <f>5*AN367</f>
        <v>0.17649999999999999</v>
      </c>
      <c r="AT367" t="s">
        <v>163</v>
      </c>
      <c r="AU367">
        <v>1995999.9999999998</v>
      </c>
      <c r="AV367">
        <v>776000</v>
      </c>
      <c r="AW367">
        <v>2848264.4915165137</v>
      </c>
      <c r="AX367">
        <v>76264.491516513983</v>
      </c>
      <c r="AY367">
        <v>76264.491516513983</v>
      </c>
      <c r="AZ367">
        <v>36382000</v>
      </c>
      <c r="BA367">
        <v>2.0962149281654112E-3</v>
      </c>
    </row>
    <row r="368" spans="1:53" x14ac:dyDescent="0.25">
      <c r="A368" t="s">
        <v>752</v>
      </c>
      <c r="B368">
        <f>SUM(B365:B367)</f>
        <v>-142</v>
      </c>
      <c r="C368">
        <f t="shared" ref="C368:AC368" si="63">SUM(C365:C367)</f>
        <v>139989</v>
      </c>
      <c r="D368">
        <f t="shared" si="63"/>
        <v>8149</v>
      </c>
      <c r="E368">
        <f t="shared" si="63"/>
        <v>3505</v>
      </c>
      <c r="F368">
        <f t="shared" si="63"/>
        <v>17935</v>
      </c>
      <c r="G368">
        <f t="shared" si="63"/>
        <v>0</v>
      </c>
      <c r="H368">
        <f t="shared" si="63"/>
        <v>28835</v>
      </c>
      <c r="I368">
        <f t="shared" si="63"/>
        <v>13</v>
      </c>
      <c r="J368">
        <f t="shared" si="63"/>
        <v>0</v>
      </c>
      <c r="K368">
        <f t="shared" si="63"/>
        <v>1499</v>
      </c>
      <c r="L368">
        <f t="shared" si="63"/>
        <v>892</v>
      </c>
      <c r="M368">
        <f t="shared" si="63"/>
        <v>17287</v>
      </c>
      <c r="N368">
        <f t="shared" si="63"/>
        <v>10222</v>
      </c>
      <c r="O368">
        <f t="shared" si="63"/>
        <v>81217</v>
      </c>
      <c r="P368">
        <f t="shared" si="63"/>
        <v>25348</v>
      </c>
      <c r="Q368">
        <f t="shared" si="63"/>
        <v>88610</v>
      </c>
      <c r="R368">
        <f t="shared" si="63"/>
        <v>-1</v>
      </c>
      <c r="S368">
        <f t="shared" si="63"/>
        <v>8098</v>
      </c>
      <c r="T368">
        <f t="shared" si="63"/>
        <v>16560</v>
      </c>
      <c r="U368">
        <f t="shared" si="63"/>
        <v>8352</v>
      </c>
      <c r="V368">
        <f t="shared" si="63"/>
        <v>0</v>
      </c>
      <c r="W368">
        <f t="shared" si="63"/>
        <v>145561</v>
      </c>
      <c r="X368">
        <f t="shared" si="63"/>
        <v>-8092</v>
      </c>
      <c r="Y368">
        <f t="shared" si="63"/>
        <v>55001</v>
      </c>
      <c r="Z368">
        <f t="shared" si="63"/>
        <v>4684814.7436754154</v>
      </c>
      <c r="AA368">
        <f t="shared" si="63"/>
        <v>4015555.4945789278</v>
      </c>
      <c r="AB368">
        <f t="shared" si="63"/>
        <v>138201</v>
      </c>
      <c r="AC368">
        <f t="shared" si="63"/>
        <v>1646</v>
      </c>
      <c r="AD368" t="s">
        <v>752</v>
      </c>
      <c r="AT368" t="s">
        <v>258</v>
      </c>
      <c r="AU368">
        <v>2562000.0000000005</v>
      </c>
      <c r="AV368">
        <v>3036000</v>
      </c>
      <c r="AW368">
        <v>8294109.5317121409</v>
      </c>
      <c r="AX368">
        <v>2696109.5317121409</v>
      </c>
      <c r="AY368">
        <v>2696109.5317121409</v>
      </c>
      <c r="AZ368">
        <v>109040000</v>
      </c>
      <c r="BA368">
        <v>2.4725876116215524E-2</v>
      </c>
    </row>
    <row r="369" spans="1:53" x14ac:dyDescent="0.25">
      <c r="AT369" t="s">
        <v>459</v>
      </c>
      <c r="AU369">
        <v>2402000</v>
      </c>
      <c r="AV369">
        <v>1786000</v>
      </c>
      <c r="AW369">
        <v>7385290.7014829982</v>
      </c>
      <c r="AX369">
        <v>3197290.7014829982</v>
      </c>
      <c r="AY369">
        <v>3197290.7014829982</v>
      </c>
      <c r="AZ369">
        <v>46555000</v>
      </c>
      <c r="BA369">
        <v>6.867770811906343E-2</v>
      </c>
    </row>
    <row r="370" spans="1:53" x14ac:dyDescent="0.25">
      <c r="A370" s="269" t="s">
        <v>402</v>
      </c>
      <c r="B370">
        <v>55</v>
      </c>
      <c r="C370">
        <v>14750</v>
      </c>
      <c r="D370">
        <v>840</v>
      </c>
      <c r="E370">
        <v>216</v>
      </c>
      <c r="F370">
        <v>6</v>
      </c>
      <c r="G370">
        <v>0</v>
      </c>
      <c r="H370">
        <v>11359</v>
      </c>
      <c r="I370">
        <v>2950</v>
      </c>
      <c r="J370">
        <v>0</v>
      </c>
      <c r="K370">
        <v>0</v>
      </c>
      <c r="L370">
        <v>-159</v>
      </c>
      <c r="M370">
        <v>2993</v>
      </c>
      <c r="N370">
        <v>2147</v>
      </c>
      <c r="O370">
        <v>11574</v>
      </c>
      <c r="P370">
        <v>6374</v>
      </c>
      <c r="Q370">
        <v>14121</v>
      </c>
      <c r="R370">
        <v>3</v>
      </c>
      <c r="S370">
        <v>0</v>
      </c>
      <c r="T370">
        <v>1834</v>
      </c>
      <c r="U370">
        <v>1251</v>
      </c>
      <c r="V370">
        <v>-29</v>
      </c>
      <c r="W370">
        <v>26528</v>
      </c>
      <c r="X370">
        <v>-135</v>
      </c>
      <c r="Y370">
        <v>13153</v>
      </c>
      <c r="Z370">
        <v>1513296.0369354165</v>
      </c>
      <c r="AA370">
        <v>1297110.8888017857</v>
      </c>
      <c r="AB370">
        <v>17080</v>
      </c>
      <c r="AC370">
        <v>-2275</v>
      </c>
      <c r="AD370" t="s">
        <v>402</v>
      </c>
      <c r="AE370" s="232">
        <f>S370/SUM(O370:U370)</f>
        <v>0</v>
      </c>
      <c r="AF370" s="232">
        <f>SUM(Q370,R370,S370,T370,U370,-E370,-F370,-G370,-J370,-K370,-L370,-M370,-N370)/W370</f>
        <v>0.45257840772014474</v>
      </c>
      <c r="AG370" s="232">
        <f>SUM(E370,F370)/W370</f>
        <v>8.3685162846803378E-3</v>
      </c>
      <c r="AH370" s="232">
        <f>SUM(H370,I370)/W370</f>
        <v>0.53939234016887816</v>
      </c>
      <c r="AI370" s="232">
        <f>SUM(AF370,0.12*AG370,-0.7*AH370)</f>
        <v>7.6007991556091725E-2</v>
      </c>
      <c r="AJ370" s="232">
        <f>X370/W370</f>
        <v>-5.0889626055488539E-3</v>
      </c>
      <c r="AK370" s="232">
        <f>AA370/(1000*W370)</f>
        <v>4.8895917098981667E-2</v>
      </c>
      <c r="AL370" s="232">
        <f>(AC370/4)/W370</f>
        <v>-2.143961097708082E-2</v>
      </c>
      <c r="AM370" s="232">
        <f>SUM(O370,P370)/SUM(O370,P370,Q370,R370,S370,T370,U370)</f>
        <v>0.51050999800893138</v>
      </c>
      <c r="AN370" s="232">
        <v>4.2599999999999999E-2</v>
      </c>
      <c r="AO370" s="232">
        <f>5*AN370</f>
        <v>0.21299999999999999</v>
      </c>
      <c r="AT370" t="s">
        <v>284</v>
      </c>
      <c r="AU370">
        <v>6743000</v>
      </c>
      <c r="AV370">
        <v>4222000</v>
      </c>
      <c r="AW370">
        <v>16768957.53643032</v>
      </c>
      <c r="AX370">
        <v>5803957.5364303198</v>
      </c>
      <c r="AY370">
        <v>5803957.5364303198</v>
      </c>
      <c r="AZ370">
        <v>143105000</v>
      </c>
      <c r="BA370">
        <v>4.0557335777438384E-2</v>
      </c>
    </row>
    <row r="371" spans="1:53" x14ac:dyDescent="0.25">
      <c r="A371" s="269" t="s">
        <v>458</v>
      </c>
      <c r="B371">
        <v>916</v>
      </c>
      <c r="C371">
        <v>76778</v>
      </c>
      <c r="D371">
        <v>2004</v>
      </c>
      <c r="E371">
        <v>15223</v>
      </c>
      <c r="F371">
        <v>1099</v>
      </c>
      <c r="G371">
        <v>0</v>
      </c>
      <c r="H371">
        <v>9559</v>
      </c>
      <c r="I371">
        <v>1946</v>
      </c>
      <c r="J371">
        <v>0</v>
      </c>
      <c r="K371">
        <v>633</v>
      </c>
      <c r="L371">
        <v>452</v>
      </c>
      <c r="M371">
        <v>2926</v>
      </c>
      <c r="N371">
        <v>7019</v>
      </c>
      <c r="O371">
        <v>34389</v>
      </c>
      <c r="P371">
        <v>21949</v>
      </c>
      <c r="Q371">
        <v>51549</v>
      </c>
      <c r="R371">
        <v>7</v>
      </c>
      <c r="S371">
        <v>48</v>
      </c>
      <c r="T371">
        <v>5119</v>
      </c>
      <c r="U371">
        <v>5494</v>
      </c>
      <c r="V371">
        <v>0</v>
      </c>
      <c r="W371">
        <v>61895</v>
      </c>
      <c r="X371">
        <v>-287</v>
      </c>
      <c r="Y371">
        <v>26979</v>
      </c>
      <c r="Z371">
        <v>3509842.3295890754</v>
      </c>
      <c r="AA371">
        <v>3008436.2825049218</v>
      </c>
      <c r="AB371">
        <v>50596</v>
      </c>
      <c r="AC371">
        <v>27098</v>
      </c>
      <c r="AD371" t="s">
        <v>458</v>
      </c>
      <c r="AE371" s="232">
        <f>S371/SUM(O371:U371)</f>
        <v>4.0487537429884866E-4</v>
      </c>
      <c r="AF371" s="232">
        <f>SUM(Q371,R371,S371,T371,U371,-E371,-F371,-G371,-J371,-K371,-L371,-M371,-N371)/W371</f>
        <v>0.56329267307536957</v>
      </c>
      <c r="AG371" s="232">
        <f>SUM(E371,F371)/W371</f>
        <v>0.26370466111963808</v>
      </c>
      <c r="AH371" s="232">
        <f>SUM(H371,I371)/W371</f>
        <v>0.18587931173762015</v>
      </c>
      <c r="AI371" s="232">
        <f>SUM(AF371,0.12*AG371,-0.7*AH371)</f>
        <v>0.46482171419339208</v>
      </c>
      <c r="AJ371" s="232">
        <f>X371/W371</f>
        <v>-4.6368850472574517E-3</v>
      </c>
      <c r="AK371" s="232">
        <f>AA371/(1000*W371)</f>
        <v>4.8605481581790483E-2</v>
      </c>
      <c r="AL371" s="232">
        <f>(AC371/4)/W371</f>
        <v>0.10945149042733662</v>
      </c>
      <c r="AM371" s="232">
        <f>SUM(O371,P371)/SUM(O371,P371,Q371,R371,S371,T371,U371)</f>
        <v>0.47520560077601115</v>
      </c>
      <c r="AN371" s="232">
        <v>3.78E-2</v>
      </c>
      <c r="AO371" s="232">
        <f>5*AN371</f>
        <v>0.189</v>
      </c>
      <c r="AT371" t="s">
        <v>329</v>
      </c>
      <c r="AU371">
        <v>2068000</v>
      </c>
      <c r="AV371">
        <v>894000</v>
      </c>
      <c r="AW371">
        <v>4643594.4505316466</v>
      </c>
      <c r="AX371">
        <v>1681594.4505316466</v>
      </c>
      <c r="AY371">
        <v>1681594.4505316466</v>
      </c>
      <c r="AZ371">
        <v>33032000</v>
      </c>
      <c r="BA371">
        <v>5.0908042217596469E-2</v>
      </c>
    </row>
    <row r="372" spans="1:53" x14ac:dyDescent="0.25">
      <c r="A372" s="269" t="s">
        <v>460</v>
      </c>
      <c r="B372">
        <v>154</v>
      </c>
      <c r="C372">
        <v>35611</v>
      </c>
      <c r="D372">
        <v>0</v>
      </c>
      <c r="E372">
        <v>1794</v>
      </c>
      <c r="F372">
        <v>903</v>
      </c>
      <c r="G372">
        <v>0</v>
      </c>
      <c r="H372">
        <v>7565</v>
      </c>
      <c r="I372">
        <v>4</v>
      </c>
      <c r="J372">
        <v>0</v>
      </c>
      <c r="K372">
        <v>64</v>
      </c>
      <c r="L372">
        <v>-3337</v>
      </c>
      <c r="M372">
        <v>3860</v>
      </c>
      <c r="N372">
        <v>1008</v>
      </c>
      <c r="O372">
        <v>11154</v>
      </c>
      <c r="P372">
        <v>7869</v>
      </c>
      <c r="Q372">
        <v>23763</v>
      </c>
      <c r="R372">
        <v>51</v>
      </c>
      <c r="S372">
        <v>0</v>
      </c>
      <c r="T372">
        <v>3543</v>
      </c>
      <c r="U372">
        <v>1246</v>
      </c>
      <c r="V372">
        <v>0</v>
      </c>
      <c r="W372">
        <v>32459</v>
      </c>
      <c r="X372">
        <v>-155</v>
      </c>
      <c r="Y372">
        <v>14634</v>
      </c>
      <c r="Z372">
        <v>1812290.0210077185</v>
      </c>
      <c r="AA372">
        <v>1553391.4465780444</v>
      </c>
      <c r="AB372">
        <v>33197</v>
      </c>
      <c r="AC372">
        <v>2568</v>
      </c>
      <c r="AD372" t="s">
        <v>460</v>
      </c>
      <c r="AE372" s="232">
        <f>S372/SUM(O372:U372)</f>
        <v>0</v>
      </c>
      <c r="AF372" s="232">
        <f>SUM(Q372,R372,S372,T372,U372,-E372,-F372,-G372,-J372,-K372,-L372,-M372,-N372)/W372</f>
        <v>0.74897563079577312</v>
      </c>
      <c r="AG372" s="232">
        <f>SUM(E372,F372)/W372</f>
        <v>8.3089435903755504E-2</v>
      </c>
      <c r="AH372" s="232">
        <f>SUM(H372,I372)/W372</f>
        <v>0.23318648140731385</v>
      </c>
      <c r="AI372" s="232">
        <f>SUM(AF372,0.12*AG372,-0.7*AH372)</f>
        <v>0.59571582611910412</v>
      </c>
      <c r="AJ372" s="232">
        <f>X372/W372</f>
        <v>-4.7752549369974428E-3</v>
      </c>
      <c r="AK372" s="232">
        <f>AA372/(1000*W372)</f>
        <v>4.7857033382976817E-2</v>
      </c>
      <c r="AL372" s="232">
        <f>(AC372/4)/W372</f>
        <v>1.977879786807973E-2</v>
      </c>
      <c r="AM372" s="232">
        <f>SUM(O372,P372)/SUM(O372,P372,Q372,R372,S372,T372,U372)</f>
        <v>0.39942468399613656</v>
      </c>
      <c r="AN372" s="232">
        <v>4.0399999999999998E-2</v>
      </c>
      <c r="AO372" s="232">
        <f>5*AN372</f>
        <v>0.20199999999999999</v>
      </c>
      <c r="AT372" t="s">
        <v>285</v>
      </c>
      <c r="AU372">
        <v>1600000</v>
      </c>
      <c r="AV372">
        <v>651000</v>
      </c>
      <c r="AW372">
        <v>3891497.4745736397</v>
      </c>
      <c r="AX372">
        <v>1640497.4745736397</v>
      </c>
      <c r="AY372">
        <v>1640497.4745736397</v>
      </c>
      <c r="AZ372">
        <v>34403000</v>
      </c>
      <c r="BA372">
        <v>4.7684721523519449E-2</v>
      </c>
    </row>
    <row r="373" spans="1:53" x14ac:dyDescent="0.25">
      <c r="A373" s="214" t="s">
        <v>745</v>
      </c>
      <c r="B373">
        <f>SUM(B370:B372)</f>
        <v>1125</v>
      </c>
      <c r="C373">
        <f t="shared" ref="C373:AC373" si="64">SUM(C370:C372)</f>
        <v>127139</v>
      </c>
      <c r="D373">
        <f t="shared" si="64"/>
        <v>2844</v>
      </c>
      <c r="E373">
        <f t="shared" si="64"/>
        <v>17233</v>
      </c>
      <c r="F373">
        <f t="shared" si="64"/>
        <v>2008</v>
      </c>
      <c r="G373">
        <f t="shared" si="64"/>
        <v>0</v>
      </c>
      <c r="H373">
        <f t="shared" si="64"/>
        <v>28483</v>
      </c>
      <c r="I373">
        <f t="shared" si="64"/>
        <v>4900</v>
      </c>
      <c r="J373">
        <f t="shared" si="64"/>
        <v>0</v>
      </c>
      <c r="K373">
        <f t="shared" si="64"/>
        <v>697</v>
      </c>
      <c r="L373">
        <f t="shared" si="64"/>
        <v>-3044</v>
      </c>
      <c r="M373">
        <f t="shared" si="64"/>
        <v>9779</v>
      </c>
      <c r="N373">
        <f t="shared" si="64"/>
        <v>10174</v>
      </c>
      <c r="O373">
        <f t="shared" si="64"/>
        <v>57117</v>
      </c>
      <c r="P373">
        <f t="shared" si="64"/>
        <v>36192</v>
      </c>
      <c r="Q373">
        <f t="shared" si="64"/>
        <v>89433</v>
      </c>
      <c r="R373">
        <f t="shared" si="64"/>
        <v>61</v>
      </c>
      <c r="S373">
        <f t="shared" si="64"/>
        <v>48</v>
      </c>
      <c r="T373">
        <f t="shared" si="64"/>
        <v>10496</v>
      </c>
      <c r="U373">
        <f t="shared" si="64"/>
        <v>7991</v>
      </c>
      <c r="V373">
        <f t="shared" si="64"/>
        <v>-29</v>
      </c>
      <c r="W373">
        <f t="shared" si="64"/>
        <v>120882</v>
      </c>
      <c r="X373">
        <f t="shared" si="64"/>
        <v>-577</v>
      </c>
      <c r="Y373">
        <f t="shared" si="64"/>
        <v>54766</v>
      </c>
      <c r="Z373">
        <f t="shared" si="64"/>
        <v>6835428.38753221</v>
      </c>
      <c r="AA373">
        <f t="shared" si="64"/>
        <v>5858938.6178847514</v>
      </c>
      <c r="AB373">
        <f t="shared" si="64"/>
        <v>100873</v>
      </c>
      <c r="AC373">
        <f t="shared" si="64"/>
        <v>27391</v>
      </c>
      <c r="AD373" t="s">
        <v>745</v>
      </c>
      <c r="AE373" s="232"/>
      <c r="AF373" s="232"/>
      <c r="AG373" s="232"/>
      <c r="AH373" s="232"/>
      <c r="AI373" s="232"/>
      <c r="AJ373" s="232"/>
      <c r="AK373" s="232"/>
      <c r="AL373" s="232"/>
      <c r="AM373" s="232"/>
      <c r="AT373" t="s">
        <v>460</v>
      </c>
      <c r="AU373">
        <v>1558000</v>
      </c>
      <c r="AV373">
        <v>979000</v>
      </c>
      <c r="AW373">
        <v>4349290.0210077176</v>
      </c>
      <c r="AX373">
        <v>1812290.0210077176</v>
      </c>
      <c r="AY373">
        <v>1812290.0210077176</v>
      </c>
      <c r="AZ373">
        <v>32459000</v>
      </c>
      <c r="BA373">
        <v>5.5833205613472922E-2</v>
      </c>
    </row>
    <row r="374" spans="1:53" x14ac:dyDescent="0.25">
      <c r="AT374" t="s">
        <v>330</v>
      </c>
      <c r="AU374">
        <v>17942000.000000004</v>
      </c>
      <c r="AV374">
        <v>18577000</v>
      </c>
      <c r="AW374">
        <v>41939964.650891818</v>
      </c>
      <c r="AX374">
        <v>5420964.6508918144</v>
      </c>
      <c r="AY374">
        <v>5420964.6508918144</v>
      </c>
      <c r="AZ374">
        <v>449184000</v>
      </c>
      <c r="BA374">
        <v>1.206847227615368E-2</v>
      </c>
    </row>
    <row r="375" spans="1:53" x14ac:dyDescent="0.25">
      <c r="A375" s="269" t="s">
        <v>150</v>
      </c>
      <c r="B375">
        <v>13705</v>
      </c>
      <c r="C375">
        <v>70529</v>
      </c>
      <c r="D375">
        <v>96</v>
      </c>
      <c r="E375">
        <v>0</v>
      </c>
      <c r="F375">
        <v>1292</v>
      </c>
      <c r="G375">
        <v>0</v>
      </c>
      <c r="H375">
        <v>5619</v>
      </c>
      <c r="I375">
        <v>189</v>
      </c>
      <c r="J375">
        <v>0</v>
      </c>
      <c r="K375">
        <v>0</v>
      </c>
      <c r="L375">
        <v>291</v>
      </c>
      <c r="M375">
        <v>1338</v>
      </c>
      <c r="N375">
        <v>7445</v>
      </c>
      <c r="O375">
        <v>16735</v>
      </c>
      <c r="P375">
        <v>4543</v>
      </c>
      <c r="Q375">
        <v>67043</v>
      </c>
      <c r="R375">
        <v>7</v>
      </c>
      <c r="S375">
        <v>3608</v>
      </c>
      <c r="T375">
        <v>1844</v>
      </c>
      <c r="U375">
        <v>6724</v>
      </c>
      <c r="V375">
        <v>2</v>
      </c>
      <c r="W375">
        <v>51580</v>
      </c>
      <c r="X375">
        <v>2333</v>
      </c>
      <c r="Y375">
        <v>19860</v>
      </c>
      <c r="Z375">
        <v>1623331.7236753851</v>
      </c>
      <c r="AA375">
        <v>1391427.1917217586</v>
      </c>
      <c r="AB375">
        <v>68048</v>
      </c>
      <c r="AC375">
        <v>16186</v>
      </c>
      <c r="AD375" t="s">
        <v>150</v>
      </c>
      <c r="AE375" s="232">
        <f>S375/SUM(O375:U375)</f>
        <v>3.5899068693783329E-2</v>
      </c>
      <c r="AF375" s="232">
        <f>SUM(Q375,R375,S375,T375,U375,-E375,-F375,-G375,-J375,-K375,-L375,-M375,-N375)/W375</f>
        <v>1.3350135711516091</v>
      </c>
      <c r="AG375" s="232">
        <f>SUM(E375,F375)/W375</f>
        <v>2.5048468398604109E-2</v>
      </c>
      <c r="AH375" s="232">
        <f>SUM(H375,I375)/W375</f>
        <v>0.11260178363706863</v>
      </c>
      <c r="AI375" s="232">
        <f>SUM(AF375,0.12*AG375,-0.7*AH375)</f>
        <v>1.2591981388134936</v>
      </c>
      <c r="AJ375" s="232">
        <f>X375/W375</f>
        <v>4.5230709577355567E-2</v>
      </c>
      <c r="AK375" s="232">
        <f>AA375/(1000*W375)</f>
        <v>2.6976099102787098E-2</v>
      </c>
      <c r="AL375" s="232">
        <f>(AC375/4)/W375</f>
        <v>7.8450949980612639E-2</v>
      </c>
      <c r="AM375" s="232">
        <f>SUM(O375,P375)/SUM(O375,P375,Q375,R375,S375,T375,U375)</f>
        <v>0.21171296664809361</v>
      </c>
      <c r="AN375" s="232">
        <v>1.1999999999999999E-3</v>
      </c>
      <c r="AO375" s="232">
        <f>5*AN375</f>
        <v>5.9999999999999993E-3</v>
      </c>
      <c r="AT375" t="s">
        <v>259</v>
      </c>
      <c r="AU375">
        <v>3040000</v>
      </c>
      <c r="AV375">
        <v>3645000</v>
      </c>
      <c r="AW375">
        <v>8925144.1846091598</v>
      </c>
      <c r="AX375">
        <v>2240144.1846091598</v>
      </c>
      <c r="AY375">
        <v>2240144.1846091598</v>
      </c>
      <c r="AZ375">
        <v>80963000</v>
      </c>
      <c r="BA375">
        <v>2.7668739851650258E-2</v>
      </c>
    </row>
    <row r="376" spans="1:53" x14ac:dyDescent="0.25">
      <c r="A376" s="269" t="s">
        <v>160</v>
      </c>
      <c r="B376">
        <v>21</v>
      </c>
      <c r="C376">
        <v>19029</v>
      </c>
      <c r="D376">
        <v>0</v>
      </c>
      <c r="E376">
        <v>46</v>
      </c>
      <c r="F376">
        <v>306</v>
      </c>
      <c r="G376">
        <v>0</v>
      </c>
      <c r="H376">
        <v>3612</v>
      </c>
      <c r="I376">
        <v>0</v>
      </c>
      <c r="J376">
        <v>0</v>
      </c>
      <c r="K376">
        <v>10000</v>
      </c>
      <c r="L376">
        <v>7</v>
      </c>
      <c r="M376">
        <v>2321</v>
      </c>
      <c r="N376">
        <v>664</v>
      </c>
      <c r="O376">
        <v>1709</v>
      </c>
      <c r="P376">
        <v>5590</v>
      </c>
      <c r="Q376">
        <v>22579</v>
      </c>
      <c r="R376">
        <v>0</v>
      </c>
      <c r="S376">
        <v>3779</v>
      </c>
      <c r="T376">
        <v>2114</v>
      </c>
      <c r="U376">
        <v>235</v>
      </c>
      <c r="V376">
        <v>0</v>
      </c>
      <c r="W376">
        <v>25696</v>
      </c>
      <c r="X376">
        <v>10343</v>
      </c>
      <c r="Y376">
        <v>7292</v>
      </c>
      <c r="Z376">
        <v>-51487.059883255279</v>
      </c>
      <c r="AA376">
        <v>-44131.765614218813</v>
      </c>
      <c r="AB376">
        <v>23818</v>
      </c>
      <c r="AC376">
        <v>-4768</v>
      </c>
      <c r="AD376" t="s">
        <v>160</v>
      </c>
      <c r="AE376" s="232">
        <f>S376/SUM(O376:U376)</f>
        <v>0.10495472976726102</v>
      </c>
      <c r="AF376" s="232">
        <f>SUM(Q376,R376,S376,T376,U376,-E376,-F376,-G376,-J376,-K376,-L376,-M376,-N376)/W376</f>
        <v>0.5978751556662516</v>
      </c>
      <c r="AG376" s="232">
        <f>SUM(E376,F376)/W376</f>
        <v>1.3698630136986301E-2</v>
      </c>
      <c r="AH376" s="232">
        <f>SUM(H376,I376)/W376</f>
        <v>0.14056662515566626</v>
      </c>
      <c r="AI376" s="232">
        <f>SUM(AF376,0.12*AG376,-0.7*AH376)</f>
        <v>0.5011223536737236</v>
      </c>
      <c r="AJ376" s="232">
        <f>X376/W376</f>
        <v>0.40251400996264008</v>
      </c>
      <c r="AK376" s="232">
        <f>AA376/(1000*W376)</f>
        <v>-1.7174566319356638E-3</v>
      </c>
      <c r="AL376" s="232">
        <f>(AC376/4)/W376</f>
        <v>-4.6388542963885428E-2</v>
      </c>
      <c r="AM376" s="232">
        <f>SUM(O376,P376)/SUM(O376,P376,Q376,R376,S376,T376,U376)</f>
        <v>0.20271621396433928</v>
      </c>
      <c r="AN376" s="232">
        <v>-0.1206</v>
      </c>
      <c r="AO376" s="232">
        <f>5*AN376</f>
        <v>-0.60299999999999998</v>
      </c>
      <c r="AT376" t="s">
        <v>331</v>
      </c>
      <c r="AU376">
        <v>2823000</v>
      </c>
      <c r="AV376">
        <v>1333000</v>
      </c>
      <c r="AW376">
        <v>6932832.1656017639</v>
      </c>
      <c r="AX376">
        <v>2776832.1656017639</v>
      </c>
      <c r="AY376">
        <v>2776832.1656017639</v>
      </c>
      <c r="AZ376">
        <v>50576000</v>
      </c>
      <c r="BA376">
        <v>5.4904147532461325E-2</v>
      </c>
    </row>
    <row r="377" spans="1:53" x14ac:dyDescent="0.25">
      <c r="A377" s="269" t="s">
        <v>148</v>
      </c>
      <c r="B377">
        <v>1246</v>
      </c>
      <c r="C377">
        <v>1119771</v>
      </c>
      <c r="D377">
        <v>13276</v>
      </c>
      <c r="E377">
        <v>345408</v>
      </c>
      <c r="F377">
        <v>13705</v>
      </c>
      <c r="G377">
        <v>0</v>
      </c>
      <c r="H377">
        <v>86760</v>
      </c>
      <c r="I377">
        <v>2637</v>
      </c>
      <c r="J377">
        <v>53500</v>
      </c>
      <c r="K377">
        <v>0</v>
      </c>
      <c r="L377">
        <v>652</v>
      </c>
      <c r="M377">
        <v>110488</v>
      </c>
      <c r="N377">
        <v>63289</v>
      </c>
      <c r="O377">
        <v>269424</v>
      </c>
      <c r="P377">
        <v>33464</v>
      </c>
      <c r="Q377">
        <v>1222814</v>
      </c>
      <c r="R377">
        <v>783</v>
      </c>
      <c r="S377">
        <v>135345</v>
      </c>
      <c r="T377">
        <v>108067</v>
      </c>
      <c r="U377">
        <v>40835</v>
      </c>
      <c r="V377">
        <v>-15</v>
      </c>
      <c r="W377">
        <v>932693</v>
      </c>
      <c r="X377">
        <v>-31230</v>
      </c>
      <c r="Y377">
        <v>202810</v>
      </c>
      <c r="Z377">
        <v>-14973190.597920746</v>
      </c>
      <c r="AA377">
        <v>-12834163.369646354</v>
      </c>
      <c r="AB377">
        <v>835019</v>
      </c>
      <c r="AC377">
        <v>285998</v>
      </c>
      <c r="AD377" t="s">
        <v>148</v>
      </c>
      <c r="AE377" s="232">
        <f>S377/SUM(O377:U377)</f>
        <v>7.4746014319070964E-2</v>
      </c>
      <c r="AF377" s="232">
        <f>SUM(Q377,R377,S377,T377,U377,-E377,-F377,-G377,-J377,-K377,-L377,-M377,-N377)/W377</f>
        <v>0.98725089606119054</v>
      </c>
      <c r="AG377" s="232">
        <f>SUM(E377,F377)/W377</f>
        <v>0.3850280853399779</v>
      </c>
      <c r="AH377" s="232">
        <f>SUM(H377,I377)/W377</f>
        <v>9.5848258751807941E-2</v>
      </c>
      <c r="AI377" s="232">
        <f>SUM(AF377,0.12*AG377,-0.7*AH377)</f>
        <v>0.96636048517572237</v>
      </c>
      <c r="AJ377" s="232">
        <f>X377/W377</f>
        <v>-3.3483686486335804E-2</v>
      </c>
      <c r="AK377" s="232">
        <f>AA377/(1000*W377)</f>
        <v>-1.3760329893808952E-2</v>
      </c>
      <c r="AL377" s="232">
        <f>(AC377/4)/W377</f>
        <v>7.6659200830283922E-2</v>
      </c>
      <c r="AM377" s="232">
        <f>SUM(O377,P377)/SUM(O377,P377,Q377,R377,S377,T377,U377)</f>
        <v>0.16727378761738346</v>
      </c>
      <c r="AN377" s="232">
        <v>3.4599999999999999E-2</v>
      </c>
      <c r="AO377" s="232">
        <f>5*AN377</f>
        <v>0.17299999999999999</v>
      </c>
      <c r="AT377" t="s">
        <v>384</v>
      </c>
      <c r="AU377">
        <v>1663000</v>
      </c>
      <c r="AV377">
        <v>1087000</v>
      </c>
      <c r="AW377">
        <v>4528415.5219798805</v>
      </c>
      <c r="AX377">
        <v>1778415.5219798805</v>
      </c>
      <c r="AY377">
        <v>1778415.5219798805</v>
      </c>
      <c r="AZ377">
        <v>30032000</v>
      </c>
      <c r="BA377">
        <v>5.9217352223624155E-2</v>
      </c>
    </row>
    <row r="378" spans="1:53" x14ac:dyDescent="0.25">
      <c r="A378" t="s">
        <v>148</v>
      </c>
      <c r="B378">
        <f>SUM(B375:B377)</f>
        <v>14972</v>
      </c>
      <c r="C378">
        <f t="shared" ref="C378:AC378" si="65">SUM(C375:C377)</f>
        <v>1209329</v>
      </c>
      <c r="D378">
        <f t="shared" si="65"/>
        <v>13372</v>
      </c>
      <c r="E378">
        <f t="shared" si="65"/>
        <v>345454</v>
      </c>
      <c r="F378">
        <f t="shared" si="65"/>
        <v>15303</v>
      </c>
      <c r="G378">
        <f t="shared" si="65"/>
        <v>0</v>
      </c>
      <c r="H378">
        <f t="shared" si="65"/>
        <v>95991</v>
      </c>
      <c r="I378">
        <f t="shared" si="65"/>
        <v>2826</v>
      </c>
      <c r="J378">
        <f t="shared" si="65"/>
        <v>53500</v>
      </c>
      <c r="K378">
        <f t="shared" si="65"/>
        <v>10000</v>
      </c>
      <c r="L378">
        <f t="shared" si="65"/>
        <v>950</v>
      </c>
      <c r="M378">
        <f t="shared" si="65"/>
        <v>114147</v>
      </c>
      <c r="N378">
        <f t="shared" si="65"/>
        <v>71398</v>
      </c>
      <c r="O378">
        <f t="shared" si="65"/>
        <v>287868</v>
      </c>
      <c r="P378">
        <f t="shared" si="65"/>
        <v>43597</v>
      </c>
      <c r="Q378">
        <f t="shared" si="65"/>
        <v>1312436</v>
      </c>
      <c r="R378">
        <f t="shared" si="65"/>
        <v>790</v>
      </c>
      <c r="S378">
        <f t="shared" si="65"/>
        <v>142732</v>
      </c>
      <c r="T378">
        <f t="shared" si="65"/>
        <v>112025</v>
      </c>
      <c r="U378">
        <f t="shared" si="65"/>
        <v>47794</v>
      </c>
      <c r="V378">
        <f t="shared" si="65"/>
        <v>-13</v>
      </c>
      <c r="W378">
        <f t="shared" si="65"/>
        <v>1009969</v>
      </c>
      <c r="X378">
        <f t="shared" si="65"/>
        <v>-18554</v>
      </c>
      <c r="Y378">
        <f t="shared" si="65"/>
        <v>229962</v>
      </c>
      <c r="Z378">
        <f t="shared" si="65"/>
        <v>-13401345.934128616</v>
      </c>
      <c r="AA378">
        <f t="shared" si="65"/>
        <v>-11486867.943538815</v>
      </c>
      <c r="AB378">
        <f t="shared" si="65"/>
        <v>926885</v>
      </c>
      <c r="AC378">
        <f t="shared" si="65"/>
        <v>297416</v>
      </c>
      <c r="AD378" t="s">
        <v>148</v>
      </c>
      <c r="AT378" t="s">
        <v>499</v>
      </c>
      <c r="AU378">
        <v>2311000</v>
      </c>
      <c r="AV378">
        <v>2739000.0000000005</v>
      </c>
      <c r="AW378">
        <v>8667731.7859339546</v>
      </c>
      <c r="AX378">
        <v>3617731.7859339542</v>
      </c>
      <c r="AY378">
        <v>3617731.7859339542</v>
      </c>
      <c r="AZ378">
        <v>48121000</v>
      </c>
      <c r="BA378">
        <v>7.5179896218573058E-2</v>
      </c>
    </row>
    <row r="379" spans="1:53" x14ac:dyDescent="0.25">
      <c r="AT379" t="s">
        <v>286</v>
      </c>
      <c r="AU379">
        <v>6857000</v>
      </c>
      <c r="AV379">
        <v>5279000</v>
      </c>
      <c r="AW379">
        <v>25376410.593103003</v>
      </c>
      <c r="AX379">
        <v>13240410.593103003</v>
      </c>
      <c r="AY379">
        <v>13240410.593103003</v>
      </c>
      <c r="AZ379">
        <v>154745000</v>
      </c>
      <c r="BA379">
        <v>8.5562768380904083E-2</v>
      </c>
    </row>
    <row r="380" spans="1:53" x14ac:dyDescent="0.25">
      <c r="A380" s="269" t="s">
        <v>376</v>
      </c>
      <c r="B380">
        <v>0</v>
      </c>
      <c r="C380">
        <v>14789</v>
      </c>
      <c r="D380">
        <v>313</v>
      </c>
      <c r="E380">
        <v>7582</v>
      </c>
      <c r="F380">
        <v>797</v>
      </c>
      <c r="G380">
        <v>0</v>
      </c>
      <c r="H380">
        <v>3349</v>
      </c>
      <c r="I380">
        <v>0</v>
      </c>
      <c r="J380">
        <v>0</v>
      </c>
      <c r="K380">
        <v>565</v>
      </c>
      <c r="L380">
        <v>316</v>
      </c>
      <c r="M380">
        <v>131</v>
      </c>
      <c r="N380">
        <v>6004</v>
      </c>
      <c r="O380">
        <v>12538</v>
      </c>
      <c r="P380">
        <v>2399</v>
      </c>
      <c r="Q380">
        <v>17063</v>
      </c>
      <c r="R380">
        <v>0</v>
      </c>
      <c r="S380">
        <v>0</v>
      </c>
      <c r="T380">
        <v>970</v>
      </c>
      <c r="U380">
        <v>876</v>
      </c>
      <c r="V380">
        <v>0</v>
      </c>
      <c r="W380">
        <v>20864</v>
      </c>
      <c r="X380">
        <v>791</v>
      </c>
      <c r="Y380">
        <v>8793</v>
      </c>
      <c r="Z380">
        <v>1201317.884409334</v>
      </c>
      <c r="AA380">
        <v>1029701.0437794292</v>
      </c>
      <c r="AB380">
        <v>15682</v>
      </c>
      <c r="AC380">
        <v>-893</v>
      </c>
      <c r="AD380" t="s">
        <v>376</v>
      </c>
      <c r="AE380" s="232">
        <f>S380/SUM(O380:U380)</f>
        <v>0</v>
      </c>
      <c r="AF380" s="232">
        <f>SUM(Q380,R380,S380,T380,U380,-E380,-F380,-G380,-J380,-K380,-L380,-M380,-N380)/W380</f>
        <v>0.16842407975460122</v>
      </c>
      <c r="AG380" s="232">
        <f>SUM(E380,F380)/W380</f>
        <v>0.40160084355828218</v>
      </c>
      <c r="AH380" s="232">
        <f>SUM(H380,I380)/W380</f>
        <v>0.16051572085889571</v>
      </c>
      <c r="AI380" s="232">
        <f>SUM(AF380,0.12*AG380,-0.7*AH380)</f>
        <v>0.10425517638036809</v>
      </c>
      <c r="AJ380" s="232">
        <f>X380/W380</f>
        <v>3.7912193251533742E-2</v>
      </c>
      <c r="AK380" s="232">
        <f>AA380/(1000*W380)</f>
        <v>4.9353002481759452E-2</v>
      </c>
      <c r="AL380" s="232">
        <f>(AC380/4)/W380</f>
        <v>-1.0700249233128834E-2</v>
      </c>
      <c r="AM380" s="232">
        <f>SUM(O380,P380)/SUM(O380,P380,Q380,R380,S380,T380,U380)</f>
        <v>0.44132246055663887</v>
      </c>
      <c r="AN380" s="232">
        <v>3.0800000000000001E-2</v>
      </c>
      <c r="AO380" s="232">
        <f>5*AN380</f>
        <v>0.154</v>
      </c>
      <c r="AT380" t="s">
        <v>260</v>
      </c>
      <c r="AU380">
        <v>4659999.9999999991</v>
      </c>
      <c r="AV380">
        <v>3170000</v>
      </c>
      <c r="AW380">
        <v>8901792.4033929668</v>
      </c>
      <c r="AX380">
        <v>1071792.4033929678</v>
      </c>
      <c r="AY380">
        <v>1071792.4033929678</v>
      </c>
      <c r="AZ380">
        <v>91310000</v>
      </c>
      <c r="BA380">
        <v>1.1737952068699679E-2</v>
      </c>
    </row>
    <row r="381" spans="1:53" x14ac:dyDescent="0.25">
      <c r="A381" s="269" t="s">
        <v>336</v>
      </c>
      <c r="B381">
        <v>7</v>
      </c>
      <c r="C381">
        <v>54684</v>
      </c>
      <c r="D381">
        <v>4700</v>
      </c>
      <c r="E381">
        <v>4519</v>
      </c>
      <c r="F381">
        <v>140</v>
      </c>
      <c r="G381">
        <v>0</v>
      </c>
      <c r="H381">
        <v>8543</v>
      </c>
      <c r="I381">
        <v>207</v>
      </c>
      <c r="J381">
        <v>0</v>
      </c>
      <c r="K381">
        <v>1886</v>
      </c>
      <c r="L381">
        <v>-7491</v>
      </c>
      <c r="M381">
        <v>4641</v>
      </c>
      <c r="N381">
        <v>-1834</v>
      </c>
      <c r="O381">
        <v>43139</v>
      </c>
      <c r="P381">
        <v>8892</v>
      </c>
      <c r="Q381">
        <v>14541</v>
      </c>
      <c r="R381">
        <v>0</v>
      </c>
      <c r="S381">
        <v>0</v>
      </c>
      <c r="T381">
        <v>2879</v>
      </c>
      <c r="U381">
        <v>551</v>
      </c>
      <c r="V381">
        <v>7</v>
      </c>
      <c r="W381">
        <v>52671</v>
      </c>
      <c r="X381">
        <v>2194</v>
      </c>
      <c r="Y381">
        <v>29098</v>
      </c>
      <c r="Z381">
        <v>3772147.2102353927</v>
      </c>
      <c r="AA381">
        <v>3233269.037344622</v>
      </c>
      <c r="AB381">
        <v>52185</v>
      </c>
      <c r="AC381">
        <v>2506</v>
      </c>
      <c r="AD381" t="s">
        <v>336</v>
      </c>
      <c r="AE381" s="232">
        <f>S381/SUM(O381:U381)</f>
        <v>0</v>
      </c>
      <c r="AF381" s="232">
        <f>SUM(Q381,R381,S381,T381,U381,-E381,-F381,-G381,-J381,-K381,-L381,-M381,-N381)/W381</f>
        <v>0.30586091017827649</v>
      </c>
      <c r="AG381" s="232">
        <f>SUM(E381,F381)/W381</f>
        <v>8.8454747394201741E-2</v>
      </c>
      <c r="AH381" s="232">
        <f>SUM(H381,I381)/W381</f>
        <v>0.16612557194661198</v>
      </c>
      <c r="AI381" s="232">
        <f>SUM(AF381,0.12*AG381,-0.7*AH381)</f>
        <v>0.20018757950295235</v>
      </c>
      <c r="AJ381" s="232">
        <f>X381/W381</f>
        <v>4.1654800554384766E-2</v>
      </c>
      <c r="AK381" s="232">
        <f>AA381/(1000*W381)</f>
        <v>6.1386133495559644E-2</v>
      </c>
      <c r="AL381" s="232">
        <f>(AC381/4)/W381</f>
        <v>1.1894590951377418E-2</v>
      </c>
      <c r="AM381" s="232">
        <f>SUM(O381,P381)/SUM(O381,P381,Q381,R381,S381,T381,U381)</f>
        <v>0.74327876346390098</v>
      </c>
      <c r="AN381" s="232">
        <v>3.4599999999999999E-2</v>
      </c>
      <c r="AO381" s="232">
        <f>5*AN381</f>
        <v>0.17299999999999999</v>
      </c>
      <c r="AT381" t="s">
        <v>385</v>
      </c>
      <c r="AU381">
        <v>19417999.999999996</v>
      </c>
      <c r="AV381">
        <v>13881000</v>
      </c>
      <c r="AW381">
        <v>32839322.173748121</v>
      </c>
      <c r="AX381">
        <v>-459677.82625187561</v>
      </c>
      <c r="AY381">
        <v>0</v>
      </c>
      <c r="AZ381">
        <v>340963000</v>
      </c>
      <c r="BA381">
        <v>-1.3481750989165265E-3</v>
      </c>
    </row>
    <row r="382" spans="1:53" x14ac:dyDescent="0.25">
      <c r="A382" s="269" t="s">
        <v>340</v>
      </c>
      <c r="B382">
        <v>417</v>
      </c>
      <c r="C382">
        <v>16783</v>
      </c>
      <c r="D382">
        <v>1129</v>
      </c>
      <c r="E382">
        <v>0</v>
      </c>
      <c r="F382">
        <v>6</v>
      </c>
      <c r="G382">
        <v>0</v>
      </c>
      <c r="H382">
        <v>-70</v>
      </c>
      <c r="I382">
        <v>237</v>
      </c>
      <c r="J382">
        <v>0</v>
      </c>
      <c r="K382">
        <v>505</v>
      </c>
      <c r="L382">
        <v>203</v>
      </c>
      <c r="M382">
        <v>939</v>
      </c>
      <c r="N382">
        <v>2706</v>
      </c>
      <c r="O382">
        <v>13856</v>
      </c>
      <c r="P382">
        <v>3977</v>
      </c>
      <c r="Q382">
        <v>2351</v>
      </c>
      <c r="R382">
        <v>0</v>
      </c>
      <c r="S382">
        <v>0</v>
      </c>
      <c r="T382">
        <v>1457</v>
      </c>
      <c r="U382">
        <v>1214</v>
      </c>
      <c r="V382">
        <v>0</v>
      </c>
      <c r="W382">
        <v>24376</v>
      </c>
      <c r="X382">
        <v>1211</v>
      </c>
      <c r="Y382">
        <v>12826</v>
      </c>
      <c r="Z382">
        <v>1261583.9476206144</v>
      </c>
      <c r="AA382">
        <v>1081357.669389098</v>
      </c>
      <c r="AB382">
        <v>16846</v>
      </c>
      <c r="AC382">
        <v>354</v>
      </c>
      <c r="AD382" t="s">
        <v>340</v>
      </c>
      <c r="AT382" t="s">
        <v>386</v>
      </c>
      <c r="AU382">
        <v>1124000</v>
      </c>
      <c r="AV382">
        <v>2438999.9999999995</v>
      </c>
      <c r="AW382">
        <v>3829271.2266226634</v>
      </c>
      <c r="AX382">
        <v>266271.2266226639</v>
      </c>
      <c r="AY382">
        <v>266271.2266226639</v>
      </c>
      <c r="AZ382">
        <v>22966000</v>
      </c>
      <c r="BA382">
        <v>1.1594149029986235E-2</v>
      </c>
    </row>
    <row r="383" spans="1:53" x14ac:dyDescent="0.25">
      <c r="A383" s="269" t="s">
        <v>353</v>
      </c>
      <c r="B383">
        <v>199</v>
      </c>
      <c r="C383">
        <v>15717</v>
      </c>
      <c r="D383">
        <v>382</v>
      </c>
      <c r="E383">
        <v>0</v>
      </c>
      <c r="F383">
        <v>20</v>
      </c>
      <c r="G383">
        <v>0</v>
      </c>
      <c r="H383">
        <v>28</v>
      </c>
      <c r="I383">
        <v>0</v>
      </c>
      <c r="J383">
        <v>0</v>
      </c>
      <c r="K383">
        <v>2647</v>
      </c>
      <c r="L383">
        <v>40</v>
      </c>
      <c r="M383">
        <v>1200</v>
      </c>
      <c r="N383">
        <v>1704</v>
      </c>
      <c r="O383">
        <v>11333</v>
      </c>
      <c r="P383">
        <v>1186</v>
      </c>
      <c r="Q383">
        <v>5935</v>
      </c>
      <c r="R383">
        <v>0</v>
      </c>
      <c r="S383">
        <v>1119</v>
      </c>
      <c r="T383">
        <v>1907</v>
      </c>
      <c r="U383">
        <v>457</v>
      </c>
      <c r="V383">
        <v>0</v>
      </c>
      <c r="W383">
        <v>21277</v>
      </c>
      <c r="X383">
        <v>575</v>
      </c>
      <c r="Y383">
        <v>11097</v>
      </c>
      <c r="Z383">
        <v>970443.59876466589</v>
      </c>
      <c r="AA383">
        <v>831808.79894114227</v>
      </c>
      <c r="AB383">
        <v>16711</v>
      </c>
      <c r="AC383">
        <v>-795</v>
      </c>
      <c r="AD383" t="s">
        <v>353</v>
      </c>
      <c r="AE383" s="232">
        <f>S383/SUM(O383:U383)</f>
        <v>5.1009709623011351E-2</v>
      </c>
      <c r="AF383" s="232">
        <f>SUM(Q383,R383,S383,T383,U383,-E383,-F383,-G383,-J383,-K383,-L383,-M383,-N383)/W383</f>
        <v>0.17892560041359215</v>
      </c>
      <c r="AG383" s="232">
        <f>SUM(E383,F383)/W383</f>
        <v>9.3998214033933359E-4</v>
      </c>
      <c r="AH383" s="232">
        <f>SUM(H383,I383)/W383</f>
        <v>1.3159749964750669E-3</v>
      </c>
      <c r="AI383" s="232">
        <f>SUM(AF383,0.12*AG383,-0.7*AH383)</f>
        <v>0.17811721577290032</v>
      </c>
      <c r="AJ383" s="232">
        <f>X383/W383</f>
        <v>2.7024486534755841E-2</v>
      </c>
      <c r="AK383" s="232">
        <f>AA383/(1000*W383)</f>
        <v>3.9094270759089264E-2</v>
      </c>
      <c r="AL383" s="232">
        <f>(AC383/4)/W383</f>
        <v>-9.3410725196221272E-3</v>
      </c>
      <c r="AM383" s="232">
        <f>SUM(O383,P383)/SUM(O383,P383,Q383,R383,S383,T383,U383)</f>
        <v>0.57067967361079452</v>
      </c>
      <c r="AN383" s="232">
        <v>3.8199999999999998E-2</v>
      </c>
      <c r="AO383" s="232">
        <f>5*AN383</f>
        <v>0.191</v>
      </c>
      <c r="AT383" t="s">
        <v>164</v>
      </c>
      <c r="AU383">
        <v>2425000</v>
      </c>
      <c r="AV383">
        <v>2534000.0000000005</v>
      </c>
      <c r="AW383">
        <v>5701010.9732019259</v>
      </c>
      <c r="AX383">
        <v>742010.9732019254</v>
      </c>
      <c r="AY383">
        <v>742010.9732019254</v>
      </c>
      <c r="AZ383">
        <v>41578000</v>
      </c>
      <c r="BA383">
        <v>1.7846240155897961E-2</v>
      </c>
    </row>
    <row r="384" spans="1:53" x14ac:dyDescent="0.25">
      <c r="A384" s="269" t="s">
        <v>368</v>
      </c>
      <c r="B384">
        <v>0</v>
      </c>
      <c r="C384">
        <v>51288</v>
      </c>
      <c r="D384">
        <v>3973</v>
      </c>
      <c r="E384">
        <v>0</v>
      </c>
      <c r="F384">
        <v>2473</v>
      </c>
      <c r="G384">
        <v>0</v>
      </c>
      <c r="H384">
        <v>-1329</v>
      </c>
      <c r="I384">
        <v>0</v>
      </c>
      <c r="J384">
        <v>0</v>
      </c>
      <c r="K384">
        <v>0</v>
      </c>
      <c r="L384">
        <v>66</v>
      </c>
      <c r="M384">
        <v>4597</v>
      </c>
      <c r="N384">
        <v>928</v>
      </c>
      <c r="O384">
        <v>32201</v>
      </c>
      <c r="P384">
        <v>8006</v>
      </c>
      <c r="Q384">
        <v>15000</v>
      </c>
      <c r="R384">
        <v>5</v>
      </c>
      <c r="S384">
        <v>250</v>
      </c>
      <c r="T384">
        <v>4631</v>
      </c>
      <c r="U384">
        <v>1903</v>
      </c>
      <c r="V384">
        <v>0</v>
      </c>
      <c r="W384">
        <v>50605</v>
      </c>
      <c r="X384">
        <v>818</v>
      </c>
      <c r="Y384">
        <v>24301</v>
      </c>
      <c r="Z384">
        <v>1219548.6959332861</v>
      </c>
      <c r="AA384">
        <v>1045327.4536571024</v>
      </c>
      <c r="AB384">
        <v>52767</v>
      </c>
      <c r="AC384">
        <v>-1479</v>
      </c>
      <c r="AD384" t="s">
        <v>368</v>
      </c>
      <c r="AE384" s="232">
        <f>S384/SUM(O384:U384)</f>
        <v>4.0325182269823857E-3</v>
      </c>
      <c r="AF384" s="232">
        <f>SUM(Q384,R384,S384,T384,U384,-E384,-F384,-G384,-J384,-K384,-L384,-M384,-N384)/W384</f>
        <v>0.27121825906530977</v>
      </c>
      <c r="AG384" s="232">
        <f>SUM(E384,F384)/W384</f>
        <v>4.8868688864736685E-2</v>
      </c>
      <c r="AH384" s="232">
        <f>SUM(H384,I384)/W384</f>
        <v>-2.6262227052662779E-2</v>
      </c>
      <c r="AI384" s="232">
        <f>SUM(AF384,0.12*AG384,-0.7*AH384)</f>
        <v>0.29546606066594211</v>
      </c>
      <c r="AJ384" s="232">
        <f>X384/W384</f>
        <v>1.6164410631360537E-2</v>
      </c>
      <c r="AK384" s="232">
        <f>AA384/(1000*W384)</f>
        <v>2.0656604162772502E-2</v>
      </c>
      <c r="AL384" s="232">
        <f>(AC384/4)/W384</f>
        <v>-7.306590257879656E-3</v>
      </c>
      <c r="AM384" s="232">
        <f>SUM(O384,P384)/SUM(O384,P384,Q384,R384,S384,T384,U384)</f>
        <v>0.64854184140912319</v>
      </c>
      <c r="AN384" s="232">
        <v>3.0099999999999998E-2</v>
      </c>
      <c r="AO384" s="232">
        <f>5*AN384</f>
        <v>0.15049999999999999</v>
      </c>
      <c r="AT384" t="s">
        <v>387</v>
      </c>
      <c r="AU384">
        <v>4997000.0000000009</v>
      </c>
      <c r="AV384">
        <v>3063000</v>
      </c>
      <c r="AW384">
        <v>13170927.114810653</v>
      </c>
      <c r="AX384">
        <v>5110927.1148106521</v>
      </c>
      <c r="AY384">
        <v>5110927.1148106521</v>
      </c>
      <c r="AZ384">
        <v>102601000</v>
      </c>
      <c r="BA384">
        <v>4.9813618919997388E-2</v>
      </c>
    </row>
    <row r="385" spans="1:53" x14ac:dyDescent="0.25">
      <c r="A385" s="214" t="s">
        <v>748</v>
      </c>
      <c r="B385">
        <f>SUM(B380:B384)</f>
        <v>623</v>
      </c>
      <c r="C385">
        <f t="shared" ref="C385:AC385" si="66">SUM(C380:C384)</f>
        <v>153261</v>
      </c>
      <c r="D385">
        <f t="shared" si="66"/>
        <v>10497</v>
      </c>
      <c r="E385">
        <f t="shared" si="66"/>
        <v>12101</v>
      </c>
      <c r="F385">
        <f t="shared" si="66"/>
        <v>3436</v>
      </c>
      <c r="G385">
        <f t="shared" si="66"/>
        <v>0</v>
      </c>
      <c r="H385">
        <f t="shared" si="66"/>
        <v>10521</v>
      </c>
      <c r="I385">
        <f t="shared" si="66"/>
        <v>444</v>
      </c>
      <c r="J385">
        <f t="shared" si="66"/>
        <v>0</v>
      </c>
      <c r="K385">
        <f t="shared" si="66"/>
        <v>5603</v>
      </c>
      <c r="L385">
        <f t="shared" si="66"/>
        <v>-6866</v>
      </c>
      <c r="M385">
        <f t="shared" si="66"/>
        <v>11508</v>
      </c>
      <c r="N385">
        <f t="shared" si="66"/>
        <v>9508</v>
      </c>
      <c r="O385">
        <f t="shared" si="66"/>
        <v>113067</v>
      </c>
      <c r="P385">
        <f t="shared" si="66"/>
        <v>24460</v>
      </c>
      <c r="Q385">
        <f t="shared" si="66"/>
        <v>54890</v>
      </c>
      <c r="R385">
        <f t="shared" si="66"/>
        <v>5</v>
      </c>
      <c r="S385">
        <f t="shared" si="66"/>
        <v>1369</v>
      </c>
      <c r="T385">
        <f t="shared" si="66"/>
        <v>11844</v>
      </c>
      <c r="U385">
        <f t="shared" si="66"/>
        <v>5001</v>
      </c>
      <c r="V385">
        <f t="shared" si="66"/>
        <v>7</v>
      </c>
      <c r="W385">
        <f t="shared" si="66"/>
        <v>169793</v>
      </c>
      <c r="X385">
        <f t="shared" si="66"/>
        <v>5589</v>
      </c>
      <c r="Y385">
        <f t="shared" si="66"/>
        <v>86115</v>
      </c>
      <c r="Z385">
        <f t="shared" si="66"/>
        <v>8425041.3369632941</v>
      </c>
      <c r="AA385">
        <f t="shared" si="66"/>
        <v>7221464.0031113941</v>
      </c>
      <c r="AB385">
        <f t="shared" si="66"/>
        <v>154191</v>
      </c>
      <c r="AC385">
        <f t="shared" si="66"/>
        <v>-307</v>
      </c>
      <c r="AD385" s="214" t="s">
        <v>748</v>
      </c>
      <c r="AE385" s="232"/>
      <c r="AF385" s="232"/>
      <c r="AG385" s="232"/>
      <c r="AH385" s="232"/>
      <c r="AI385" s="232"/>
      <c r="AJ385" s="232"/>
      <c r="AK385" s="232"/>
      <c r="AL385" s="232"/>
      <c r="AM385" s="232"/>
      <c r="AT385" t="s">
        <v>461</v>
      </c>
      <c r="AU385">
        <v>3065999.9999999995</v>
      </c>
      <c r="AV385">
        <v>1466000</v>
      </c>
      <c r="AW385">
        <v>7528050.7911665924</v>
      </c>
      <c r="AX385">
        <v>2996050.7911665924</v>
      </c>
      <c r="AY385">
        <v>2996050.7911665924</v>
      </c>
      <c r="AZ385">
        <v>50405000</v>
      </c>
      <c r="BA385">
        <v>5.9439555424394254E-2</v>
      </c>
    </row>
    <row r="386" spans="1:53" x14ac:dyDescent="0.25">
      <c r="A386" s="214"/>
      <c r="AE386" s="232"/>
      <c r="AF386" s="232"/>
      <c r="AG386" s="232"/>
      <c r="AH386" s="232"/>
      <c r="AI386" s="232"/>
      <c r="AJ386" s="232"/>
      <c r="AK386" s="232"/>
      <c r="AL386" s="232"/>
      <c r="AM386" s="232"/>
      <c r="AT386" t="s">
        <v>261</v>
      </c>
      <c r="AU386">
        <v>5050000.0000000009</v>
      </c>
      <c r="AV386">
        <v>4199000</v>
      </c>
      <c r="AW386">
        <v>13189645.529666528</v>
      </c>
      <c r="AX386">
        <v>3940645.5296665272</v>
      </c>
      <c r="AY386">
        <v>3940645.5296665272</v>
      </c>
      <c r="AZ386">
        <v>168561000</v>
      </c>
      <c r="BA386">
        <v>2.3378157045025404E-2</v>
      </c>
    </row>
    <row r="387" spans="1:53" x14ac:dyDescent="0.25">
      <c r="A387" s="269" t="s">
        <v>479</v>
      </c>
      <c r="B387">
        <v>12000</v>
      </c>
      <c r="C387">
        <v>30889</v>
      </c>
      <c r="D387">
        <v>493</v>
      </c>
      <c r="E387">
        <v>1217</v>
      </c>
      <c r="F387">
        <v>398</v>
      </c>
      <c r="G387">
        <v>0</v>
      </c>
      <c r="H387">
        <v>1370</v>
      </c>
      <c r="I387">
        <v>1327</v>
      </c>
      <c r="J387">
        <v>0</v>
      </c>
      <c r="K387">
        <v>0</v>
      </c>
      <c r="L387">
        <v>831</v>
      </c>
      <c r="M387">
        <v>2259</v>
      </c>
      <c r="N387">
        <v>1287</v>
      </c>
      <c r="O387">
        <v>27531</v>
      </c>
      <c r="P387">
        <v>1860</v>
      </c>
      <c r="Q387">
        <v>19026</v>
      </c>
      <c r="R387">
        <v>3</v>
      </c>
      <c r="S387">
        <v>0</v>
      </c>
      <c r="T387">
        <v>2618</v>
      </c>
      <c r="U387">
        <v>1033</v>
      </c>
      <c r="V387">
        <v>42</v>
      </c>
      <c r="W387">
        <v>32427</v>
      </c>
      <c r="X387">
        <v>-887</v>
      </c>
      <c r="Y387">
        <v>15201</v>
      </c>
      <c r="Z387">
        <v>768214.45143679762</v>
      </c>
      <c r="AA387">
        <v>658469.52980296942</v>
      </c>
      <c r="AB387">
        <v>27180</v>
      </c>
      <c r="AC387">
        <v>15709</v>
      </c>
      <c r="AD387" t="s">
        <v>479</v>
      </c>
      <c r="AE387" s="232">
        <f>S387/SUM(O387:U387)</f>
        <v>0</v>
      </c>
      <c r="AF387" s="232">
        <f>SUM(Q387,R387,S387,T387,U387,-E387,-F387,-G387,-J387,-K387,-L387,-M387,-N387)/W387</f>
        <v>0.51463286767200178</v>
      </c>
      <c r="AG387" s="232">
        <f>SUM(E387,F387)/W387</f>
        <v>4.9804175532735064E-2</v>
      </c>
      <c r="AH387" s="232">
        <f>SUM(H387,I387)/W387</f>
        <v>8.3171431214728461E-2</v>
      </c>
      <c r="AI387" s="232">
        <f>SUM(AF387,0.12*AG387,-0.7*AH387)</f>
        <v>0.4623893668856201</v>
      </c>
      <c r="AJ387" s="232">
        <f>X387/W387</f>
        <v>-2.7353748419526938E-2</v>
      </c>
      <c r="AK387" s="232">
        <f>AA387/(1000*W387)</f>
        <v>2.0306211792733508E-2</v>
      </c>
      <c r="AL387" s="232">
        <f>(AC387/4)/W387</f>
        <v>0.12111049434113548</v>
      </c>
      <c r="AM387" s="232">
        <f>SUM(O387,P387)/SUM(O387,P387,Q387,R387,S387,T387,U387)</f>
        <v>0.56444085959555224</v>
      </c>
      <c r="AN387" s="232">
        <v>5.4300000000000001E-2</v>
      </c>
      <c r="AO387" s="232">
        <f>5*AN387</f>
        <v>0.27150000000000002</v>
      </c>
      <c r="AT387" t="s">
        <v>207</v>
      </c>
      <c r="AU387">
        <v>1947000</v>
      </c>
      <c r="AV387">
        <v>2621000</v>
      </c>
      <c r="AW387">
        <v>6739865.7266360344</v>
      </c>
      <c r="AX387">
        <v>2171865.7266360344</v>
      </c>
      <c r="AY387">
        <v>2171865.7266360344</v>
      </c>
      <c r="AZ387">
        <v>50469000</v>
      </c>
      <c r="BA387">
        <v>4.3033658813054237E-2</v>
      </c>
    </row>
    <row r="388" spans="1:53" x14ac:dyDescent="0.25">
      <c r="A388" s="269" t="s">
        <v>484</v>
      </c>
      <c r="B388">
        <v>13130</v>
      </c>
      <c r="C388">
        <v>28455</v>
      </c>
      <c r="D388">
        <v>87</v>
      </c>
      <c r="E388">
        <v>2515</v>
      </c>
      <c r="F388">
        <v>1102</v>
      </c>
      <c r="G388">
        <v>0</v>
      </c>
      <c r="H388">
        <v>0</v>
      </c>
      <c r="I388">
        <v>0</v>
      </c>
      <c r="J388">
        <v>0</v>
      </c>
      <c r="K388">
        <v>8026</v>
      </c>
      <c r="L388">
        <v>-2511</v>
      </c>
      <c r="M388">
        <v>5267</v>
      </c>
      <c r="N388">
        <v>1063</v>
      </c>
      <c r="O388">
        <v>29123</v>
      </c>
      <c r="P388">
        <v>4546</v>
      </c>
      <c r="Q388">
        <v>19470</v>
      </c>
      <c r="R388">
        <v>0</v>
      </c>
      <c r="S388">
        <v>0</v>
      </c>
      <c r="T388">
        <v>2208</v>
      </c>
      <c r="U388">
        <v>1787</v>
      </c>
      <c r="V388">
        <v>0</v>
      </c>
      <c r="W388">
        <v>30500</v>
      </c>
      <c r="X388">
        <v>210</v>
      </c>
      <c r="Y388">
        <v>12911</v>
      </c>
      <c r="Z388">
        <v>599616.86795357428</v>
      </c>
      <c r="AA388">
        <v>513957.31538877793</v>
      </c>
      <c r="AB388">
        <v>30955</v>
      </c>
      <c r="AC388">
        <v>10630</v>
      </c>
      <c r="AD388" t="s">
        <v>484</v>
      </c>
      <c r="AE388" s="232">
        <f>S388/SUM(O388:U388)</f>
        <v>0</v>
      </c>
      <c r="AF388" s="232">
        <f>SUM(Q388,R388,S388,T388,U388,-E388,-F388,-G388,-J388,-K388,-L388,-M388,-N388)/W388</f>
        <v>0.26239344262295083</v>
      </c>
      <c r="AG388" s="232">
        <f>SUM(E388,F388)/W388</f>
        <v>0.11859016393442623</v>
      </c>
      <c r="AH388" s="232">
        <f>SUM(H388,I388)/W388</f>
        <v>0</v>
      </c>
      <c r="AI388" s="232">
        <f>SUM(AF388,0.12*AG388,-0.7*AH388)</f>
        <v>0.27662426229508197</v>
      </c>
      <c r="AJ388" s="232">
        <f>X388/W388</f>
        <v>6.8852459016393447E-3</v>
      </c>
      <c r="AK388" s="232">
        <f>AA388/(1000*W388)</f>
        <v>1.685105952094354E-2</v>
      </c>
      <c r="AL388" s="232">
        <f>(AC388/4)/W388</f>
        <v>8.7131147540983611E-2</v>
      </c>
      <c r="AM388" s="232">
        <f>SUM(O388,P388)/SUM(O388,P388,Q388,R388,S388,T388,U388)</f>
        <v>0.58929884132040466</v>
      </c>
      <c r="AN388" s="232">
        <v>4.07E-2</v>
      </c>
      <c r="AO388" s="232">
        <f>5*AN388</f>
        <v>0.20350000000000001</v>
      </c>
      <c r="AT388" t="s">
        <v>388</v>
      </c>
      <c r="AU388">
        <v>4782000</v>
      </c>
      <c r="AV388">
        <v>5138999.9999999991</v>
      </c>
      <c r="AW388">
        <v>11984171.61961367</v>
      </c>
      <c r="AX388">
        <v>2063171.6196136707</v>
      </c>
      <c r="AY388">
        <v>2063171.6196136707</v>
      </c>
      <c r="AZ388">
        <v>126147000</v>
      </c>
      <c r="BA388">
        <v>1.6355296753895621E-2</v>
      </c>
    </row>
    <row r="389" spans="1:53" x14ac:dyDescent="0.25">
      <c r="A389" s="269" t="s">
        <v>480</v>
      </c>
      <c r="B389">
        <v>2</v>
      </c>
      <c r="C389">
        <v>21886</v>
      </c>
      <c r="D389">
        <v>107</v>
      </c>
      <c r="E389">
        <v>811</v>
      </c>
      <c r="F389">
        <v>2407</v>
      </c>
      <c r="G389">
        <v>13663</v>
      </c>
      <c r="H389">
        <v>1</v>
      </c>
      <c r="I389">
        <v>0</v>
      </c>
      <c r="J389">
        <v>0</v>
      </c>
      <c r="K389">
        <v>3936</v>
      </c>
      <c r="L389">
        <v>3</v>
      </c>
      <c r="M389">
        <v>2007</v>
      </c>
      <c r="N389">
        <v>1489</v>
      </c>
      <c r="O389">
        <v>34971</v>
      </c>
      <c r="P389">
        <v>7456</v>
      </c>
      <c r="Q389">
        <v>811</v>
      </c>
      <c r="R389">
        <v>1</v>
      </c>
      <c r="S389">
        <v>0</v>
      </c>
      <c r="T389">
        <v>2346</v>
      </c>
      <c r="U389">
        <v>727</v>
      </c>
      <c r="V389">
        <v>0</v>
      </c>
      <c r="W389">
        <v>21834</v>
      </c>
      <c r="X389">
        <v>-519</v>
      </c>
      <c r="Y389">
        <v>7857</v>
      </c>
      <c r="Z389">
        <v>289601.57222841959</v>
      </c>
      <c r="AA389">
        <v>248229.91905293107</v>
      </c>
      <c r="AB389">
        <v>10293</v>
      </c>
      <c r="AC389">
        <v>11595</v>
      </c>
      <c r="AD389" t="s">
        <v>480</v>
      </c>
      <c r="AE389" s="232">
        <f>S389/SUM(O389:U389)</f>
        <v>0</v>
      </c>
      <c r="AF389" s="232">
        <f>SUM(Q389,R389,S389,T389,U389,-E389,-F389,-G389,-J389,-K389,-L389,-M389,-N389)/W389</f>
        <v>-0.93574242007877617</v>
      </c>
      <c r="AG389" s="232">
        <f>SUM(E389,F389)/W389</f>
        <v>0.1473848126774755</v>
      </c>
      <c r="AH389" s="232">
        <f>SUM(H389,I389)/W389</f>
        <v>4.5800128240359075E-5</v>
      </c>
      <c r="AI389" s="232">
        <f>SUM(AF389,0.12*AG389,-0.7*AH389)</f>
        <v>-0.91808830264724739</v>
      </c>
      <c r="AJ389" s="232">
        <f>X389/W389</f>
        <v>-2.3770266556746359E-2</v>
      </c>
      <c r="AK389" s="232">
        <f>AA389/(1000*W389)</f>
        <v>1.1368962125718194E-2</v>
      </c>
      <c r="AL389" s="232">
        <f>(AC389/4)/W389</f>
        <v>0.13276312173674087</v>
      </c>
      <c r="AM389" s="232">
        <f>SUM(O389,P389)/SUM(O389,P389,Q389,R389,S389,T389,U389)</f>
        <v>0.91611245465538094</v>
      </c>
      <c r="AN389" s="232">
        <v>4.58E-2</v>
      </c>
      <c r="AO389" s="232">
        <f>5*AN389</f>
        <v>0.22900000000000001</v>
      </c>
      <c r="AT389" t="s">
        <v>208</v>
      </c>
      <c r="AU389">
        <v>15074000</v>
      </c>
      <c r="AV389">
        <v>23763000</v>
      </c>
      <c r="AW389">
        <v>43200495.933926739</v>
      </c>
      <c r="AX389">
        <v>4363495.9339267388</v>
      </c>
      <c r="AY389">
        <v>4363495.9339267388</v>
      </c>
      <c r="AZ389">
        <v>557422000</v>
      </c>
      <c r="BA389">
        <v>7.8279937532546948E-3</v>
      </c>
    </row>
    <row r="390" spans="1:53" x14ac:dyDescent="0.25">
      <c r="A390" t="s">
        <v>746</v>
      </c>
      <c r="B390">
        <f>SUM(B387:B389)</f>
        <v>25132</v>
      </c>
      <c r="C390">
        <f t="shared" ref="C390:AC390" si="67">SUM(C387:C389)</f>
        <v>81230</v>
      </c>
      <c r="D390">
        <f t="shared" si="67"/>
        <v>687</v>
      </c>
      <c r="E390">
        <f t="shared" si="67"/>
        <v>4543</v>
      </c>
      <c r="F390">
        <f t="shared" si="67"/>
        <v>3907</v>
      </c>
      <c r="G390">
        <f t="shared" si="67"/>
        <v>13663</v>
      </c>
      <c r="H390">
        <f t="shared" si="67"/>
        <v>1371</v>
      </c>
      <c r="I390">
        <f t="shared" si="67"/>
        <v>1327</v>
      </c>
      <c r="J390">
        <f t="shared" si="67"/>
        <v>0</v>
      </c>
      <c r="K390">
        <f t="shared" si="67"/>
        <v>11962</v>
      </c>
      <c r="L390">
        <f t="shared" si="67"/>
        <v>-1677</v>
      </c>
      <c r="M390">
        <f t="shared" si="67"/>
        <v>9533</v>
      </c>
      <c r="N390">
        <f t="shared" si="67"/>
        <v>3839</v>
      </c>
      <c r="O390">
        <f t="shared" si="67"/>
        <v>91625</v>
      </c>
      <c r="P390">
        <f t="shared" si="67"/>
        <v>13862</v>
      </c>
      <c r="Q390">
        <f t="shared" si="67"/>
        <v>39307</v>
      </c>
      <c r="R390">
        <f t="shared" si="67"/>
        <v>4</v>
      </c>
      <c r="S390">
        <f t="shared" si="67"/>
        <v>0</v>
      </c>
      <c r="T390">
        <f t="shared" si="67"/>
        <v>7172</v>
      </c>
      <c r="U390">
        <f t="shared" si="67"/>
        <v>3547</v>
      </c>
      <c r="V390">
        <f t="shared" si="67"/>
        <v>42</v>
      </c>
      <c r="W390">
        <f t="shared" si="67"/>
        <v>84761</v>
      </c>
      <c r="X390">
        <f t="shared" si="67"/>
        <v>-1196</v>
      </c>
      <c r="Y390">
        <f t="shared" si="67"/>
        <v>35969</v>
      </c>
      <c r="Z390">
        <f t="shared" si="67"/>
        <v>1657432.8916187915</v>
      </c>
      <c r="AA390">
        <f t="shared" si="67"/>
        <v>1420656.7642446784</v>
      </c>
      <c r="AB390">
        <f t="shared" si="67"/>
        <v>68428</v>
      </c>
      <c r="AC390">
        <f t="shared" si="67"/>
        <v>37934</v>
      </c>
      <c r="AD390" t="s">
        <v>746</v>
      </c>
      <c r="AT390" t="s">
        <v>510</v>
      </c>
      <c r="AU390">
        <v>2005198896</v>
      </c>
      <c r="AV390">
        <v>2021058501.0549998</v>
      </c>
      <c r="AW390">
        <v>5605562366.179985</v>
      </c>
      <c r="AX390">
        <v>1579304969.1249852</v>
      </c>
      <c r="AY390">
        <v>1674111827.2301047</v>
      </c>
      <c r="AZ390">
        <v>57331155000</v>
      </c>
      <c r="BA390">
        <v>2.7547063531599619E-2</v>
      </c>
    </row>
    <row r="392" spans="1:53" x14ac:dyDescent="0.25">
      <c r="A392" s="269" t="s">
        <v>168</v>
      </c>
      <c r="B392">
        <v>4911</v>
      </c>
      <c r="C392">
        <v>61726</v>
      </c>
      <c r="D392">
        <v>0</v>
      </c>
      <c r="E392">
        <v>1970</v>
      </c>
      <c r="F392">
        <v>600</v>
      </c>
      <c r="G392">
        <v>0</v>
      </c>
      <c r="H392">
        <v>3802</v>
      </c>
      <c r="I392">
        <v>0</v>
      </c>
      <c r="J392">
        <v>0</v>
      </c>
      <c r="K392">
        <v>3063</v>
      </c>
      <c r="L392">
        <v>14</v>
      </c>
      <c r="M392">
        <v>15805</v>
      </c>
      <c r="N392">
        <v>321</v>
      </c>
      <c r="O392">
        <v>21676</v>
      </c>
      <c r="P392">
        <v>6199</v>
      </c>
      <c r="Q392">
        <v>45988</v>
      </c>
      <c r="R392">
        <v>1</v>
      </c>
      <c r="S392">
        <v>3055</v>
      </c>
      <c r="T392">
        <v>6811</v>
      </c>
      <c r="U392">
        <v>8482</v>
      </c>
      <c r="V392">
        <v>-1</v>
      </c>
      <c r="W392">
        <v>75135</v>
      </c>
      <c r="X392">
        <v>332</v>
      </c>
      <c r="Y392">
        <v>23789</v>
      </c>
      <c r="Z392">
        <v>724090.70503750909</v>
      </c>
      <c r="AA392">
        <v>620649.17574643646</v>
      </c>
      <c r="AB392">
        <v>70301</v>
      </c>
      <c r="AC392">
        <v>-3664</v>
      </c>
      <c r="AD392" t="s">
        <v>168</v>
      </c>
      <c r="AE392" s="232">
        <f>S392/SUM(O392:U392)</f>
        <v>3.3130178284821933E-2</v>
      </c>
      <c r="AF392" s="232">
        <f>SUM(Q392,R392,S392,T392,U392,-E392,-F392,-G392,-J392,-K392,-L392,-M392,-N392)/W392</f>
        <v>0.56650029946097025</v>
      </c>
      <c r="AG392" s="232">
        <f>SUM(E392,F392)/W392</f>
        <v>3.4205097491182536E-2</v>
      </c>
      <c r="AH392" s="232">
        <f>SUM(H392,I392)/W392</f>
        <v>5.0602249284621016E-2</v>
      </c>
      <c r="AI392" s="232">
        <f>SUM(AF392,0.12*AG392,-0.7*AH392)</f>
        <v>0.53518333666067752</v>
      </c>
      <c r="AJ392" s="232">
        <f>X392/W392</f>
        <v>4.4187129832967322E-3</v>
      </c>
      <c r="AK392" s="232">
        <f>AA392/(1000*W392)</f>
        <v>8.2604535269373315E-3</v>
      </c>
      <c r="AL392" s="232">
        <f>(AC392/4)/W392</f>
        <v>-1.2191388833433153E-2</v>
      </c>
      <c r="AM392" s="232">
        <f>SUM(O392,P392)/SUM(O392,P392,Q392,R392,S392,T392,U392)</f>
        <v>0.30229254326985644</v>
      </c>
      <c r="AN392" s="232">
        <v>4.07E-2</v>
      </c>
      <c r="AO392" s="232">
        <f>5*AN392</f>
        <v>0.20350000000000001</v>
      </c>
    </row>
    <row r="393" spans="1:53" x14ac:dyDescent="0.25">
      <c r="A393" s="269" t="s">
        <v>169</v>
      </c>
      <c r="B393">
        <v>143</v>
      </c>
      <c r="C393">
        <v>15025</v>
      </c>
      <c r="D393">
        <v>69</v>
      </c>
      <c r="E393">
        <v>410</v>
      </c>
      <c r="F393">
        <v>351</v>
      </c>
      <c r="G393">
        <v>0</v>
      </c>
      <c r="H393">
        <v>228</v>
      </c>
      <c r="I393">
        <v>0</v>
      </c>
      <c r="J393">
        <v>0</v>
      </c>
      <c r="K393">
        <v>1796</v>
      </c>
      <c r="L393">
        <v>327</v>
      </c>
      <c r="M393">
        <v>4183</v>
      </c>
      <c r="N393">
        <v>247</v>
      </c>
      <c r="O393">
        <v>3786</v>
      </c>
      <c r="P393">
        <v>3264</v>
      </c>
      <c r="Q393">
        <v>11352</v>
      </c>
      <c r="R393">
        <v>0</v>
      </c>
      <c r="S393">
        <v>721</v>
      </c>
      <c r="T393">
        <v>2059</v>
      </c>
      <c r="U393">
        <v>1597</v>
      </c>
      <c r="V393">
        <v>0</v>
      </c>
      <c r="W393">
        <v>23808</v>
      </c>
      <c r="X393">
        <v>-763</v>
      </c>
      <c r="Y393">
        <v>8671</v>
      </c>
      <c r="Z393">
        <v>203045.8512896325</v>
      </c>
      <c r="AA393">
        <v>174039.30110539927</v>
      </c>
      <c r="AB393">
        <v>18579</v>
      </c>
      <c r="AC393">
        <v>-3411</v>
      </c>
      <c r="AD393" t="s">
        <v>169</v>
      </c>
      <c r="AE393" s="232">
        <f>S393/SUM(O393:U393)</f>
        <v>3.1651960138724261E-2</v>
      </c>
      <c r="AF393" s="232">
        <f>SUM(Q393,R393,S393,T393,U393,-E393,-F393,-G393,-J393,-K393,-L393,-M393,-N393)/W393</f>
        <v>0.35345262096774194</v>
      </c>
      <c r="AG393" s="232">
        <f>SUM(E393,F393)/W393</f>
        <v>3.1964045698924734E-2</v>
      </c>
      <c r="AH393" s="232">
        <f>SUM(H393,I393)/W393</f>
        <v>9.5766129032258066E-3</v>
      </c>
      <c r="AI393" s="232">
        <f>SUM(AF393,0.12*AG393,-0.7*AH393)</f>
        <v>0.35058467741935484</v>
      </c>
      <c r="AJ393" s="232">
        <f>X393/W393</f>
        <v>-3.204805107526882E-2</v>
      </c>
      <c r="AK393" s="232">
        <f>AA393/(1000*W393)</f>
        <v>7.3101184940103855E-3</v>
      </c>
      <c r="AL393" s="232">
        <f>(AC393/4)/W393</f>
        <v>-3.5817792338709679E-2</v>
      </c>
      <c r="AM393" s="232">
        <f>SUM(O393,P393)/SUM(O393,P393,Q393,R393,S393,T393,U393)</f>
        <v>0.30949558804161725</v>
      </c>
      <c r="AN393" s="232">
        <v>4.2999999999999997E-2</v>
      </c>
      <c r="AO393" s="232">
        <f>5*AN393</f>
        <v>0.21499999999999997</v>
      </c>
    </row>
    <row r="394" spans="1:53" x14ac:dyDescent="0.25">
      <c r="A394" s="269" t="s">
        <v>500</v>
      </c>
      <c r="B394">
        <v>2088</v>
      </c>
      <c r="C394">
        <v>25215</v>
      </c>
      <c r="D394">
        <v>1117</v>
      </c>
      <c r="E394">
        <v>6</v>
      </c>
      <c r="F394">
        <v>3462</v>
      </c>
      <c r="G394">
        <v>0</v>
      </c>
      <c r="H394">
        <v>197</v>
      </c>
      <c r="I394">
        <v>0</v>
      </c>
      <c r="J394">
        <v>0</v>
      </c>
      <c r="K394">
        <v>20</v>
      </c>
      <c r="L394">
        <v>28</v>
      </c>
      <c r="M394">
        <v>6948</v>
      </c>
      <c r="N394">
        <v>666</v>
      </c>
      <c r="O394">
        <v>8729</v>
      </c>
      <c r="P394">
        <v>2884</v>
      </c>
      <c r="Q394">
        <v>20480</v>
      </c>
      <c r="R394">
        <v>0</v>
      </c>
      <c r="S394">
        <v>910</v>
      </c>
      <c r="T394">
        <v>3515</v>
      </c>
      <c r="U394">
        <v>3229</v>
      </c>
      <c r="V394">
        <v>0</v>
      </c>
      <c r="W394">
        <v>35067</v>
      </c>
      <c r="X394">
        <v>-2576</v>
      </c>
      <c r="Y394">
        <v>12827</v>
      </c>
      <c r="Z394">
        <v>799969.62453090074</v>
      </c>
      <c r="AA394">
        <v>685688.24959791498</v>
      </c>
      <c r="AB394">
        <v>30872</v>
      </c>
      <c r="AC394">
        <v>-3569</v>
      </c>
      <c r="AD394" t="s">
        <v>500</v>
      </c>
      <c r="AE394" s="232">
        <f>S394/SUM(O394:U394)</f>
        <v>2.2894809671170153E-2</v>
      </c>
      <c r="AF394" s="232">
        <f>SUM(Q394,R394,S394,T394,U394,-E394,-F394,-G394,-J394,-K394,-L394,-M394,-N394)/W394</f>
        <v>0.48490033364701857</v>
      </c>
      <c r="AG394" s="232">
        <f>SUM(E394,F394)/W394</f>
        <v>9.8896398323209858E-2</v>
      </c>
      <c r="AH394" s="232">
        <f>SUM(H394,I394)/W394</f>
        <v>5.6178173211281265E-3</v>
      </c>
      <c r="AI394" s="232">
        <f>SUM(AF394,0.12*AG394,-0.7*AH394)</f>
        <v>0.49283542932101404</v>
      </c>
      <c r="AJ394" s="232">
        <f>X394/W394</f>
        <v>-7.3459377762568792E-2</v>
      </c>
      <c r="AK394" s="232">
        <f>AA394/(1000*W394)</f>
        <v>1.9553661550686257E-2</v>
      </c>
      <c r="AL394" s="232">
        <f>(AC394/4)/W394</f>
        <v>-2.5444149770439444E-2</v>
      </c>
      <c r="AM394" s="232">
        <f>SUM(O394,P394)/SUM(O394,P394,Q394,R394,S394,T394,U394)</f>
        <v>0.29217299418824061</v>
      </c>
      <c r="AN394" s="232">
        <v>4.8500000000000001E-2</v>
      </c>
      <c r="AO394" s="232">
        <f>5*AN394</f>
        <v>0.24249999999999999</v>
      </c>
    </row>
    <row r="395" spans="1:53" x14ac:dyDescent="0.25">
      <c r="A395" s="214" t="s">
        <v>751</v>
      </c>
      <c r="B395">
        <f>SUM(B392:B394)</f>
        <v>7142</v>
      </c>
      <c r="C395">
        <f t="shared" ref="C395:AC395" si="68">SUM(C392:C394)</f>
        <v>101966</v>
      </c>
      <c r="D395">
        <f t="shared" si="68"/>
        <v>1186</v>
      </c>
      <c r="E395">
        <f t="shared" si="68"/>
        <v>2386</v>
      </c>
      <c r="F395">
        <f t="shared" si="68"/>
        <v>4413</v>
      </c>
      <c r="G395">
        <f t="shared" si="68"/>
        <v>0</v>
      </c>
      <c r="H395">
        <f t="shared" si="68"/>
        <v>4227</v>
      </c>
      <c r="I395">
        <f t="shared" si="68"/>
        <v>0</v>
      </c>
      <c r="J395">
        <f t="shared" si="68"/>
        <v>0</v>
      </c>
      <c r="K395">
        <f t="shared" si="68"/>
        <v>4879</v>
      </c>
      <c r="L395">
        <f t="shared" si="68"/>
        <v>369</v>
      </c>
      <c r="M395">
        <f t="shared" si="68"/>
        <v>26936</v>
      </c>
      <c r="N395">
        <f t="shared" si="68"/>
        <v>1234</v>
      </c>
      <c r="O395">
        <f t="shared" si="68"/>
        <v>34191</v>
      </c>
      <c r="P395">
        <f t="shared" si="68"/>
        <v>12347</v>
      </c>
      <c r="Q395">
        <f t="shared" si="68"/>
        <v>77820</v>
      </c>
      <c r="R395">
        <f t="shared" si="68"/>
        <v>1</v>
      </c>
      <c r="S395">
        <f t="shared" si="68"/>
        <v>4686</v>
      </c>
      <c r="T395">
        <f t="shared" si="68"/>
        <v>12385</v>
      </c>
      <c r="U395">
        <f t="shared" si="68"/>
        <v>13308</v>
      </c>
      <c r="V395">
        <f t="shared" si="68"/>
        <v>-1</v>
      </c>
      <c r="W395">
        <f t="shared" si="68"/>
        <v>134010</v>
      </c>
      <c r="X395">
        <f t="shared" si="68"/>
        <v>-3007</v>
      </c>
      <c r="Y395">
        <f t="shared" si="68"/>
        <v>45287</v>
      </c>
      <c r="Z395">
        <f t="shared" si="68"/>
        <v>1727106.1808580423</v>
      </c>
      <c r="AA395">
        <f t="shared" si="68"/>
        <v>1480376.7264497508</v>
      </c>
      <c r="AB395">
        <f t="shared" si="68"/>
        <v>119752</v>
      </c>
      <c r="AC395">
        <f t="shared" si="68"/>
        <v>-10644</v>
      </c>
      <c r="AD395" s="214" t="s">
        <v>751</v>
      </c>
      <c r="AE395" s="232"/>
      <c r="AF395" s="232"/>
      <c r="AG395" s="232"/>
      <c r="AH395" s="232"/>
      <c r="AI395" s="232"/>
      <c r="AJ395" s="232"/>
      <c r="AK395" s="232"/>
      <c r="AL395" s="232"/>
      <c r="AM395" s="232"/>
    </row>
    <row r="396" spans="1:53" x14ac:dyDescent="0.25">
      <c r="A396" s="214"/>
      <c r="AE396" s="232"/>
      <c r="AF396" s="232"/>
      <c r="AG396" s="232"/>
      <c r="AH396" s="232"/>
      <c r="AI396" s="232"/>
      <c r="AJ396" s="232"/>
      <c r="AK396" s="232"/>
      <c r="AL396" s="232"/>
      <c r="AM396" s="232"/>
    </row>
    <row r="397" spans="1:53" x14ac:dyDescent="0.25">
      <c r="A397" s="269" t="s">
        <v>238</v>
      </c>
      <c r="B397">
        <v>5087</v>
      </c>
      <c r="C397">
        <v>22577</v>
      </c>
      <c r="D397">
        <v>48</v>
      </c>
      <c r="E397">
        <v>47</v>
      </c>
      <c r="F397">
        <v>1143</v>
      </c>
      <c r="G397">
        <v>0</v>
      </c>
      <c r="H397">
        <v>3810</v>
      </c>
      <c r="I397">
        <v>239</v>
      </c>
      <c r="J397">
        <v>0</v>
      </c>
      <c r="K397">
        <v>852</v>
      </c>
      <c r="L397">
        <v>-364</v>
      </c>
      <c r="M397">
        <v>2826</v>
      </c>
      <c r="N397">
        <v>271</v>
      </c>
      <c r="O397">
        <v>11075</v>
      </c>
      <c r="P397">
        <v>3107</v>
      </c>
      <c r="Q397">
        <v>19293</v>
      </c>
      <c r="R397">
        <v>102</v>
      </c>
      <c r="S397">
        <v>0</v>
      </c>
      <c r="T397">
        <v>1551</v>
      </c>
      <c r="U397">
        <v>1408</v>
      </c>
      <c r="V397">
        <v>0</v>
      </c>
      <c r="W397">
        <v>29781</v>
      </c>
      <c r="X397">
        <v>1473</v>
      </c>
      <c r="Y397">
        <v>12397</v>
      </c>
      <c r="Z397">
        <v>1633982.7081169914</v>
      </c>
      <c r="AA397">
        <v>1400556.6069574212</v>
      </c>
      <c r="AB397">
        <v>28210</v>
      </c>
      <c r="AC397">
        <v>-546</v>
      </c>
      <c r="AD397" t="s">
        <v>238</v>
      </c>
      <c r="AE397" s="232">
        <f>S397/SUM(O397:U397)</f>
        <v>0</v>
      </c>
      <c r="AF397" s="232">
        <f>SUM(Q397,R397,S397,T397,U397,-E397,-F397,-G397,-J397,-K397,-L397,-M397,-N397)/W397</f>
        <v>0.59027567912427381</v>
      </c>
      <c r="AG397" s="232">
        <f>SUM(E397,F397)/W397</f>
        <v>3.9958362714482387E-2</v>
      </c>
      <c r="AH397" s="232">
        <f>SUM(H397,I397)/W397</f>
        <v>0.1359591685974279</v>
      </c>
      <c r="AI397" s="232">
        <f>SUM(AF397,0.12*AG397,-0.7*AH397)</f>
        <v>0.49989926463181222</v>
      </c>
      <c r="AJ397" s="232">
        <f>X397/W397</f>
        <v>4.9461065780195428E-2</v>
      </c>
      <c r="AK397" s="232">
        <f>AA397/(1000*W397)</f>
        <v>4.7028528489890239E-2</v>
      </c>
      <c r="AL397" s="232">
        <f>(AC397/4)/W397</f>
        <v>-4.5834592525435683E-3</v>
      </c>
      <c r="AM397" s="232">
        <f>SUM(O397,P397)/SUM(O397,P397,Q397,R397,S397,T397,U397)</f>
        <v>0.3881650974381432</v>
      </c>
      <c r="AN397" s="232">
        <v>2.81E-2</v>
      </c>
      <c r="AO397" s="232">
        <f>5*AN397</f>
        <v>0.14050000000000001</v>
      </c>
    </row>
    <row r="398" spans="1:53" x14ac:dyDescent="0.25">
      <c r="A398" s="269" t="s">
        <v>227</v>
      </c>
      <c r="B398">
        <v>0</v>
      </c>
      <c r="C398">
        <v>71315</v>
      </c>
      <c r="D398">
        <v>2756</v>
      </c>
      <c r="E398">
        <v>0</v>
      </c>
      <c r="F398">
        <v>1288</v>
      </c>
      <c r="G398">
        <v>0</v>
      </c>
      <c r="H398">
        <v>42714</v>
      </c>
      <c r="I398">
        <v>0</v>
      </c>
      <c r="J398">
        <v>0</v>
      </c>
      <c r="K398">
        <v>1291</v>
      </c>
      <c r="L398">
        <v>-244</v>
      </c>
      <c r="M398">
        <v>15217</v>
      </c>
      <c r="N398">
        <v>-416</v>
      </c>
      <c r="O398">
        <v>54411</v>
      </c>
      <c r="P398">
        <v>6977</v>
      </c>
      <c r="Q398">
        <v>56300</v>
      </c>
      <c r="R398">
        <v>0</v>
      </c>
      <c r="S398">
        <v>8000</v>
      </c>
      <c r="T398">
        <v>4992</v>
      </c>
      <c r="U398">
        <v>3241</v>
      </c>
      <c r="V398">
        <v>0</v>
      </c>
      <c r="W398">
        <v>69852</v>
      </c>
      <c r="X398">
        <v>8774</v>
      </c>
      <c r="Y398">
        <v>26818</v>
      </c>
      <c r="Z398">
        <v>1298012.5439875461</v>
      </c>
      <c r="AA398">
        <v>1112582.1805607539</v>
      </c>
      <c r="AB398">
        <v>42700</v>
      </c>
      <c r="AC398">
        <v>28615</v>
      </c>
      <c r="AD398" t="s">
        <v>227</v>
      </c>
      <c r="AE398" s="232">
        <f>S398/SUM(O398:U398)</f>
        <v>5.9736710448697369E-2</v>
      </c>
      <c r="AF398" s="232">
        <f>SUM(Q398,R398,S398,T398,U398,-E398,-F398,-G398,-J398,-K398,-L398,-M398,-N398)/W398</f>
        <v>0.79306247494703086</v>
      </c>
      <c r="AG398" s="232">
        <f>SUM(E398,F398)/W398</f>
        <v>1.8438985283170131E-2</v>
      </c>
      <c r="AH398" s="232">
        <f>SUM(H398,I398)/W398</f>
        <v>0.61149287064078339</v>
      </c>
      <c r="AI398" s="232">
        <f>SUM(AF398,0.12*AG398,-0.7*AH398)</f>
        <v>0.36723014373246293</v>
      </c>
      <c r="AJ398" s="232">
        <f>X398/W398</f>
        <v>0.12560842925041515</v>
      </c>
      <c r="AK398" s="232">
        <f>AA398/(1000*W398)</f>
        <v>1.5927706873972883E-2</v>
      </c>
      <c r="AL398" s="232">
        <f>(AC398/4)/W398</f>
        <v>0.10241295882723472</v>
      </c>
      <c r="AM398" s="232">
        <f>SUM(O398,P398)/SUM(O398,P398,Q398,R398,S398,T398,U398)</f>
        <v>0.45838964762807927</v>
      </c>
      <c r="AN398" s="232">
        <v>6.7000000000000002E-3</v>
      </c>
      <c r="AO398" s="232">
        <f>5*AN398</f>
        <v>3.3500000000000002E-2</v>
      </c>
    </row>
    <row r="399" spans="1:53" x14ac:dyDescent="0.25">
      <c r="A399" s="269" t="s">
        <v>232</v>
      </c>
      <c r="B399">
        <v>734</v>
      </c>
      <c r="C399">
        <v>19608</v>
      </c>
      <c r="D399">
        <v>533</v>
      </c>
      <c r="E399">
        <v>0</v>
      </c>
      <c r="F399">
        <v>1037</v>
      </c>
      <c r="G399">
        <v>0</v>
      </c>
      <c r="H399">
        <v>3615</v>
      </c>
      <c r="I399">
        <v>1</v>
      </c>
      <c r="J399">
        <v>0</v>
      </c>
      <c r="K399">
        <v>1155</v>
      </c>
      <c r="L399">
        <v>264</v>
      </c>
      <c r="M399">
        <v>4198</v>
      </c>
      <c r="N399">
        <v>586</v>
      </c>
      <c r="O399">
        <v>6544</v>
      </c>
      <c r="P399">
        <v>2759</v>
      </c>
      <c r="Q399">
        <v>15927</v>
      </c>
      <c r="R399">
        <v>0</v>
      </c>
      <c r="S399">
        <v>2000</v>
      </c>
      <c r="T399">
        <v>3127</v>
      </c>
      <c r="U399">
        <v>1374</v>
      </c>
      <c r="V399">
        <v>-2</v>
      </c>
      <c r="W399">
        <v>21538</v>
      </c>
      <c r="X399">
        <v>-1009</v>
      </c>
      <c r="Y399">
        <v>11134</v>
      </c>
      <c r="Z399">
        <v>1265980.8857608791</v>
      </c>
      <c r="AA399">
        <v>1085126.4735093249</v>
      </c>
      <c r="AB399">
        <v>13376</v>
      </c>
      <c r="AC399">
        <v>6966</v>
      </c>
      <c r="AD399" t="s">
        <v>232</v>
      </c>
      <c r="AE399" s="232">
        <f>S399/SUM(O399:U399)</f>
        <v>6.3029844631432977E-2</v>
      </c>
      <c r="AF399" s="232">
        <f>SUM(Q399,R399,S399,T399,U399,-E399,-F399,-G399,-J399,-K399,-L399,-M399,-N399)/W399</f>
        <v>0.70517225369115055</v>
      </c>
      <c r="AG399" s="232">
        <f>SUM(E399,F399)/W399</f>
        <v>4.8147460302720775E-2</v>
      </c>
      <c r="AH399" s="232">
        <f>SUM(H399,I399)/W399</f>
        <v>0.16788931191382672</v>
      </c>
      <c r="AI399" s="232">
        <f>SUM(AF399,0.12*AG399,-0.7*AH399)</f>
        <v>0.59342743058779845</v>
      </c>
      <c r="AJ399" s="232">
        <f>X399/W399</f>
        <v>-4.6847432444980963E-2</v>
      </c>
      <c r="AK399" s="232">
        <f>AA399/(1000*W399)</f>
        <v>5.0381951597610039E-2</v>
      </c>
      <c r="AL399" s="232">
        <f>(AC399/4)/W399</f>
        <v>8.0857089794781317E-2</v>
      </c>
      <c r="AM399" s="232">
        <f>SUM(O399,P399)/SUM(O399,P399,Q399,R399,S399,T399,U399)</f>
        <v>0.29318332230311051</v>
      </c>
      <c r="AN399" s="232">
        <v>4.99E-2</v>
      </c>
      <c r="AO399" s="232">
        <f>5*AN399</f>
        <v>0.2495</v>
      </c>
    </row>
    <row r="400" spans="1:53" x14ac:dyDescent="0.25">
      <c r="A400" s="214" t="s">
        <v>840</v>
      </c>
      <c r="B400">
        <f>SUM(B397:B399)</f>
        <v>5821</v>
      </c>
      <c r="C400">
        <f t="shared" ref="C400:AC400" si="69">SUM(C397:C399)</f>
        <v>113500</v>
      </c>
      <c r="D400">
        <f t="shared" si="69"/>
        <v>3337</v>
      </c>
      <c r="E400">
        <f t="shared" si="69"/>
        <v>47</v>
      </c>
      <c r="F400">
        <f t="shared" si="69"/>
        <v>3468</v>
      </c>
      <c r="G400">
        <f t="shared" si="69"/>
        <v>0</v>
      </c>
      <c r="H400">
        <f t="shared" si="69"/>
        <v>50139</v>
      </c>
      <c r="I400">
        <f t="shared" si="69"/>
        <v>240</v>
      </c>
      <c r="J400">
        <f t="shared" si="69"/>
        <v>0</v>
      </c>
      <c r="K400">
        <f t="shared" si="69"/>
        <v>3298</v>
      </c>
      <c r="L400">
        <f t="shared" si="69"/>
        <v>-344</v>
      </c>
      <c r="M400">
        <f t="shared" si="69"/>
        <v>22241</v>
      </c>
      <c r="N400">
        <f t="shared" si="69"/>
        <v>441</v>
      </c>
      <c r="O400">
        <f t="shared" si="69"/>
        <v>72030</v>
      </c>
      <c r="P400">
        <f t="shared" si="69"/>
        <v>12843</v>
      </c>
      <c r="Q400">
        <f t="shared" si="69"/>
        <v>91520</v>
      </c>
      <c r="R400">
        <f t="shared" si="69"/>
        <v>102</v>
      </c>
      <c r="S400">
        <f t="shared" si="69"/>
        <v>10000</v>
      </c>
      <c r="T400">
        <f t="shared" si="69"/>
        <v>9670</v>
      </c>
      <c r="U400">
        <f t="shared" si="69"/>
        <v>6023</v>
      </c>
      <c r="V400">
        <f t="shared" si="69"/>
        <v>-2</v>
      </c>
      <c r="W400">
        <f t="shared" si="69"/>
        <v>121171</v>
      </c>
      <c r="X400">
        <f t="shared" si="69"/>
        <v>9238</v>
      </c>
      <c r="Y400">
        <f t="shared" si="69"/>
        <v>50349</v>
      </c>
      <c r="Z400">
        <f t="shared" si="69"/>
        <v>4197976.1378654167</v>
      </c>
      <c r="AA400">
        <f t="shared" si="69"/>
        <v>3598265.2610275</v>
      </c>
      <c r="AB400">
        <f t="shared" si="69"/>
        <v>84286</v>
      </c>
      <c r="AC400">
        <f t="shared" si="69"/>
        <v>35035</v>
      </c>
      <c r="AD400" s="214" t="s">
        <v>840</v>
      </c>
      <c r="AE400" s="232"/>
      <c r="AF400" s="232"/>
      <c r="AG400" s="232"/>
      <c r="AH400" s="232"/>
      <c r="AI400" s="232"/>
      <c r="AJ400" s="232"/>
      <c r="AK400" s="232"/>
      <c r="AL400" s="232"/>
      <c r="AM400" s="232"/>
    </row>
    <row r="401" spans="1:41" x14ac:dyDescent="0.25">
      <c r="A401" s="214"/>
      <c r="AE401" s="232"/>
      <c r="AF401" s="232"/>
      <c r="AG401" s="232"/>
      <c r="AH401" s="232"/>
      <c r="AI401" s="232"/>
      <c r="AJ401" s="232"/>
      <c r="AK401" s="232"/>
      <c r="AL401" s="232"/>
      <c r="AM401" s="232"/>
    </row>
    <row r="402" spans="1:41" x14ac:dyDescent="0.25">
      <c r="A402" s="269" t="s">
        <v>363</v>
      </c>
      <c r="B402">
        <v>87</v>
      </c>
      <c r="C402">
        <v>74527</v>
      </c>
      <c r="D402">
        <v>1627</v>
      </c>
      <c r="E402">
        <v>3314</v>
      </c>
      <c r="F402">
        <v>475</v>
      </c>
      <c r="G402">
        <v>0</v>
      </c>
      <c r="H402">
        <v>11923</v>
      </c>
      <c r="I402">
        <v>0</v>
      </c>
      <c r="J402">
        <v>0</v>
      </c>
      <c r="K402">
        <v>2</v>
      </c>
      <c r="L402">
        <v>149</v>
      </c>
      <c r="M402">
        <v>5766</v>
      </c>
      <c r="N402">
        <v>1636</v>
      </c>
      <c r="O402">
        <v>20433</v>
      </c>
      <c r="P402">
        <v>7111</v>
      </c>
      <c r="Q402">
        <v>57485</v>
      </c>
      <c r="R402">
        <v>0</v>
      </c>
      <c r="S402">
        <v>5000</v>
      </c>
      <c r="T402">
        <v>5770</v>
      </c>
      <c r="U402">
        <v>3707</v>
      </c>
      <c r="V402">
        <v>1</v>
      </c>
      <c r="W402">
        <v>60154</v>
      </c>
      <c r="X402">
        <v>-752</v>
      </c>
      <c r="Y402">
        <v>29295</v>
      </c>
      <c r="Z402">
        <v>3390255.3170692828</v>
      </c>
      <c r="AA402">
        <v>2905933.1289165281</v>
      </c>
      <c r="AB402">
        <v>76808</v>
      </c>
      <c r="AC402">
        <v>-2194</v>
      </c>
      <c r="AD402" t="s">
        <v>363</v>
      </c>
      <c r="AE402" s="232">
        <f>S402/SUM(O402:U402)</f>
        <v>5.0248226237613811E-2</v>
      </c>
      <c r="AF402" s="232">
        <f>SUM(Q402,R402,S402,T402,U402,-E402,-F402,-G402,-J402,-K402,-L402,-M402,-N402)/W402</f>
        <v>1.0077467832563087</v>
      </c>
      <c r="AG402" s="232">
        <f>SUM(E402,F402)/W402</f>
        <v>6.2988329953120328E-2</v>
      </c>
      <c r="AH402" s="232">
        <f>SUM(H402,I402)/W402</f>
        <v>0.19820793297203843</v>
      </c>
      <c r="AI402" s="232">
        <f>SUM(AF402,0.12*AG402,-0.7*AH402)</f>
        <v>0.87655982977025637</v>
      </c>
      <c r="AJ402" s="232">
        <f>X402/W402</f>
        <v>-1.2501246799880307E-2</v>
      </c>
      <c r="AK402" s="232">
        <f>AA402/(1000*W402)</f>
        <v>4.8308227697518503E-2</v>
      </c>
      <c r="AL402" s="232">
        <f>(AC402/4)/W402</f>
        <v>-9.1182631246467406E-3</v>
      </c>
      <c r="AM402" s="232">
        <f>SUM(O402,P402)/SUM(O402,P402,Q402,R402,S402,T402,U402)</f>
        <v>0.27680742869776698</v>
      </c>
      <c r="AN402" s="232">
        <v>2.0899999999999998E-2</v>
      </c>
      <c r="AO402" s="232">
        <f>5*AN402</f>
        <v>0.1045</v>
      </c>
    </row>
    <row r="403" spans="1:41" x14ac:dyDescent="0.25">
      <c r="A403" s="269" t="s">
        <v>343</v>
      </c>
      <c r="B403">
        <v>17797</v>
      </c>
      <c r="C403">
        <v>18041</v>
      </c>
      <c r="D403">
        <v>1083</v>
      </c>
      <c r="E403">
        <v>0</v>
      </c>
      <c r="F403">
        <v>34282</v>
      </c>
      <c r="G403">
        <v>5531</v>
      </c>
      <c r="H403">
        <v>689</v>
      </c>
      <c r="I403">
        <v>0</v>
      </c>
      <c r="J403">
        <v>0</v>
      </c>
      <c r="K403">
        <v>11600</v>
      </c>
      <c r="L403">
        <v>200</v>
      </c>
      <c r="M403">
        <v>1208</v>
      </c>
      <c r="N403">
        <v>3796</v>
      </c>
      <c r="O403">
        <v>77331</v>
      </c>
      <c r="P403">
        <v>11500</v>
      </c>
      <c r="Q403">
        <v>0</v>
      </c>
      <c r="R403">
        <v>0</v>
      </c>
      <c r="S403">
        <v>0</v>
      </c>
      <c r="T403">
        <v>2937</v>
      </c>
      <c r="U403">
        <v>2459</v>
      </c>
      <c r="V403">
        <v>3</v>
      </c>
      <c r="W403">
        <v>29259</v>
      </c>
      <c r="X403">
        <v>435</v>
      </c>
      <c r="Y403">
        <v>14551</v>
      </c>
      <c r="Z403">
        <v>2165196.1198516106</v>
      </c>
      <c r="AA403">
        <v>1855882.3884442376</v>
      </c>
      <c r="AB403">
        <v>16357</v>
      </c>
      <c r="AC403">
        <v>19481</v>
      </c>
      <c r="AD403" t="s">
        <v>343</v>
      </c>
      <c r="AE403" s="232">
        <f>S403/SUM(O403:U403)</f>
        <v>0</v>
      </c>
      <c r="AF403" s="232">
        <f>SUM(Q403,R403,S403,T403,U403,-E403,-F403,-G403,-J403,-K403,-L403,-M403,-N403)/W403</f>
        <v>-1.7506066509450084</v>
      </c>
      <c r="AG403" s="232">
        <f>SUM(E403,F403)/W403</f>
        <v>1.1716736730578625</v>
      </c>
      <c r="AH403" s="232">
        <f>SUM(H403,I403)/W403</f>
        <v>2.3548309921733485E-2</v>
      </c>
      <c r="AI403" s="232">
        <f>SUM(AF403,0.12*AG403,-0.7*AH403)</f>
        <v>-1.6264896271232785</v>
      </c>
      <c r="AJ403" s="232">
        <f>X403/W403</f>
        <v>1.486722034245873E-2</v>
      </c>
      <c r="AK403" s="232">
        <f>AA403/(1000*W403)</f>
        <v>6.342945379008981E-2</v>
      </c>
      <c r="AL403" s="232">
        <f>(AC403/4)/W403</f>
        <v>0.16645305717898767</v>
      </c>
      <c r="AM403" s="232">
        <f>SUM(O403,P403)/SUM(O403,P403,Q403,R403,S403,T403,U403)</f>
        <v>0.94273403589204796</v>
      </c>
      <c r="AN403" s="232">
        <v>0.06</v>
      </c>
      <c r="AO403" s="232">
        <f>5*AN403</f>
        <v>0.3</v>
      </c>
    </row>
    <row r="404" spans="1:41" x14ac:dyDescent="0.25">
      <c r="A404" t="s">
        <v>750</v>
      </c>
      <c r="B404">
        <f>SUM(B402:B403)</f>
        <v>17884</v>
      </c>
      <c r="C404">
        <f>SUM(C402:C403)</f>
        <v>92568</v>
      </c>
      <c r="D404">
        <f t="shared" ref="D404:AC404" si="70">SUM(D402:D403)</f>
        <v>2710</v>
      </c>
      <c r="E404">
        <f t="shared" si="70"/>
        <v>3314</v>
      </c>
      <c r="F404">
        <f t="shared" si="70"/>
        <v>34757</v>
      </c>
      <c r="G404">
        <f t="shared" si="70"/>
        <v>5531</v>
      </c>
      <c r="H404">
        <f t="shared" si="70"/>
        <v>12612</v>
      </c>
      <c r="I404">
        <f t="shared" si="70"/>
        <v>0</v>
      </c>
      <c r="J404">
        <f t="shared" si="70"/>
        <v>0</v>
      </c>
      <c r="K404">
        <f t="shared" si="70"/>
        <v>11602</v>
      </c>
      <c r="L404">
        <f t="shared" si="70"/>
        <v>349</v>
      </c>
      <c r="M404">
        <f t="shared" si="70"/>
        <v>6974</v>
      </c>
      <c r="N404">
        <f t="shared" si="70"/>
        <v>5432</v>
      </c>
      <c r="O404">
        <f t="shared" si="70"/>
        <v>97764</v>
      </c>
      <c r="P404">
        <f t="shared" si="70"/>
        <v>18611</v>
      </c>
      <c r="Q404">
        <f t="shared" si="70"/>
        <v>57485</v>
      </c>
      <c r="R404">
        <f t="shared" si="70"/>
        <v>0</v>
      </c>
      <c r="S404">
        <f t="shared" si="70"/>
        <v>5000</v>
      </c>
      <c r="T404">
        <f t="shared" si="70"/>
        <v>8707</v>
      </c>
      <c r="U404">
        <f t="shared" si="70"/>
        <v>6166</v>
      </c>
      <c r="V404">
        <f t="shared" si="70"/>
        <v>4</v>
      </c>
      <c r="W404">
        <f t="shared" si="70"/>
        <v>89413</v>
      </c>
      <c r="X404">
        <f t="shared" si="70"/>
        <v>-317</v>
      </c>
      <c r="Y404">
        <f t="shared" si="70"/>
        <v>43846</v>
      </c>
      <c r="Z404">
        <f t="shared" si="70"/>
        <v>5555451.4369208934</v>
      </c>
      <c r="AA404">
        <f t="shared" si="70"/>
        <v>4761815.5173607655</v>
      </c>
      <c r="AB404">
        <f t="shared" si="70"/>
        <v>93165</v>
      </c>
      <c r="AC404">
        <f t="shared" si="70"/>
        <v>17287</v>
      </c>
      <c r="AD404" t="s">
        <v>750</v>
      </c>
    </row>
    <row r="406" spans="1:41" x14ac:dyDescent="0.25">
      <c r="A406" s="269" t="s">
        <v>152</v>
      </c>
      <c r="B406">
        <v>132</v>
      </c>
      <c r="C406">
        <v>66325</v>
      </c>
      <c r="D406">
        <v>102</v>
      </c>
      <c r="E406">
        <v>0</v>
      </c>
      <c r="F406">
        <v>289</v>
      </c>
      <c r="G406">
        <v>0</v>
      </c>
      <c r="H406">
        <v>23687</v>
      </c>
      <c r="I406">
        <v>0</v>
      </c>
      <c r="J406">
        <v>0</v>
      </c>
      <c r="K406">
        <v>0</v>
      </c>
      <c r="L406">
        <v>396</v>
      </c>
      <c r="M406">
        <v>5360</v>
      </c>
      <c r="N406">
        <v>829</v>
      </c>
      <c r="O406">
        <v>7601</v>
      </c>
      <c r="P406">
        <v>908</v>
      </c>
      <c r="Q406">
        <v>74909</v>
      </c>
      <c r="R406">
        <v>18</v>
      </c>
      <c r="S406">
        <v>3641</v>
      </c>
      <c r="T406">
        <v>6241</v>
      </c>
      <c r="U406">
        <v>3802</v>
      </c>
      <c r="V406">
        <v>1</v>
      </c>
      <c r="W406">
        <v>55696</v>
      </c>
      <c r="X406">
        <v>-797</v>
      </c>
      <c r="Y406">
        <v>19669</v>
      </c>
      <c r="Z406">
        <v>1056226.255884598</v>
      </c>
      <c r="AA406">
        <v>905336.79075822677</v>
      </c>
      <c r="AB406">
        <v>66405</v>
      </c>
      <c r="AC406">
        <v>52</v>
      </c>
      <c r="AD406" t="s">
        <v>152</v>
      </c>
      <c r="AE406" s="232">
        <f>S406/SUM(O406:U406)</f>
        <v>3.7489703459637563E-2</v>
      </c>
      <c r="AF406" s="232">
        <f>SUM(Q406,R406,S406,T406,U406,-E406,-F406,-G406,-J406,-K406,-L406,-M406,-N406)/W406</f>
        <v>1.4675560183855214</v>
      </c>
      <c r="AG406" s="232">
        <f>SUM(E406,F406)/W406</f>
        <v>5.1888825050272914E-3</v>
      </c>
      <c r="AH406" s="232">
        <f>SUM(H406,I406)/W406</f>
        <v>0.42529086469405342</v>
      </c>
      <c r="AI406" s="232">
        <f>SUM(AF406,0.12*AG406,-0.7*AH406)</f>
        <v>1.1704750790002874</v>
      </c>
      <c r="AJ406" s="232">
        <f>X406/W406</f>
        <v>-1.4309824762999138E-2</v>
      </c>
      <c r="AK406" s="232">
        <f>AA406/(1000*W406)</f>
        <v>1.6254969670321508E-2</v>
      </c>
      <c r="AL406" s="232">
        <f>(AC406/4)/W406</f>
        <v>2.334099396725079E-4</v>
      </c>
      <c r="AM406" s="232">
        <f>SUM(O406,P406)/SUM(O406,P406,Q406,R406,S406,T406,U406)</f>
        <v>8.7613261943986817E-2</v>
      </c>
      <c r="AN406" s="232">
        <v>2.1299999999999999E-2</v>
      </c>
      <c r="AO406" s="232">
        <f>5*AN406</f>
        <v>0.1065</v>
      </c>
    </row>
    <row r="407" spans="1:41" x14ac:dyDescent="0.25">
      <c r="A407" s="269" t="s">
        <v>149</v>
      </c>
      <c r="B407">
        <v>27</v>
      </c>
      <c r="C407">
        <v>29163</v>
      </c>
      <c r="D407">
        <v>140</v>
      </c>
      <c r="E407">
        <v>110</v>
      </c>
      <c r="F407">
        <v>767</v>
      </c>
      <c r="G407">
        <v>0</v>
      </c>
      <c r="H407">
        <v>4387</v>
      </c>
      <c r="I407">
        <v>0</v>
      </c>
      <c r="J407">
        <v>0</v>
      </c>
      <c r="K407">
        <v>0</v>
      </c>
      <c r="L407">
        <v>1011</v>
      </c>
      <c r="M407">
        <v>2647</v>
      </c>
      <c r="N407">
        <v>251</v>
      </c>
      <c r="O407">
        <v>4571</v>
      </c>
      <c r="P407">
        <v>476</v>
      </c>
      <c r="Q407">
        <v>25499</v>
      </c>
      <c r="R407">
        <v>0</v>
      </c>
      <c r="S407">
        <v>3900</v>
      </c>
      <c r="T407">
        <v>3171</v>
      </c>
      <c r="U407">
        <v>886</v>
      </c>
      <c r="V407">
        <v>2</v>
      </c>
      <c r="W407">
        <v>30109</v>
      </c>
      <c r="X407">
        <v>-479</v>
      </c>
      <c r="Y407">
        <v>12143</v>
      </c>
      <c r="Z407">
        <v>906362.06260504108</v>
      </c>
      <c r="AA407">
        <v>776881.76794717798</v>
      </c>
      <c r="AB407">
        <v>30721</v>
      </c>
      <c r="AC407">
        <v>-1531</v>
      </c>
      <c r="AD407" t="s">
        <v>149</v>
      </c>
      <c r="AE407" s="232">
        <f>S407/SUM(O407:U407)</f>
        <v>0.10129080850842792</v>
      </c>
      <c r="AF407" s="232">
        <f>SUM(Q407,R407,S407,T407,U407,-E407,-F407,-G407,-J407,-K407,-L407,-M407,-N407)/W407</f>
        <v>0.95220698130127202</v>
      </c>
      <c r="AG407" s="232">
        <f>SUM(E407,F407)/W407</f>
        <v>2.9127503404297719E-2</v>
      </c>
      <c r="AH407" s="232">
        <f>SUM(H407,I407)/W407</f>
        <v>0.14570394234282108</v>
      </c>
      <c r="AI407" s="232">
        <f>SUM(AF407,0.12*AG407,-0.7*AH407)</f>
        <v>0.85370952206981299</v>
      </c>
      <c r="AJ407" s="232">
        <f>X407/W407</f>
        <v>-1.5908864459131821E-2</v>
      </c>
      <c r="AK407" s="232">
        <f>AA407/(1000*W407)</f>
        <v>2.580231053662287E-2</v>
      </c>
      <c r="AL407" s="232">
        <f>(AC407/4)/W407</f>
        <v>-1.2712145870005647E-2</v>
      </c>
      <c r="AM407" s="232">
        <f>SUM(O407,P407)/SUM(O407,P407,Q407,R407,S407,T407,U407)</f>
        <v>0.13108069501077838</v>
      </c>
      <c r="AN407" s="232">
        <v>3.7199999999999997E-2</v>
      </c>
      <c r="AO407" s="232">
        <f>5*AN407</f>
        <v>0.186</v>
      </c>
    </row>
    <row r="408" spans="1:41" x14ac:dyDescent="0.25">
      <c r="A408" s="269" t="s">
        <v>154</v>
      </c>
      <c r="B408">
        <v>3397</v>
      </c>
      <c r="C408">
        <v>19825</v>
      </c>
      <c r="D408">
        <v>133</v>
      </c>
      <c r="E408">
        <v>53</v>
      </c>
      <c r="F408">
        <v>2620</v>
      </c>
      <c r="G408">
        <v>0</v>
      </c>
      <c r="H408">
        <v>1534</v>
      </c>
      <c r="I408">
        <v>0</v>
      </c>
      <c r="J408">
        <v>0</v>
      </c>
      <c r="K408">
        <v>0</v>
      </c>
      <c r="L408">
        <v>350</v>
      </c>
      <c r="M408">
        <v>1741</v>
      </c>
      <c r="N408">
        <v>1198</v>
      </c>
      <c r="O408">
        <v>9175</v>
      </c>
      <c r="P408">
        <v>953</v>
      </c>
      <c r="Q408">
        <v>16950</v>
      </c>
      <c r="R408">
        <v>0</v>
      </c>
      <c r="S408">
        <v>0</v>
      </c>
      <c r="T408">
        <v>2864</v>
      </c>
      <c r="U408">
        <v>909</v>
      </c>
      <c r="V408">
        <v>-1</v>
      </c>
      <c r="W408">
        <v>25322</v>
      </c>
      <c r="X408">
        <v>203</v>
      </c>
      <c r="Y408">
        <v>10488</v>
      </c>
      <c r="Z408">
        <v>980480.00693555269</v>
      </c>
      <c r="AA408">
        <v>840411.43451618811</v>
      </c>
      <c r="AB408">
        <v>24456</v>
      </c>
      <c r="AC408">
        <v>-1234</v>
      </c>
      <c r="AD408" t="s">
        <v>154</v>
      </c>
      <c r="AE408" s="232">
        <f>S408/SUM(O408:U408)</f>
        <v>0</v>
      </c>
      <c r="AF408" s="232">
        <f>SUM(Q408,R408,S408,T408,U408,-E408,-F408,-G408,-J408,-K408,-L408,-M408,-N408)/W408</f>
        <v>0.58293183792749392</v>
      </c>
      <c r="AG408" s="232">
        <f>SUM(E408,F408)/W408</f>
        <v>0.10556038227628149</v>
      </c>
      <c r="AH408" s="232">
        <f>SUM(H408,I408)/W408</f>
        <v>6.0579733038464575E-2</v>
      </c>
      <c r="AI408" s="232">
        <f>SUM(AF408,0.12*AG408,-0.7*AH408)</f>
        <v>0.55319327067372259</v>
      </c>
      <c r="AJ408" s="232">
        <f>X408/W408</f>
        <v>8.0167443329910749E-3</v>
      </c>
      <c r="AK408" s="232">
        <f>AA408/(1000*W408)</f>
        <v>3.3188983276051978E-2</v>
      </c>
      <c r="AL408" s="232">
        <f>(AC408/4)/W408</f>
        <v>-1.218308190506279E-2</v>
      </c>
      <c r="AM408" s="232">
        <f>SUM(O408,P408)/SUM(O408,P408,Q408,R408,S408,T408,U408)</f>
        <v>0.32828757576739814</v>
      </c>
      <c r="AN408" s="232">
        <v>4.3299999999999998E-2</v>
      </c>
      <c r="AO408" s="232">
        <f>5*AN408</f>
        <v>0.2165</v>
      </c>
    </row>
    <row r="409" spans="1:41" x14ac:dyDescent="0.25">
      <c r="A409" s="269" t="s">
        <v>164</v>
      </c>
      <c r="B409">
        <v>0</v>
      </c>
      <c r="C409">
        <v>53548</v>
      </c>
      <c r="D409">
        <v>92</v>
      </c>
      <c r="E409">
        <v>0</v>
      </c>
      <c r="F409">
        <v>1504</v>
      </c>
      <c r="G409">
        <v>0</v>
      </c>
      <c r="H409">
        <v>11480</v>
      </c>
      <c r="I409">
        <v>0</v>
      </c>
      <c r="J409">
        <v>0</v>
      </c>
      <c r="K409">
        <v>0</v>
      </c>
      <c r="L409">
        <v>104</v>
      </c>
      <c r="M409">
        <v>3619</v>
      </c>
      <c r="N409">
        <v>3463</v>
      </c>
      <c r="O409">
        <v>19009</v>
      </c>
      <c r="P409">
        <v>2993</v>
      </c>
      <c r="Q409">
        <v>41000</v>
      </c>
      <c r="R409">
        <v>1</v>
      </c>
      <c r="S409">
        <v>5371</v>
      </c>
      <c r="T409">
        <v>1546</v>
      </c>
      <c r="U409">
        <v>3890</v>
      </c>
      <c r="V409">
        <v>0</v>
      </c>
      <c r="W409">
        <v>41578</v>
      </c>
      <c r="X409">
        <v>-1294</v>
      </c>
      <c r="Y409">
        <v>18917</v>
      </c>
      <c r="Z409">
        <v>742010.9732019268</v>
      </c>
      <c r="AA409">
        <v>636009.40560165152</v>
      </c>
      <c r="AB409">
        <v>43856</v>
      </c>
      <c r="AC409">
        <v>9692</v>
      </c>
      <c r="AD409" t="s">
        <v>164</v>
      </c>
      <c r="AE409" s="232">
        <f>S409/SUM(O409:U409)</f>
        <v>7.27679176263379E-2</v>
      </c>
      <c r="AF409" s="232">
        <f>SUM(Q409,R409,S409,T409,U409,-E409,-F409,-G409,-J409,-K409,-L409,-M409,-N409)/W409</f>
        <v>1.0370388186059936</v>
      </c>
      <c r="AG409" s="232">
        <f>SUM(E409,F409)/W409</f>
        <v>3.6172976093126176E-2</v>
      </c>
      <c r="AH409" s="232">
        <f>SUM(H409,I409)/W409</f>
        <v>0.27610755688104288</v>
      </c>
      <c r="AI409" s="232">
        <f>SUM(AF409,0.12*AG409,-0.7*AH409)</f>
        <v>0.84810428592043863</v>
      </c>
      <c r="AJ409" s="232">
        <f>X409/W409</f>
        <v>-3.1122228101399779E-2</v>
      </c>
      <c r="AK409" s="232">
        <f>AA409/(1000*W409)</f>
        <v>1.5296777276483995E-2</v>
      </c>
      <c r="AL409" s="232">
        <f>(AC409/4)/W409</f>
        <v>5.8276011352157389E-2</v>
      </c>
      <c r="AM409" s="232">
        <f>SUM(O409,P409)/SUM(O409,P409,Q409,R409,S409,T409,U409)</f>
        <v>0.29808968974393713</v>
      </c>
      <c r="AN409" s="232">
        <v>3.7400000000000003E-2</v>
      </c>
      <c r="AO409" s="232">
        <f>5*AN409</f>
        <v>0.187</v>
      </c>
    </row>
    <row r="410" spans="1:41" x14ac:dyDescent="0.25">
      <c r="A410" s="214" t="s">
        <v>755</v>
      </c>
      <c r="B410">
        <f>SUM(B406:B409)</f>
        <v>3556</v>
      </c>
      <c r="C410">
        <f t="shared" ref="C410:AC410" si="71">SUM(C406:C409)</f>
        <v>168861</v>
      </c>
      <c r="D410">
        <f t="shared" si="71"/>
        <v>467</v>
      </c>
      <c r="E410">
        <f t="shared" si="71"/>
        <v>163</v>
      </c>
      <c r="F410">
        <f t="shared" si="71"/>
        <v>5180</v>
      </c>
      <c r="G410">
        <f t="shared" si="71"/>
        <v>0</v>
      </c>
      <c r="H410">
        <f t="shared" si="71"/>
        <v>41088</v>
      </c>
      <c r="I410">
        <f t="shared" si="71"/>
        <v>0</v>
      </c>
      <c r="J410">
        <f t="shared" si="71"/>
        <v>0</v>
      </c>
      <c r="K410">
        <f t="shared" si="71"/>
        <v>0</v>
      </c>
      <c r="L410">
        <f t="shared" si="71"/>
        <v>1861</v>
      </c>
      <c r="M410">
        <f t="shared" si="71"/>
        <v>13367</v>
      </c>
      <c r="N410">
        <f t="shared" si="71"/>
        <v>5741</v>
      </c>
      <c r="O410">
        <f t="shared" si="71"/>
        <v>40356</v>
      </c>
      <c r="P410">
        <f t="shared" si="71"/>
        <v>5330</v>
      </c>
      <c r="Q410">
        <f t="shared" si="71"/>
        <v>158358</v>
      </c>
      <c r="R410">
        <f t="shared" si="71"/>
        <v>19</v>
      </c>
      <c r="S410">
        <f t="shared" si="71"/>
        <v>12912</v>
      </c>
      <c r="T410">
        <f t="shared" si="71"/>
        <v>13822</v>
      </c>
      <c r="U410">
        <f t="shared" si="71"/>
        <v>9487</v>
      </c>
      <c r="V410">
        <f t="shared" si="71"/>
        <v>2</v>
      </c>
      <c r="W410">
        <f t="shared" si="71"/>
        <v>152705</v>
      </c>
      <c r="X410">
        <f t="shared" si="71"/>
        <v>-2367</v>
      </c>
      <c r="Y410">
        <f t="shared" si="71"/>
        <v>61217</v>
      </c>
      <c r="Z410">
        <f t="shared" si="71"/>
        <v>3685079.2986271186</v>
      </c>
      <c r="AA410">
        <f t="shared" si="71"/>
        <v>3158639.3988232445</v>
      </c>
      <c r="AB410">
        <f t="shared" si="71"/>
        <v>165438</v>
      </c>
      <c r="AC410">
        <f t="shared" si="71"/>
        <v>6979</v>
      </c>
      <c r="AD410" s="214" t="s">
        <v>755</v>
      </c>
      <c r="AE410" s="232"/>
      <c r="AF410" s="232"/>
      <c r="AG410" s="232"/>
      <c r="AH410" s="232"/>
      <c r="AI410" s="232"/>
      <c r="AJ410" s="232"/>
      <c r="AK410" s="232"/>
      <c r="AL410" s="232"/>
      <c r="AM410" s="232"/>
    </row>
    <row r="412" spans="1:41" x14ac:dyDescent="0.25">
      <c r="A412" s="269" t="s">
        <v>504</v>
      </c>
      <c r="B412">
        <v>0</v>
      </c>
      <c r="C412">
        <v>10679</v>
      </c>
      <c r="D412">
        <v>942</v>
      </c>
      <c r="E412">
        <v>0</v>
      </c>
      <c r="F412">
        <v>1312</v>
      </c>
      <c r="G412">
        <v>0</v>
      </c>
      <c r="H412">
        <v>0</v>
      </c>
      <c r="I412">
        <v>151</v>
      </c>
      <c r="J412">
        <v>0</v>
      </c>
      <c r="K412">
        <v>290</v>
      </c>
      <c r="L412">
        <v>331</v>
      </c>
      <c r="M412">
        <v>2784</v>
      </c>
      <c r="N412">
        <v>6</v>
      </c>
      <c r="O412">
        <v>7645</v>
      </c>
      <c r="P412">
        <v>3645</v>
      </c>
      <c r="Q412">
        <v>1009</v>
      </c>
      <c r="R412">
        <v>1</v>
      </c>
      <c r="S412">
        <v>0</v>
      </c>
      <c r="T412">
        <v>3512</v>
      </c>
      <c r="U412">
        <v>683</v>
      </c>
      <c r="V412">
        <v>0</v>
      </c>
      <c r="W412">
        <v>12316</v>
      </c>
      <c r="X412">
        <v>-685</v>
      </c>
      <c r="Y412">
        <v>5867</v>
      </c>
      <c r="Z412">
        <v>2218546.4569392498</v>
      </c>
      <c r="AA412">
        <v>1901611.2488050712</v>
      </c>
      <c r="AB412">
        <v>9078</v>
      </c>
      <c r="AC412">
        <v>1601</v>
      </c>
      <c r="AD412" t="s">
        <v>504</v>
      </c>
      <c r="AE412" s="232">
        <f>S412/SUM(O412:U412)</f>
        <v>0</v>
      </c>
      <c r="AF412" s="232">
        <f>SUM(Q412,R412,S412,T412,U412,-E412,-F412,-G412,-J412,-K412,-L412,-M412,-N412)/W412</f>
        <v>3.9136083143877884E-2</v>
      </c>
      <c r="AG412" s="232">
        <f>SUM(E412,F412)/W412</f>
        <v>0.10652809353686261</v>
      </c>
      <c r="AH412" s="232">
        <f>SUM(H412,I412)/W412</f>
        <v>1.2260474179928548E-2</v>
      </c>
      <c r="AI412" s="232">
        <f>SUM(AF412,0.12*AG412,-0.7*AH412)</f>
        <v>4.3337122442351411E-2</v>
      </c>
      <c r="AJ412" s="232">
        <f>X412/W412</f>
        <v>-5.561870737252355E-2</v>
      </c>
      <c r="AK412" s="232">
        <f>AA412/(1000*W412)</f>
        <v>0.15440169282275668</v>
      </c>
      <c r="AL412" s="232">
        <f>(AC412/4)/W412</f>
        <v>3.2498376096135109E-2</v>
      </c>
      <c r="AM412" s="232">
        <f>SUM(O412,P412)/SUM(O412,P412,Q412,R412,S412,T412,U412)</f>
        <v>0.68444983328281295</v>
      </c>
      <c r="AN412" s="232">
        <v>3.7699999999999997E-2</v>
      </c>
      <c r="AO412" s="232">
        <f>5*AN412</f>
        <v>0.1885</v>
      </c>
    </row>
    <row r="413" spans="1:41" x14ac:dyDescent="0.25">
      <c r="A413" s="269" t="s">
        <v>302</v>
      </c>
      <c r="B413">
        <v>44646</v>
      </c>
      <c r="C413">
        <v>563356</v>
      </c>
      <c r="D413">
        <v>32436</v>
      </c>
      <c r="E413">
        <v>63510</v>
      </c>
      <c r="F413">
        <v>803</v>
      </c>
      <c r="G413">
        <v>0</v>
      </c>
      <c r="H413">
        <v>174432</v>
      </c>
      <c r="I413">
        <v>3053</v>
      </c>
      <c r="J413">
        <v>0</v>
      </c>
      <c r="K413">
        <v>0</v>
      </c>
      <c r="L413">
        <v>21</v>
      </c>
      <c r="M413">
        <v>51054</v>
      </c>
      <c r="N413">
        <v>26873</v>
      </c>
      <c r="O413">
        <v>297366</v>
      </c>
      <c r="P413">
        <v>93464</v>
      </c>
      <c r="Q413">
        <v>445273</v>
      </c>
      <c r="R413">
        <v>0</v>
      </c>
      <c r="S413">
        <v>17138</v>
      </c>
      <c r="T413">
        <v>19515</v>
      </c>
      <c r="U413">
        <v>87366</v>
      </c>
      <c r="V413">
        <v>31</v>
      </c>
      <c r="W413">
        <v>439336</v>
      </c>
      <c r="X413">
        <v>32188</v>
      </c>
      <c r="Y413">
        <v>147282</v>
      </c>
      <c r="Z413">
        <v>6515587.1225796491</v>
      </c>
      <c r="AA413">
        <v>5584788.9622111274</v>
      </c>
      <c r="AB413">
        <v>475607</v>
      </c>
      <c r="AC413">
        <v>132395</v>
      </c>
      <c r="AD413" t="s">
        <v>302</v>
      </c>
      <c r="AE413" s="232">
        <f>S413/SUM(O413:U413)</f>
        <v>1.7849814919353998E-2</v>
      </c>
      <c r="AF413" s="232">
        <f>SUM(Q413,R413,S413,T413,U413,-E413,-F413,-G413,-J413,-K413,-L413,-M413,-N413)/W413</f>
        <v>0.97199182402534734</v>
      </c>
      <c r="AG413" s="232">
        <f>SUM(E413,F413)/W413</f>
        <v>0.14638682011034834</v>
      </c>
      <c r="AH413" s="232">
        <f>SUM(H413,I413)/W413</f>
        <v>0.40398464956206637</v>
      </c>
      <c r="AI413" s="232">
        <f>SUM(AF413,0.12*AG413,-0.7*AH413)</f>
        <v>0.70676898774514263</v>
      </c>
      <c r="AJ413" s="232">
        <f>X413/W413</f>
        <v>7.3265109164739523E-2</v>
      </c>
      <c r="AK413" s="232">
        <f>AA413/(1000*W413)</f>
        <v>1.2711885577806344E-2</v>
      </c>
      <c r="AL413" s="232">
        <f>(AC413/4)/W413</f>
        <v>7.5338123896061329E-2</v>
      </c>
      <c r="AM413" s="232">
        <f>SUM(O413,P413)/SUM(O413,P413,Q413,R413,S413,T413,U413)</f>
        <v>0.40706285242917045</v>
      </c>
      <c r="AN413" s="232">
        <v>6.4000000000000003E-3</v>
      </c>
      <c r="AO413" s="232">
        <f>5*AN413</f>
        <v>3.2000000000000001E-2</v>
      </c>
    </row>
    <row r="414" spans="1:41" x14ac:dyDescent="0.25">
      <c r="A414" s="214" t="s">
        <v>302</v>
      </c>
      <c r="B414">
        <f>SUM(B412:B413)</f>
        <v>44646</v>
      </c>
      <c r="C414">
        <f t="shared" ref="C414:AC414" si="72">SUM(C412:C413)</f>
        <v>574035</v>
      </c>
      <c r="D414">
        <f t="shared" si="72"/>
        <v>33378</v>
      </c>
      <c r="E414">
        <f t="shared" si="72"/>
        <v>63510</v>
      </c>
      <c r="F414">
        <f t="shared" si="72"/>
        <v>2115</v>
      </c>
      <c r="G414">
        <f t="shared" si="72"/>
        <v>0</v>
      </c>
      <c r="H414">
        <f t="shared" si="72"/>
        <v>174432</v>
      </c>
      <c r="I414">
        <f t="shared" si="72"/>
        <v>3204</v>
      </c>
      <c r="J414">
        <f t="shared" si="72"/>
        <v>0</v>
      </c>
      <c r="K414">
        <f t="shared" si="72"/>
        <v>290</v>
      </c>
      <c r="L414">
        <f t="shared" si="72"/>
        <v>352</v>
      </c>
      <c r="M414">
        <f t="shared" si="72"/>
        <v>53838</v>
      </c>
      <c r="N414">
        <f t="shared" si="72"/>
        <v>26879</v>
      </c>
      <c r="O414">
        <f t="shared" si="72"/>
        <v>305011</v>
      </c>
      <c r="P414">
        <f t="shared" si="72"/>
        <v>97109</v>
      </c>
      <c r="Q414">
        <f t="shared" si="72"/>
        <v>446282</v>
      </c>
      <c r="R414">
        <f t="shared" si="72"/>
        <v>1</v>
      </c>
      <c r="S414">
        <f t="shared" si="72"/>
        <v>17138</v>
      </c>
      <c r="T414">
        <f t="shared" si="72"/>
        <v>23027</v>
      </c>
      <c r="U414">
        <f t="shared" si="72"/>
        <v>88049</v>
      </c>
      <c r="V414">
        <f t="shared" si="72"/>
        <v>31</v>
      </c>
      <c r="W414">
        <f t="shared" si="72"/>
        <v>451652</v>
      </c>
      <c r="X414">
        <f t="shared" si="72"/>
        <v>31503</v>
      </c>
      <c r="Y414">
        <f t="shared" si="72"/>
        <v>153149</v>
      </c>
      <c r="Z414">
        <f t="shared" si="72"/>
        <v>8734133.5795188993</v>
      </c>
      <c r="AA414">
        <f t="shared" si="72"/>
        <v>7486400.2110161986</v>
      </c>
      <c r="AB414">
        <f t="shared" si="72"/>
        <v>484685</v>
      </c>
      <c r="AC414">
        <f t="shared" si="72"/>
        <v>133996</v>
      </c>
      <c r="AD414" t="s">
        <v>302</v>
      </c>
      <c r="AE414" s="232"/>
      <c r="AF414" s="232"/>
      <c r="AG414" s="232"/>
      <c r="AH414" s="232"/>
      <c r="AI414" s="232"/>
      <c r="AJ414" s="232"/>
      <c r="AK414" s="232"/>
      <c r="AL414" s="232"/>
      <c r="AM414" s="232"/>
    </row>
    <row r="416" spans="1:41" x14ac:dyDescent="0.25">
      <c r="A416" s="269" t="s">
        <v>365</v>
      </c>
      <c r="B416">
        <v>27573</v>
      </c>
      <c r="C416">
        <v>103453</v>
      </c>
      <c r="D416">
        <v>357</v>
      </c>
      <c r="E416">
        <v>0</v>
      </c>
      <c r="F416">
        <v>2676</v>
      </c>
      <c r="G416">
        <v>0</v>
      </c>
      <c r="H416">
        <v>25123</v>
      </c>
      <c r="I416">
        <v>0</v>
      </c>
      <c r="J416">
        <v>0</v>
      </c>
      <c r="K416">
        <v>1</v>
      </c>
      <c r="L416">
        <v>-7593</v>
      </c>
      <c r="M416">
        <v>9746</v>
      </c>
      <c r="N416">
        <v>42890</v>
      </c>
      <c r="O416">
        <v>107950</v>
      </c>
      <c r="P416">
        <v>13744</v>
      </c>
      <c r="Q416">
        <v>65863</v>
      </c>
      <c r="R416">
        <v>73</v>
      </c>
      <c r="S416">
        <v>10000</v>
      </c>
      <c r="T416">
        <v>3696</v>
      </c>
      <c r="U416">
        <v>2900</v>
      </c>
      <c r="V416">
        <v>0</v>
      </c>
      <c r="W416">
        <v>102048</v>
      </c>
      <c r="X416">
        <v>12593</v>
      </c>
      <c r="Y416">
        <v>26056</v>
      </c>
      <c r="Z416">
        <v>5526152.692739673</v>
      </c>
      <c r="AA416">
        <v>4736702.3080625776</v>
      </c>
      <c r="AB416">
        <v>102144</v>
      </c>
      <c r="AC416">
        <v>28882</v>
      </c>
      <c r="AD416" t="s">
        <v>365</v>
      </c>
      <c r="AE416" s="232">
        <f>S416/SUM(O416:U416)</f>
        <v>4.8965361902989828E-2</v>
      </c>
      <c r="AF416" s="232">
        <f>SUM(Q416,R416,S416,T416,U416,-E416,-F416,-G416,-J416,-K416,-L416,-M416,-N416)/W416</f>
        <v>0.34113358419567263</v>
      </c>
      <c r="AG416" s="232">
        <f>SUM(E416,F416)/W416</f>
        <v>2.6222953904045155E-2</v>
      </c>
      <c r="AH416" s="232">
        <f>SUM(H416,I416)/W416</f>
        <v>0.24618806835998747</v>
      </c>
      <c r="AI416" s="232">
        <f>SUM(AF416,0.12*AG416,-0.7*AH416)</f>
        <v>0.17194869081216682</v>
      </c>
      <c r="AJ416" s="232">
        <f>X416/W416</f>
        <v>0.12340271244904359</v>
      </c>
      <c r="AK416" s="232">
        <f>AA416/(1000*W416)</f>
        <v>4.6416414903404063E-2</v>
      </c>
      <c r="AL416" s="232">
        <f>(AC416/4)/W416</f>
        <v>7.0755918783317648E-2</v>
      </c>
      <c r="AM416" s="232">
        <f>SUM(O416,P416)/SUM(O416,P416,Q416,R416,S416,T416,U416)</f>
        <v>0.59587907514224436</v>
      </c>
      <c r="AN416" s="232">
        <v>1.7299999999999999E-2</v>
      </c>
      <c r="AO416" s="232">
        <f>5*AN416</f>
        <v>8.6499999999999994E-2</v>
      </c>
    </row>
    <row r="417" spans="1:41" x14ac:dyDescent="0.25">
      <c r="A417" s="269" t="s">
        <v>366</v>
      </c>
      <c r="B417">
        <v>245</v>
      </c>
      <c r="C417">
        <v>45690</v>
      </c>
      <c r="D417">
        <v>190</v>
      </c>
      <c r="E417">
        <v>7621</v>
      </c>
      <c r="F417">
        <v>1237</v>
      </c>
      <c r="G417">
        <v>12732</v>
      </c>
      <c r="H417">
        <v>3650</v>
      </c>
      <c r="I417">
        <v>0</v>
      </c>
      <c r="J417">
        <v>0</v>
      </c>
      <c r="K417">
        <v>8219</v>
      </c>
      <c r="L417">
        <v>55</v>
      </c>
      <c r="M417">
        <v>3845</v>
      </c>
      <c r="N417">
        <v>1635</v>
      </c>
      <c r="O417">
        <v>37593</v>
      </c>
      <c r="P417">
        <v>4066</v>
      </c>
      <c r="Q417">
        <v>36693</v>
      </c>
      <c r="R417">
        <v>5</v>
      </c>
      <c r="S417">
        <v>0</v>
      </c>
      <c r="T417">
        <v>5802</v>
      </c>
      <c r="U417">
        <v>960</v>
      </c>
      <c r="V417">
        <v>0</v>
      </c>
      <c r="W417">
        <v>35511</v>
      </c>
      <c r="X417">
        <v>-836</v>
      </c>
      <c r="Y417">
        <v>16605</v>
      </c>
      <c r="Z417">
        <v>3097080.2357433271</v>
      </c>
      <c r="AA417">
        <v>2654640.2020657086</v>
      </c>
      <c r="AB417">
        <v>52275</v>
      </c>
      <c r="AC417">
        <v>-6340</v>
      </c>
      <c r="AD417" t="s">
        <v>366</v>
      </c>
      <c r="AE417" s="232">
        <f>S417/SUM(O417:U417)</f>
        <v>0</v>
      </c>
      <c r="AF417" s="232">
        <f>SUM(Q417,R417,S417,T417,U417,-E417,-F417,-G417,-J417,-K417,-L417,-M417,-N417)/W417</f>
        <v>0.22854890034073949</v>
      </c>
      <c r="AG417" s="232">
        <f>SUM(E417,F417)/W417</f>
        <v>0.24944383430486328</v>
      </c>
      <c r="AH417" s="232">
        <f>SUM(H417,I417)/W417</f>
        <v>0.1027850525189378</v>
      </c>
      <c r="AI417" s="232">
        <f>SUM(AF417,0.12*AG417,-0.7*AH417)</f>
        <v>0.18653262369406665</v>
      </c>
      <c r="AJ417" s="232">
        <f>X417/W417</f>
        <v>-2.3542001070090957E-2</v>
      </c>
      <c r="AK417" s="232">
        <f>AA417/(1000*W417)</f>
        <v>7.4755433585810271E-2</v>
      </c>
      <c r="AL417" s="232">
        <f>(AC417/4)/W417</f>
        <v>-4.4634057052744223E-2</v>
      </c>
      <c r="AM417" s="232">
        <f>SUM(O417,P417)/SUM(O417,P417,Q417,R417,S417,T417,U417)</f>
        <v>0.48942069338220606</v>
      </c>
      <c r="AN417" s="232">
        <v>4.1799999999999997E-2</v>
      </c>
      <c r="AO417" s="232">
        <f>5*AN417</f>
        <v>0.20899999999999999</v>
      </c>
    </row>
    <row r="418" spans="1:41" x14ac:dyDescent="0.25">
      <c r="A418" t="s">
        <v>365</v>
      </c>
      <c r="B418">
        <f>SUM(B416:B417)</f>
        <v>27818</v>
      </c>
      <c r="C418">
        <f t="shared" ref="C418:AC418" si="73">SUM(C416:C417)</f>
        <v>149143</v>
      </c>
      <c r="D418">
        <f t="shared" si="73"/>
        <v>547</v>
      </c>
      <c r="E418">
        <f t="shared" si="73"/>
        <v>7621</v>
      </c>
      <c r="F418">
        <f t="shared" si="73"/>
        <v>3913</v>
      </c>
      <c r="G418">
        <f t="shared" si="73"/>
        <v>12732</v>
      </c>
      <c r="H418">
        <f t="shared" si="73"/>
        <v>28773</v>
      </c>
      <c r="I418">
        <f t="shared" si="73"/>
        <v>0</v>
      </c>
      <c r="J418">
        <f t="shared" si="73"/>
        <v>0</v>
      </c>
      <c r="K418">
        <f t="shared" si="73"/>
        <v>8220</v>
      </c>
      <c r="L418">
        <f t="shared" si="73"/>
        <v>-7538</v>
      </c>
      <c r="M418">
        <f t="shared" si="73"/>
        <v>13591</v>
      </c>
      <c r="N418">
        <f t="shared" si="73"/>
        <v>44525</v>
      </c>
      <c r="O418">
        <f t="shared" si="73"/>
        <v>145543</v>
      </c>
      <c r="P418">
        <f t="shared" si="73"/>
        <v>17810</v>
      </c>
      <c r="Q418">
        <f t="shared" si="73"/>
        <v>102556</v>
      </c>
      <c r="R418">
        <f t="shared" si="73"/>
        <v>78</v>
      </c>
      <c r="S418">
        <f t="shared" si="73"/>
        <v>10000</v>
      </c>
      <c r="T418">
        <f t="shared" si="73"/>
        <v>9498</v>
      </c>
      <c r="U418">
        <f t="shared" si="73"/>
        <v>3860</v>
      </c>
      <c r="V418">
        <f t="shared" si="73"/>
        <v>0</v>
      </c>
      <c r="W418">
        <f t="shared" si="73"/>
        <v>137559</v>
      </c>
      <c r="X418">
        <f t="shared" si="73"/>
        <v>11757</v>
      </c>
      <c r="Y418">
        <f t="shared" si="73"/>
        <v>42661</v>
      </c>
      <c r="Z418">
        <f t="shared" si="73"/>
        <v>8623232.928483</v>
      </c>
      <c r="AA418">
        <f t="shared" si="73"/>
        <v>7391342.5101282857</v>
      </c>
      <c r="AB418">
        <f t="shared" si="73"/>
        <v>154419</v>
      </c>
      <c r="AC418">
        <f t="shared" si="73"/>
        <v>22542</v>
      </c>
      <c r="AD418" t="s">
        <v>365</v>
      </c>
    </row>
  </sheetData>
  <sheetProtection algorithmName="SHA-512" hashValue="WEU6NWvKklyp6B1LpF4/eMF8mTdzMbA4tJ+UwfkaKdX8eA5ujgIpfonkoCULPjHBDJYLfBBGYPMTh+ouKpwmGw==" saltValue="cNF2pvi7esD+s2YTQEAV8g==" spinCount="100000" sheet="1" objects="1" scenarios="1" selectLockedCells="1"/>
  <sortState ref="AQ2:AQ356">
    <sortCondition ref="AQ2:AQ356"/>
  </sortState>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P434"/>
  <sheetViews>
    <sheetView topLeftCell="A253" workbookViewId="0">
      <selection activeCell="A295" sqref="A295"/>
    </sheetView>
  </sheetViews>
  <sheetFormatPr defaultRowHeight="13.2" x14ac:dyDescent="0.25"/>
  <cols>
    <col min="1" max="1" width="10" bestFit="1" customWidth="1"/>
    <col min="2" max="2" width="28.88671875" bestFit="1" customWidth="1"/>
    <col min="3" max="3" width="15.109375" bestFit="1" customWidth="1"/>
    <col min="4" max="4" width="22.44140625" bestFit="1" customWidth="1"/>
    <col min="5" max="5" width="23.33203125" bestFit="1" customWidth="1"/>
    <col min="6" max="6" width="25.33203125" bestFit="1" customWidth="1"/>
    <col min="7" max="7" width="20.5546875" bestFit="1" customWidth="1"/>
    <col min="8" max="8" width="20.5546875" style="80" bestFit="1" customWidth="1"/>
    <col min="9" max="10" width="22.44140625" style="80" bestFit="1" customWidth="1"/>
    <col min="11" max="12" width="23.33203125" style="80" bestFit="1" customWidth="1"/>
    <col min="13" max="13" width="26.6640625" style="99" bestFit="1" customWidth="1"/>
    <col min="14" max="14" width="8.6640625" style="195" bestFit="1" customWidth="1"/>
    <col min="15" max="15" width="6.33203125" style="195" bestFit="1" customWidth="1"/>
    <col min="16" max="16" width="6.33203125" style="196" bestFit="1" customWidth="1"/>
    <col min="17" max="22" width="6.33203125" style="195" bestFit="1" customWidth="1"/>
    <col min="23" max="23" width="6.5546875" bestFit="1" customWidth="1"/>
    <col min="24" max="26" width="6" bestFit="1" customWidth="1"/>
    <col min="27" max="28" width="29.88671875" bestFit="1" customWidth="1"/>
    <col min="29" max="29" width="21.109375" bestFit="1" customWidth="1"/>
    <col min="30" max="34" width="6" bestFit="1" customWidth="1"/>
    <col min="36" max="94" width="6" bestFit="1" customWidth="1"/>
  </cols>
  <sheetData>
    <row r="1" spans="1:23" x14ac:dyDescent="0.25">
      <c r="A1" s="89" t="s">
        <v>651</v>
      </c>
      <c r="B1" s="117" t="s">
        <v>612</v>
      </c>
      <c r="C1" s="82" t="s">
        <v>638</v>
      </c>
      <c r="D1" s="82" t="s">
        <v>695</v>
      </c>
      <c r="E1" s="82" t="s">
        <v>639</v>
      </c>
      <c r="F1" s="82" t="s">
        <v>842</v>
      </c>
      <c r="G1" s="82" t="s">
        <v>841</v>
      </c>
      <c r="H1" s="82" t="s">
        <v>667</v>
      </c>
      <c r="I1" s="82" t="s">
        <v>671</v>
      </c>
      <c r="J1" s="89" t="s">
        <v>670</v>
      </c>
      <c r="K1" s="89" t="s">
        <v>669</v>
      </c>
      <c r="L1" s="82" t="s">
        <v>668</v>
      </c>
      <c r="M1" s="82" t="s">
        <v>640</v>
      </c>
      <c r="N1" s="226" t="s">
        <v>628</v>
      </c>
      <c r="O1" s="197" t="s">
        <v>629</v>
      </c>
      <c r="P1" s="197" t="s">
        <v>630</v>
      </c>
      <c r="Q1" s="197" t="s">
        <v>631</v>
      </c>
      <c r="R1" s="197" t="s">
        <v>632</v>
      </c>
      <c r="S1" s="197" t="s">
        <v>633</v>
      </c>
      <c r="T1" s="197" t="s">
        <v>634</v>
      </c>
      <c r="U1" s="197" t="s">
        <v>635</v>
      </c>
      <c r="V1" s="197" t="s">
        <v>636</v>
      </c>
      <c r="W1" s="270">
        <v>2030</v>
      </c>
    </row>
    <row r="2" spans="1:23" x14ac:dyDescent="0.25">
      <c r="A2" t="s">
        <v>598</v>
      </c>
      <c r="B2" s="117" t="s">
        <v>129</v>
      </c>
      <c r="C2" s="86">
        <f>(SUM(W2*1000,-N2)/12)/N2</f>
        <v>-2.9084272171012891E-3</v>
      </c>
      <c r="D2" t="s">
        <v>141</v>
      </c>
      <c r="E2" s="86">
        <f>SUM(G2,-L2)/(SUM(H2,I2,J2,K2,L2))</f>
        <v>2.3065833733781835E-2</v>
      </c>
      <c r="F2" s="194">
        <v>25386</v>
      </c>
      <c r="G2" s="194">
        <v>2230</v>
      </c>
      <c r="H2" s="80">
        <v>2160</v>
      </c>
      <c r="I2" s="80">
        <v>2150</v>
      </c>
      <c r="J2" s="80">
        <v>2080</v>
      </c>
      <c r="K2" s="80">
        <v>2025</v>
      </c>
      <c r="L2" s="80">
        <v>1990</v>
      </c>
      <c r="M2" s="99" t="s">
        <v>129</v>
      </c>
      <c r="N2" s="194">
        <v>25386</v>
      </c>
      <c r="O2" s="195">
        <v>25.4</v>
      </c>
      <c r="P2" s="195">
        <v>25.3</v>
      </c>
      <c r="Q2" s="195">
        <v>25.1</v>
      </c>
      <c r="R2" s="195">
        <v>25</v>
      </c>
      <c r="S2" s="195">
        <v>24.9</v>
      </c>
      <c r="T2" s="195">
        <v>24.8</v>
      </c>
      <c r="U2" s="195">
        <v>24.7</v>
      </c>
      <c r="V2" s="195">
        <v>24.6</v>
      </c>
      <c r="W2" s="195">
        <v>24.5</v>
      </c>
    </row>
    <row r="3" spans="1:23" x14ac:dyDescent="0.25">
      <c r="A3" t="s">
        <v>600</v>
      </c>
      <c r="B3" s="117" t="s">
        <v>287</v>
      </c>
      <c r="C3" s="86">
        <f t="shared" ref="C3:C64" si="0">(SUM(W3*1000,-N3)/12)/N3</f>
        <v>1.7757323582566302E-3</v>
      </c>
      <c r="D3" t="s">
        <v>537</v>
      </c>
      <c r="E3" s="86">
        <f t="shared" ref="E3:E64" si="1">SUM(G3,-L3)/(SUM(H3,I3,J3,K3,L3))</f>
        <v>3.6155747836835603E-2</v>
      </c>
      <c r="F3" s="194">
        <v>31724</v>
      </c>
      <c r="G3" s="194">
        <v>3615</v>
      </c>
      <c r="H3" s="80">
        <v>3445</v>
      </c>
      <c r="I3" s="80">
        <v>3355</v>
      </c>
      <c r="J3" s="80">
        <v>3260</v>
      </c>
      <c r="K3" s="80">
        <v>3090</v>
      </c>
      <c r="L3" s="80">
        <v>3030</v>
      </c>
      <c r="M3" s="99" t="s">
        <v>287</v>
      </c>
      <c r="N3" s="194">
        <v>31724</v>
      </c>
      <c r="O3" s="195">
        <v>32.6</v>
      </c>
      <c r="P3" s="195">
        <v>32.799999999999997</v>
      </c>
      <c r="Q3" s="195">
        <v>33</v>
      </c>
      <c r="R3" s="195">
        <v>33.1</v>
      </c>
      <c r="S3" s="195">
        <v>32.9</v>
      </c>
      <c r="T3" s="195">
        <v>32.700000000000003</v>
      </c>
      <c r="U3" s="195">
        <v>32.700000000000003</v>
      </c>
      <c r="V3" s="195">
        <v>32.700000000000003</v>
      </c>
      <c r="W3" s="195">
        <v>32.4</v>
      </c>
    </row>
    <row r="4" spans="1:23" x14ac:dyDescent="0.25">
      <c r="A4" t="s">
        <v>601</v>
      </c>
      <c r="B4" s="117" t="s">
        <v>209</v>
      </c>
      <c r="C4" s="86">
        <f t="shared" si="0"/>
        <v>-7.1185248268967301E-3</v>
      </c>
      <c r="D4" t="s">
        <v>141</v>
      </c>
      <c r="E4" s="86">
        <f t="shared" si="1"/>
        <v>2.7932960893854747E-2</v>
      </c>
      <c r="F4" s="194">
        <v>27007</v>
      </c>
      <c r="G4" s="194">
        <v>2140</v>
      </c>
      <c r="H4" s="80">
        <v>2075</v>
      </c>
      <c r="I4" s="80">
        <v>2030</v>
      </c>
      <c r="J4" s="80">
        <v>1985</v>
      </c>
      <c r="K4" s="80">
        <v>1890</v>
      </c>
      <c r="L4" s="80">
        <v>1865</v>
      </c>
      <c r="M4" s="99" t="s">
        <v>209</v>
      </c>
      <c r="N4" s="194">
        <v>27007</v>
      </c>
      <c r="O4" s="195">
        <v>26.6</v>
      </c>
      <c r="P4" s="195">
        <v>26.4</v>
      </c>
      <c r="Q4" s="195">
        <v>26.3</v>
      </c>
      <c r="R4" s="195">
        <v>26.1</v>
      </c>
      <c r="S4" s="195">
        <v>25.9</v>
      </c>
      <c r="T4" s="195">
        <v>25.8</v>
      </c>
      <c r="U4" s="195">
        <v>25.6</v>
      </c>
      <c r="V4" s="195">
        <v>25.4</v>
      </c>
      <c r="W4" s="195">
        <v>24.7</v>
      </c>
    </row>
    <row r="5" spans="1:23" x14ac:dyDescent="0.25">
      <c r="A5" t="s">
        <v>602</v>
      </c>
      <c r="B5" s="117" t="s">
        <v>165</v>
      </c>
      <c r="C5" s="86">
        <f t="shared" si="0"/>
        <v>-1.1092772654969921E-3</v>
      </c>
      <c r="D5" t="s">
        <v>141</v>
      </c>
      <c r="E5" s="86">
        <f t="shared" si="1"/>
        <v>2.7113970588235295E-2</v>
      </c>
      <c r="F5" s="194">
        <v>27871</v>
      </c>
      <c r="G5" s="194">
        <v>2360</v>
      </c>
      <c r="H5" s="80">
        <v>2285</v>
      </c>
      <c r="I5" s="80">
        <v>2260</v>
      </c>
      <c r="J5" s="80">
        <v>2170</v>
      </c>
      <c r="K5" s="80">
        <v>2100</v>
      </c>
      <c r="L5" s="80">
        <v>2065</v>
      </c>
      <c r="M5" s="99" t="s">
        <v>165</v>
      </c>
      <c r="N5" s="194">
        <v>27871</v>
      </c>
      <c r="O5" s="195">
        <v>28</v>
      </c>
      <c r="P5" s="195">
        <v>28</v>
      </c>
      <c r="Q5" s="195">
        <v>28</v>
      </c>
      <c r="R5" s="195">
        <v>28</v>
      </c>
      <c r="S5" s="195">
        <v>27.9</v>
      </c>
      <c r="T5" s="195">
        <v>27.9</v>
      </c>
      <c r="U5" s="195">
        <v>27.8</v>
      </c>
      <c r="V5" s="195">
        <v>27.8</v>
      </c>
      <c r="W5" s="195">
        <v>27.5</v>
      </c>
    </row>
    <row r="6" spans="1:23" x14ac:dyDescent="0.25">
      <c r="A6" t="s">
        <v>603</v>
      </c>
      <c r="B6" s="117" t="s">
        <v>332</v>
      </c>
      <c r="C6" s="86">
        <f t="shared" si="0"/>
        <v>-2.4925224327018941E-4</v>
      </c>
      <c r="D6" t="s">
        <v>537</v>
      </c>
      <c r="E6" s="86">
        <f t="shared" si="1"/>
        <v>2.7237354085603113E-2</v>
      </c>
      <c r="F6" s="194">
        <v>20060</v>
      </c>
      <c r="G6" s="194">
        <v>1685</v>
      </c>
      <c r="H6" s="80">
        <v>1635</v>
      </c>
      <c r="I6" s="80">
        <v>1585</v>
      </c>
      <c r="J6" s="80">
        <v>1520</v>
      </c>
      <c r="K6" s="80">
        <v>1495</v>
      </c>
      <c r="L6" s="80">
        <v>1475</v>
      </c>
      <c r="M6" s="99" t="s">
        <v>332</v>
      </c>
      <c r="N6" s="194">
        <v>20060</v>
      </c>
      <c r="O6" s="195">
        <v>20.2</v>
      </c>
      <c r="P6" s="195">
        <v>20.100000000000001</v>
      </c>
      <c r="Q6" s="195">
        <v>20.100000000000001</v>
      </c>
      <c r="R6" s="195">
        <v>20.100000000000001</v>
      </c>
      <c r="S6" s="195">
        <v>20.100000000000001</v>
      </c>
      <c r="T6" s="195">
        <v>20.100000000000001</v>
      </c>
      <c r="U6" s="195">
        <v>20.100000000000001</v>
      </c>
      <c r="V6" s="195">
        <v>20.100000000000001</v>
      </c>
      <c r="W6" s="195">
        <v>20</v>
      </c>
    </row>
    <row r="7" spans="1:23" x14ac:dyDescent="0.25">
      <c r="A7" t="s">
        <v>603</v>
      </c>
      <c r="B7" s="117" t="s">
        <v>333</v>
      </c>
      <c r="C7" s="86">
        <f t="shared" si="0"/>
        <v>-6.8928251357477993E-3</v>
      </c>
      <c r="D7" t="s">
        <v>537</v>
      </c>
      <c r="E7" s="86">
        <f t="shared" si="1"/>
        <v>3.028664142779881E-2</v>
      </c>
      <c r="F7" s="194">
        <v>25292</v>
      </c>
      <c r="G7" s="194">
        <v>1995</v>
      </c>
      <c r="H7" s="80">
        <v>1960</v>
      </c>
      <c r="I7" s="80">
        <v>1930</v>
      </c>
      <c r="J7" s="80">
        <v>1855</v>
      </c>
      <c r="K7" s="80">
        <v>1785</v>
      </c>
      <c r="L7" s="80">
        <v>1715</v>
      </c>
      <c r="M7" s="99" t="s">
        <v>333</v>
      </c>
      <c r="N7" s="194">
        <v>25292</v>
      </c>
      <c r="O7" s="195">
        <v>24.7</v>
      </c>
      <c r="P7" s="195">
        <v>24.5</v>
      </c>
      <c r="Q7" s="195">
        <v>24.5</v>
      </c>
      <c r="R7" s="195">
        <v>24.6</v>
      </c>
      <c r="S7" s="195">
        <v>24.6</v>
      </c>
      <c r="T7" s="195">
        <v>24.5</v>
      </c>
      <c r="U7" s="195">
        <v>24.2</v>
      </c>
      <c r="V7" s="195">
        <v>24</v>
      </c>
      <c r="W7" s="195">
        <v>23.2</v>
      </c>
    </row>
    <row r="8" spans="1:23" x14ac:dyDescent="0.25">
      <c r="A8" t="s">
        <v>600</v>
      </c>
      <c r="B8" s="117" t="s">
        <v>288</v>
      </c>
      <c r="C8" s="86">
        <f t="shared" si="0"/>
        <v>5.4661165245261474E-3</v>
      </c>
      <c r="D8" t="s">
        <v>509</v>
      </c>
      <c r="E8" s="86">
        <f t="shared" si="1"/>
        <v>3.701973607380591E-2</v>
      </c>
      <c r="F8" s="194">
        <v>108578</v>
      </c>
      <c r="G8" s="194">
        <v>9830</v>
      </c>
      <c r="H8" s="80">
        <v>9405</v>
      </c>
      <c r="I8" s="80">
        <v>9100</v>
      </c>
      <c r="J8" s="80">
        <v>8840</v>
      </c>
      <c r="K8" s="80">
        <v>7225</v>
      </c>
      <c r="L8" s="80">
        <v>8245</v>
      </c>
      <c r="M8" s="99" t="s">
        <v>288</v>
      </c>
      <c r="N8" s="194">
        <v>108578</v>
      </c>
      <c r="O8" s="195">
        <v>110.7</v>
      </c>
      <c r="P8" s="195">
        <v>111.4</v>
      </c>
      <c r="Q8" s="195">
        <v>112</v>
      </c>
      <c r="R8" s="195">
        <v>112.7</v>
      </c>
      <c r="S8" s="195">
        <v>113.3</v>
      </c>
      <c r="T8" s="195">
        <v>113.9</v>
      </c>
      <c r="U8" s="195">
        <v>114.2</v>
      </c>
      <c r="V8" s="195">
        <v>114.6</v>
      </c>
      <c r="W8" s="195">
        <v>115.7</v>
      </c>
    </row>
    <row r="9" spans="1:23" x14ac:dyDescent="0.25">
      <c r="A9" t="s">
        <v>604</v>
      </c>
      <c r="B9" s="117" t="s">
        <v>185</v>
      </c>
      <c r="C9" s="86">
        <f t="shared" si="0"/>
        <v>-9.4900959986096437E-5</v>
      </c>
      <c r="D9" t="s">
        <v>509</v>
      </c>
      <c r="E9" s="86">
        <f t="shared" si="1"/>
        <v>2.3981324278438031E-2</v>
      </c>
      <c r="F9" s="194">
        <v>72883</v>
      </c>
      <c r="G9" s="194">
        <v>5125</v>
      </c>
      <c r="H9" s="80">
        <v>4945</v>
      </c>
      <c r="I9" s="80">
        <v>4870</v>
      </c>
      <c r="J9" s="80">
        <v>4680</v>
      </c>
      <c r="K9" s="80">
        <v>4505</v>
      </c>
      <c r="L9" s="80">
        <v>4560</v>
      </c>
      <c r="M9" s="99" t="s">
        <v>185</v>
      </c>
      <c r="N9" s="194">
        <v>72883</v>
      </c>
      <c r="O9" s="195">
        <v>72.7</v>
      </c>
      <c r="P9" s="195">
        <v>72.7</v>
      </c>
      <c r="Q9" s="195">
        <v>72.7</v>
      </c>
      <c r="R9" s="195">
        <v>72.599999999999994</v>
      </c>
      <c r="S9" s="195">
        <v>72.7</v>
      </c>
      <c r="T9" s="195">
        <v>72.7</v>
      </c>
      <c r="U9" s="195">
        <v>72.7</v>
      </c>
      <c r="V9" s="195">
        <v>72.8</v>
      </c>
      <c r="W9" s="195">
        <v>72.8</v>
      </c>
    </row>
    <row r="10" spans="1:23" x14ac:dyDescent="0.25">
      <c r="A10" t="s">
        <v>605</v>
      </c>
      <c r="B10" s="117" t="s">
        <v>494</v>
      </c>
      <c r="C10" s="86">
        <f t="shared" si="0"/>
        <v>8.3329724423657128E-3</v>
      </c>
      <c r="D10" t="s">
        <v>509</v>
      </c>
      <c r="E10" s="86">
        <f t="shared" si="1"/>
        <v>4.6253010341408128E-2</v>
      </c>
      <c r="F10" s="194">
        <v>207819</v>
      </c>
      <c r="G10" s="194">
        <v>16250</v>
      </c>
      <c r="H10" s="80">
        <v>15290</v>
      </c>
      <c r="I10" s="80">
        <v>14840</v>
      </c>
      <c r="J10" s="80">
        <v>14165</v>
      </c>
      <c r="K10" s="80">
        <v>13310</v>
      </c>
      <c r="L10" s="80">
        <v>12985</v>
      </c>
      <c r="M10" s="99" t="s">
        <v>494</v>
      </c>
      <c r="N10" s="194">
        <v>207819</v>
      </c>
      <c r="O10" s="195">
        <v>204.4</v>
      </c>
      <c r="P10" s="195">
        <v>206.3</v>
      </c>
      <c r="Q10" s="195">
        <v>208.3</v>
      </c>
      <c r="R10" s="195">
        <v>210.3</v>
      </c>
      <c r="S10" s="195">
        <v>212.3</v>
      </c>
      <c r="T10" s="195">
        <v>214.5</v>
      </c>
      <c r="U10" s="195">
        <v>216.7</v>
      </c>
      <c r="V10" s="195">
        <v>219.2</v>
      </c>
      <c r="W10" s="195">
        <v>228.6</v>
      </c>
    </row>
    <row r="11" spans="1:23" x14ac:dyDescent="0.25">
      <c r="A11" t="s">
        <v>603</v>
      </c>
      <c r="B11" s="117" t="s">
        <v>334</v>
      </c>
      <c r="C11" s="86">
        <f t="shared" si="0"/>
        <v>1.3989456872846044E-3</v>
      </c>
      <c r="D11" t="s">
        <v>537</v>
      </c>
      <c r="E11" s="86">
        <f t="shared" si="1"/>
        <v>2.8309276043415016E-2</v>
      </c>
      <c r="F11" s="194">
        <v>111036</v>
      </c>
      <c r="G11" s="194">
        <v>9790</v>
      </c>
      <c r="H11" s="80">
        <v>9415</v>
      </c>
      <c r="I11" s="80">
        <v>9240</v>
      </c>
      <c r="J11" s="80">
        <v>8910</v>
      </c>
      <c r="K11" s="80">
        <v>8595</v>
      </c>
      <c r="L11" s="80">
        <v>8525</v>
      </c>
      <c r="M11" s="99" t="s">
        <v>334</v>
      </c>
      <c r="N11" s="194">
        <v>111036</v>
      </c>
      <c r="O11" s="195">
        <v>109.9</v>
      </c>
      <c r="P11" s="195">
        <v>110.4</v>
      </c>
      <c r="Q11" s="195">
        <v>110.9</v>
      </c>
      <c r="R11" s="195">
        <v>111.4</v>
      </c>
      <c r="S11" s="195">
        <v>111.8</v>
      </c>
      <c r="T11" s="195">
        <v>112.1</v>
      </c>
      <c r="U11" s="195">
        <v>112.4</v>
      </c>
      <c r="V11" s="195">
        <v>112.5</v>
      </c>
      <c r="W11" s="195">
        <v>112.9</v>
      </c>
    </row>
    <row r="12" spans="1:23" x14ac:dyDescent="0.25">
      <c r="A12" t="s">
        <v>599</v>
      </c>
      <c r="B12" s="117" t="s">
        <v>403</v>
      </c>
      <c r="C12" s="86">
        <f t="shared" si="0"/>
        <v>-1.9643620343886645E-3</v>
      </c>
      <c r="D12" t="s">
        <v>537</v>
      </c>
      <c r="E12" s="86">
        <f t="shared" si="1"/>
        <v>3.3789954337899546E-2</v>
      </c>
      <c r="F12" s="194">
        <v>10139</v>
      </c>
      <c r="G12" s="194">
        <v>1215</v>
      </c>
      <c r="H12" s="80">
        <v>1160</v>
      </c>
      <c r="I12" s="80">
        <v>1125</v>
      </c>
      <c r="J12" s="80">
        <v>1120</v>
      </c>
      <c r="K12" s="80">
        <v>1040</v>
      </c>
      <c r="L12" s="80">
        <v>1030</v>
      </c>
      <c r="M12" s="99" t="s">
        <v>403</v>
      </c>
      <c r="N12" s="194">
        <v>10139</v>
      </c>
      <c r="O12" s="195">
        <v>9.6999999999999993</v>
      </c>
      <c r="P12" s="195">
        <v>9.6999999999999993</v>
      </c>
      <c r="Q12" s="195">
        <v>9.6999999999999993</v>
      </c>
      <c r="R12" s="195">
        <v>9.8000000000000007</v>
      </c>
      <c r="S12" s="195">
        <v>9.8000000000000007</v>
      </c>
      <c r="T12" s="195">
        <v>9.8000000000000007</v>
      </c>
      <c r="U12" s="195">
        <v>9.8000000000000007</v>
      </c>
      <c r="V12" s="195">
        <v>9.8000000000000007</v>
      </c>
      <c r="W12" s="195">
        <v>9.9</v>
      </c>
    </row>
    <row r="13" spans="1:23" x14ac:dyDescent="0.25">
      <c r="A13" t="s">
        <v>599</v>
      </c>
      <c r="B13" s="117" t="s">
        <v>745</v>
      </c>
      <c r="C13" s="86">
        <f t="shared" si="0"/>
        <v>-8.8913361376396886E-4</v>
      </c>
      <c r="D13" t="s">
        <v>537</v>
      </c>
      <c r="E13" s="86">
        <f t="shared" si="1"/>
        <v>2.7695716395864108E-2</v>
      </c>
      <c r="F13" s="194">
        <v>55391</v>
      </c>
      <c r="G13" s="194">
        <v>5880</v>
      </c>
      <c r="H13" s="80">
        <v>5655</v>
      </c>
      <c r="I13" s="80">
        <v>5600</v>
      </c>
      <c r="J13" s="80">
        <v>5440</v>
      </c>
      <c r="K13" s="80">
        <v>5255</v>
      </c>
      <c r="L13" s="80">
        <v>5130</v>
      </c>
      <c r="M13" s="99" t="s">
        <v>745</v>
      </c>
      <c r="N13" s="194">
        <v>55391</v>
      </c>
      <c r="O13" s="195">
        <v>54.099999999999994</v>
      </c>
      <c r="P13" s="195">
        <v>54.3</v>
      </c>
      <c r="Q13" s="195">
        <v>54.499999999999993</v>
      </c>
      <c r="R13" s="195">
        <v>54.6</v>
      </c>
      <c r="S13" s="195">
        <v>54.6</v>
      </c>
      <c r="T13" s="195">
        <v>54.699999999999996</v>
      </c>
      <c r="U13" s="195">
        <v>54.699999999999996</v>
      </c>
      <c r="V13" s="195">
        <v>54.8</v>
      </c>
      <c r="W13" s="195">
        <v>54.8</v>
      </c>
    </row>
    <row r="14" spans="1:23" x14ac:dyDescent="0.25">
      <c r="A14" t="s">
        <v>602</v>
      </c>
      <c r="B14" s="117" t="s">
        <v>166</v>
      </c>
      <c r="C14" s="86">
        <f t="shared" si="0"/>
        <v>5.8972963164579924E-4</v>
      </c>
      <c r="D14" t="s">
        <v>537</v>
      </c>
      <c r="E14" s="86">
        <f t="shared" si="1"/>
        <v>1.5841584158415842E-2</v>
      </c>
      <c r="F14" s="194">
        <v>3674</v>
      </c>
      <c r="G14" s="194">
        <v>525</v>
      </c>
      <c r="H14" s="80">
        <v>520</v>
      </c>
      <c r="I14" s="80">
        <v>525</v>
      </c>
      <c r="J14" s="80">
        <v>505</v>
      </c>
      <c r="K14" s="80">
        <v>490</v>
      </c>
      <c r="L14" s="80">
        <v>485</v>
      </c>
      <c r="M14" s="99" t="s">
        <v>166</v>
      </c>
      <c r="N14" s="194">
        <v>3674</v>
      </c>
      <c r="O14" s="195">
        <v>3.7</v>
      </c>
      <c r="P14" s="195">
        <v>3.7</v>
      </c>
      <c r="Q14" s="195">
        <v>3.7</v>
      </c>
      <c r="R14" s="195">
        <v>3.7</v>
      </c>
      <c r="S14" s="195">
        <v>3.7</v>
      </c>
      <c r="T14" s="195">
        <v>3.7</v>
      </c>
      <c r="U14" s="195">
        <v>3.7</v>
      </c>
      <c r="V14" s="195">
        <v>3.7</v>
      </c>
      <c r="W14" s="195">
        <v>3.7</v>
      </c>
    </row>
    <row r="15" spans="1:23" x14ac:dyDescent="0.25">
      <c r="A15" t="s">
        <v>606</v>
      </c>
      <c r="B15" s="117" t="s">
        <v>262</v>
      </c>
      <c r="C15" s="86">
        <f t="shared" si="0"/>
        <v>8.5341301222908953E-3</v>
      </c>
      <c r="D15" t="s">
        <v>509</v>
      </c>
      <c r="E15" s="86">
        <f t="shared" si="1"/>
        <v>3.9339903018926953E-2</v>
      </c>
      <c r="F15" s="194">
        <v>156294</v>
      </c>
      <c r="G15" s="194">
        <v>14330</v>
      </c>
      <c r="H15" s="80">
        <v>13735</v>
      </c>
      <c r="I15" s="80">
        <v>13375</v>
      </c>
      <c r="J15" s="80">
        <v>12785</v>
      </c>
      <c r="K15" s="80">
        <v>12220</v>
      </c>
      <c r="L15" s="80">
        <v>11815</v>
      </c>
      <c r="M15" s="99" t="s">
        <v>262</v>
      </c>
      <c r="N15" s="194">
        <v>156294</v>
      </c>
      <c r="O15" s="195">
        <v>158.69999999999999</v>
      </c>
      <c r="P15" s="195">
        <v>160.1</v>
      </c>
      <c r="Q15" s="195">
        <v>161.4</v>
      </c>
      <c r="R15" s="195">
        <v>162.5</v>
      </c>
      <c r="S15" s="195">
        <v>163.6</v>
      </c>
      <c r="T15" s="195">
        <v>164.6</v>
      </c>
      <c r="U15" s="195">
        <v>165.9</v>
      </c>
      <c r="V15" s="195">
        <v>167.2</v>
      </c>
      <c r="W15" s="195">
        <v>172.3</v>
      </c>
    </row>
    <row r="16" spans="1:23" x14ac:dyDescent="0.25">
      <c r="A16" t="s">
        <v>600</v>
      </c>
      <c r="B16" s="117" t="s">
        <v>289</v>
      </c>
      <c r="C16" s="86">
        <f t="shared" si="0"/>
        <v>8.8749307291150579E-3</v>
      </c>
      <c r="D16" t="s">
        <v>537</v>
      </c>
      <c r="E16" s="86">
        <f t="shared" si="1"/>
        <v>4.8005598320503849E-2</v>
      </c>
      <c r="F16" s="194">
        <v>90827</v>
      </c>
      <c r="G16" s="194">
        <v>8375</v>
      </c>
      <c r="H16" s="80">
        <v>7790</v>
      </c>
      <c r="I16" s="80">
        <v>7455</v>
      </c>
      <c r="J16" s="80">
        <v>7085</v>
      </c>
      <c r="K16" s="80">
        <v>6735</v>
      </c>
      <c r="L16" s="80">
        <v>6660</v>
      </c>
      <c r="M16" s="99" t="s">
        <v>289</v>
      </c>
      <c r="N16" s="194">
        <v>90827</v>
      </c>
      <c r="O16" s="195">
        <v>92.5</v>
      </c>
      <c r="P16" s="195">
        <v>93.4</v>
      </c>
      <c r="Q16" s="195">
        <v>94.3</v>
      </c>
      <c r="R16" s="195">
        <v>95.3</v>
      </c>
      <c r="S16" s="195">
        <v>96.2</v>
      </c>
      <c r="T16" s="195">
        <v>96.9</v>
      </c>
      <c r="U16" s="195">
        <v>97.6</v>
      </c>
      <c r="V16" s="195">
        <v>98.2</v>
      </c>
      <c r="W16" s="195">
        <v>100.5</v>
      </c>
    </row>
    <row r="17" spans="1:23" x14ac:dyDescent="0.25">
      <c r="A17" t="s">
        <v>600</v>
      </c>
      <c r="B17" s="117" t="s">
        <v>290</v>
      </c>
      <c r="C17" s="86">
        <f t="shared" si="0"/>
        <v>1.0348871604406229E-2</v>
      </c>
      <c r="D17" t="s">
        <v>509</v>
      </c>
      <c r="E17" s="86">
        <f t="shared" si="1"/>
        <v>5.3189395856174972E-2</v>
      </c>
      <c r="F17" s="194">
        <v>863202</v>
      </c>
      <c r="G17" s="194">
        <v>125785</v>
      </c>
      <c r="H17" s="80">
        <v>118195</v>
      </c>
      <c r="I17" s="80">
        <v>112515</v>
      </c>
      <c r="J17" s="80">
        <v>105990</v>
      </c>
      <c r="K17" s="80">
        <v>99460</v>
      </c>
      <c r="L17" s="80">
        <v>97405</v>
      </c>
      <c r="M17" s="99" t="s">
        <v>290</v>
      </c>
      <c r="N17" s="194">
        <v>863202</v>
      </c>
      <c r="O17" s="195">
        <v>870.9</v>
      </c>
      <c r="P17" s="195">
        <v>880</v>
      </c>
      <c r="Q17" s="195">
        <v>888.1</v>
      </c>
      <c r="R17" s="195">
        <v>896.2</v>
      </c>
      <c r="S17" s="195">
        <v>905.8</v>
      </c>
      <c r="T17" s="195">
        <v>915.3</v>
      </c>
      <c r="U17" s="195">
        <v>925</v>
      </c>
      <c r="V17" s="195">
        <v>934.3</v>
      </c>
      <c r="W17" s="195">
        <v>970.4</v>
      </c>
    </row>
    <row r="18" spans="1:23" x14ac:dyDescent="0.25">
      <c r="A18" t="s">
        <v>601</v>
      </c>
      <c r="B18" s="117" t="s">
        <v>210</v>
      </c>
      <c r="C18" s="86">
        <f t="shared" si="0"/>
        <v>-9.5205265836082787E-4</v>
      </c>
      <c r="D18" t="s">
        <v>509</v>
      </c>
      <c r="E18" s="86">
        <f t="shared" si="1"/>
        <v>3.0246389124893799E-2</v>
      </c>
      <c r="F18" s="194">
        <v>162456</v>
      </c>
      <c r="G18" s="194">
        <v>12940</v>
      </c>
      <c r="H18" s="80">
        <v>12520</v>
      </c>
      <c r="I18" s="80">
        <v>12115</v>
      </c>
      <c r="J18" s="80">
        <v>11695</v>
      </c>
      <c r="K18" s="80">
        <v>11360</v>
      </c>
      <c r="L18" s="80">
        <v>11160</v>
      </c>
      <c r="M18" s="99" t="s">
        <v>210</v>
      </c>
      <c r="N18" s="194">
        <v>162456</v>
      </c>
      <c r="O18" s="195">
        <v>159.80000000000001</v>
      </c>
      <c r="P18" s="195">
        <v>159.9</v>
      </c>
      <c r="Q18" s="195">
        <v>160</v>
      </c>
      <c r="R18" s="195">
        <v>160.1</v>
      </c>
      <c r="S18" s="195">
        <v>160.19999999999999</v>
      </c>
      <c r="T18" s="195">
        <v>160.19999999999999</v>
      </c>
      <c r="U18" s="195">
        <v>160.30000000000001</v>
      </c>
      <c r="V18" s="195">
        <v>160.4</v>
      </c>
      <c r="W18" s="195">
        <v>160.6</v>
      </c>
    </row>
    <row r="19" spans="1:23" x14ac:dyDescent="0.25">
      <c r="A19" t="s">
        <v>607</v>
      </c>
      <c r="B19" s="117" t="s">
        <v>142</v>
      </c>
      <c r="C19" s="86">
        <f t="shared" si="0"/>
        <v>-1.5154102279518484E-3</v>
      </c>
      <c r="D19" t="s">
        <v>509</v>
      </c>
      <c r="E19" s="86">
        <f t="shared" si="1"/>
        <v>1.0849909584086799E-2</v>
      </c>
      <c r="F19" s="194">
        <v>11713</v>
      </c>
      <c r="G19" s="194">
        <v>570</v>
      </c>
      <c r="H19" s="80">
        <v>575</v>
      </c>
      <c r="I19" s="80">
        <v>570</v>
      </c>
      <c r="J19" s="80">
        <v>555</v>
      </c>
      <c r="K19" s="80">
        <v>525</v>
      </c>
      <c r="L19" s="80">
        <v>540</v>
      </c>
      <c r="M19" s="99" t="s">
        <v>142</v>
      </c>
      <c r="N19" s="194">
        <v>11713</v>
      </c>
      <c r="O19" s="195">
        <v>11.8</v>
      </c>
      <c r="P19" s="195">
        <v>11.8</v>
      </c>
      <c r="Q19" s="195">
        <v>11.7</v>
      </c>
      <c r="R19" s="195">
        <v>11.7</v>
      </c>
      <c r="S19" s="195">
        <v>11.6</v>
      </c>
      <c r="T19" s="195">
        <v>11.6</v>
      </c>
      <c r="U19" s="195">
        <v>11.6</v>
      </c>
      <c r="V19" s="195">
        <v>11.6</v>
      </c>
      <c r="W19" s="195">
        <v>11.5</v>
      </c>
    </row>
    <row r="20" spans="1:23" x14ac:dyDescent="0.25">
      <c r="A20" t="s">
        <v>601</v>
      </c>
      <c r="B20" s="117" t="s">
        <v>211</v>
      </c>
      <c r="C20" s="86">
        <f t="shared" si="0"/>
        <v>4.2499335539134125E-3</v>
      </c>
      <c r="D20" t="s">
        <v>509</v>
      </c>
      <c r="E20" s="86">
        <f t="shared" si="1"/>
        <v>3.7350884409707942E-2</v>
      </c>
      <c r="F20" s="194">
        <v>159277</v>
      </c>
      <c r="G20" s="194">
        <v>13635</v>
      </c>
      <c r="H20" s="80">
        <v>13010</v>
      </c>
      <c r="I20" s="80">
        <v>12690</v>
      </c>
      <c r="J20" s="80">
        <v>12110</v>
      </c>
      <c r="K20" s="80">
        <v>11600</v>
      </c>
      <c r="L20" s="80">
        <v>11365</v>
      </c>
      <c r="M20" s="99" t="s">
        <v>211</v>
      </c>
      <c r="N20" s="194">
        <v>159277</v>
      </c>
      <c r="O20" s="195">
        <v>157.6</v>
      </c>
      <c r="P20" s="195">
        <v>158.6</v>
      </c>
      <c r="Q20" s="195">
        <v>159.80000000000001</v>
      </c>
      <c r="R20" s="195">
        <v>161.1</v>
      </c>
      <c r="S20" s="195">
        <v>162.30000000000001</v>
      </c>
      <c r="T20" s="195">
        <v>163.30000000000001</v>
      </c>
      <c r="U20" s="195">
        <v>164.2</v>
      </c>
      <c r="V20" s="195">
        <v>165</v>
      </c>
      <c r="W20" s="195">
        <v>167.4</v>
      </c>
    </row>
    <row r="21" spans="1:23" x14ac:dyDescent="0.25">
      <c r="A21" t="s">
        <v>598</v>
      </c>
      <c r="B21" s="117" t="s">
        <v>130</v>
      </c>
      <c r="C21" s="86">
        <f t="shared" si="0"/>
        <v>4.082683536854495E-3</v>
      </c>
      <c r="D21" t="s">
        <v>509</v>
      </c>
      <c r="E21" s="86">
        <f t="shared" si="1"/>
        <v>3.1563126252505007E-2</v>
      </c>
      <c r="F21" s="194">
        <v>67970</v>
      </c>
      <c r="G21" s="194">
        <v>4365</v>
      </c>
      <c r="H21" s="80">
        <v>4250</v>
      </c>
      <c r="I21" s="80">
        <v>4150</v>
      </c>
      <c r="J21" s="80">
        <v>4000</v>
      </c>
      <c r="K21" s="80">
        <v>3825</v>
      </c>
      <c r="L21" s="80">
        <v>3735</v>
      </c>
      <c r="M21" s="99" t="s">
        <v>130</v>
      </c>
      <c r="N21" s="194">
        <v>67970</v>
      </c>
      <c r="O21" s="195">
        <v>67.599999999999994</v>
      </c>
      <c r="P21" s="195">
        <v>68</v>
      </c>
      <c r="Q21" s="195">
        <v>68.2</v>
      </c>
      <c r="R21" s="195">
        <v>68.599999999999994</v>
      </c>
      <c r="S21" s="195">
        <v>69</v>
      </c>
      <c r="T21" s="195">
        <v>69.400000000000006</v>
      </c>
      <c r="U21" s="195">
        <v>69.599999999999994</v>
      </c>
      <c r="V21" s="195">
        <v>69.900000000000006</v>
      </c>
      <c r="W21" s="195">
        <v>71.3</v>
      </c>
    </row>
    <row r="22" spans="1:23" x14ac:dyDescent="0.25">
      <c r="A22" t="s">
        <v>599</v>
      </c>
      <c r="B22" s="117" t="s">
        <v>404</v>
      </c>
      <c r="C22" s="86">
        <f t="shared" si="0"/>
        <v>-5.6838578437238239E-4</v>
      </c>
      <c r="D22" t="s">
        <v>537</v>
      </c>
      <c r="E22" s="86">
        <f t="shared" si="1"/>
        <v>2.2498519834221433E-2</v>
      </c>
      <c r="F22" s="194">
        <v>16714</v>
      </c>
      <c r="G22" s="194">
        <v>1820</v>
      </c>
      <c r="H22" s="80">
        <v>1760</v>
      </c>
      <c r="I22" s="80">
        <v>1725</v>
      </c>
      <c r="J22" s="80">
        <v>1685</v>
      </c>
      <c r="K22" s="80">
        <v>1645</v>
      </c>
      <c r="L22" s="80">
        <v>1630</v>
      </c>
      <c r="M22" s="99" t="s">
        <v>404</v>
      </c>
      <c r="N22" s="194">
        <v>16714</v>
      </c>
      <c r="O22" s="195">
        <v>16.7</v>
      </c>
      <c r="P22" s="195">
        <v>16.8</v>
      </c>
      <c r="Q22" s="195">
        <v>16.8</v>
      </c>
      <c r="R22" s="195">
        <v>16.7</v>
      </c>
      <c r="S22" s="195">
        <v>16.7</v>
      </c>
      <c r="T22" s="195">
        <v>16.7</v>
      </c>
      <c r="U22" s="195">
        <v>16.8</v>
      </c>
      <c r="V22" s="195">
        <v>16.7</v>
      </c>
      <c r="W22" s="195">
        <v>16.600000000000001</v>
      </c>
    </row>
    <row r="23" spans="1:23" x14ac:dyDescent="0.25">
      <c r="A23" t="s">
        <v>599</v>
      </c>
      <c r="B23" s="117" t="s">
        <v>405</v>
      </c>
      <c r="C23" s="86">
        <f t="shared" si="0"/>
        <v>-5.4517133956386299E-3</v>
      </c>
      <c r="D23" t="s">
        <v>537</v>
      </c>
      <c r="E23" s="86">
        <f t="shared" si="1"/>
        <v>2.2754491017964073E-2</v>
      </c>
      <c r="F23" s="194">
        <v>6848</v>
      </c>
      <c r="G23" s="194">
        <v>895</v>
      </c>
      <c r="H23" s="80">
        <v>865</v>
      </c>
      <c r="I23" s="80">
        <v>855</v>
      </c>
      <c r="J23" s="80">
        <v>840</v>
      </c>
      <c r="K23" s="80">
        <v>815</v>
      </c>
      <c r="L23" s="80">
        <v>800</v>
      </c>
      <c r="M23" s="99" t="s">
        <v>405</v>
      </c>
      <c r="N23" s="194">
        <v>6848</v>
      </c>
      <c r="O23" s="195">
        <v>6.7</v>
      </c>
      <c r="P23" s="195">
        <v>6.6</v>
      </c>
      <c r="Q23" s="195">
        <v>6.6</v>
      </c>
      <c r="R23" s="195">
        <v>6.6</v>
      </c>
      <c r="S23" s="195">
        <v>6.6</v>
      </c>
      <c r="T23" s="195">
        <v>6.6</v>
      </c>
      <c r="U23" s="195">
        <v>6.5</v>
      </c>
      <c r="V23" s="195">
        <v>6.5</v>
      </c>
      <c r="W23" s="195">
        <v>6.4</v>
      </c>
    </row>
    <row r="24" spans="1:23" x14ac:dyDescent="0.25">
      <c r="A24" t="s">
        <v>606</v>
      </c>
      <c r="B24" s="117" t="s">
        <v>263</v>
      </c>
      <c r="C24" s="86">
        <f t="shared" si="0"/>
        <v>1.803693533624078E-3</v>
      </c>
      <c r="D24" t="s">
        <v>141</v>
      </c>
      <c r="E24" s="86">
        <f t="shared" si="1"/>
        <v>3.1490296594653973E-2</v>
      </c>
      <c r="F24" s="194">
        <v>24764</v>
      </c>
      <c r="G24" s="194">
        <v>3015</v>
      </c>
      <c r="H24" s="80">
        <v>2910</v>
      </c>
      <c r="I24" s="80">
        <v>2810</v>
      </c>
      <c r="J24" s="80">
        <v>2730</v>
      </c>
      <c r="K24" s="80">
        <v>2620</v>
      </c>
      <c r="L24" s="80">
        <v>2585</v>
      </c>
      <c r="M24" s="99" t="s">
        <v>263</v>
      </c>
      <c r="N24" s="194">
        <v>24764</v>
      </c>
      <c r="O24" s="195">
        <v>24.9</v>
      </c>
      <c r="P24" s="195">
        <v>24.9</v>
      </c>
      <c r="Q24" s="195">
        <v>24.9</v>
      </c>
      <c r="R24" s="195">
        <v>24.9</v>
      </c>
      <c r="S24" s="195">
        <v>24.8</v>
      </c>
      <c r="T24" s="195">
        <v>24.8</v>
      </c>
      <c r="U24" s="195">
        <v>24.9</v>
      </c>
      <c r="V24" s="195">
        <v>24.9</v>
      </c>
      <c r="W24" s="195">
        <v>25.3</v>
      </c>
    </row>
    <row r="25" spans="1:23" x14ac:dyDescent="0.25">
      <c r="A25" t="s">
        <v>603</v>
      </c>
      <c r="B25" s="117" t="s">
        <v>335</v>
      </c>
      <c r="C25" s="86">
        <f t="shared" si="0"/>
        <v>-7.1680906999671374E-3</v>
      </c>
      <c r="D25" t="s">
        <v>537</v>
      </c>
      <c r="E25" s="86">
        <f t="shared" si="1"/>
        <v>2.6533996683250415E-2</v>
      </c>
      <c r="F25" s="194">
        <v>48688</v>
      </c>
      <c r="G25" s="194">
        <v>4575</v>
      </c>
      <c r="H25" s="80">
        <v>4470</v>
      </c>
      <c r="I25" s="80">
        <v>4385</v>
      </c>
      <c r="J25" s="80">
        <v>4180</v>
      </c>
      <c r="K25" s="80">
        <v>4055</v>
      </c>
      <c r="L25" s="80">
        <v>4015</v>
      </c>
      <c r="M25" s="99" t="s">
        <v>335</v>
      </c>
      <c r="N25" s="194">
        <v>48688</v>
      </c>
      <c r="O25" s="195">
        <v>47.3</v>
      </c>
      <c r="P25" s="195">
        <v>46.8</v>
      </c>
      <c r="Q25" s="195">
        <v>46.4</v>
      </c>
      <c r="R25" s="195">
        <v>46</v>
      </c>
      <c r="S25" s="195">
        <v>45.8</v>
      </c>
      <c r="T25" s="195">
        <v>45.6</v>
      </c>
      <c r="U25" s="195">
        <v>45.4</v>
      </c>
      <c r="V25" s="195">
        <v>45.3</v>
      </c>
      <c r="W25" s="195">
        <v>44.5</v>
      </c>
    </row>
    <row r="26" spans="1:23" x14ac:dyDescent="0.25">
      <c r="A26" t="s">
        <v>601</v>
      </c>
      <c r="B26" s="117" t="s">
        <v>212</v>
      </c>
      <c r="C26" s="86">
        <f t="shared" si="0"/>
        <v>8.2528180354267313E-3</v>
      </c>
      <c r="D26" t="s">
        <v>537</v>
      </c>
      <c r="E26" s="86">
        <f t="shared" si="1"/>
        <v>3.4541723666210673E-2</v>
      </c>
      <c r="F26" s="194">
        <v>57960</v>
      </c>
      <c r="G26" s="194">
        <v>6510</v>
      </c>
      <c r="H26" s="80">
        <v>6190</v>
      </c>
      <c r="I26" s="80">
        <v>6070</v>
      </c>
      <c r="J26" s="80">
        <v>5830</v>
      </c>
      <c r="K26" s="80">
        <v>5650</v>
      </c>
      <c r="L26" s="80">
        <v>5500</v>
      </c>
      <c r="M26" s="99" t="s">
        <v>212</v>
      </c>
      <c r="N26" s="194">
        <v>57960</v>
      </c>
      <c r="O26" s="195">
        <v>56.8</v>
      </c>
      <c r="P26" s="195">
        <v>57.3</v>
      </c>
      <c r="Q26" s="195">
        <v>57.8</v>
      </c>
      <c r="R26" s="195">
        <v>58.5</v>
      </c>
      <c r="S26" s="195">
        <v>59.3</v>
      </c>
      <c r="T26" s="195">
        <v>59.9</v>
      </c>
      <c r="U26" s="195">
        <v>60.6</v>
      </c>
      <c r="V26" s="195">
        <v>61.2</v>
      </c>
      <c r="W26" s="195">
        <v>63.7</v>
      </c>
    </row>
    <row r="27" spans="1:23" x14ac:dyDescent="0.25">
      <c r="A27" t="s">
        <v>608</v>
      </c>
      <c r="B27" s="117" t="s">
        <v>462</v>
      </c>
      <c r="C27" s="86">
        <f t="shared" si="0"/>
        <v>2.4748330926518906E-3</v>
      </c>
      <c r="D27" t="s">
        <v>141</v>
      </c>
      <c r="E27" s="86">
        <f t="shared" si="1"/>
        <v>2.7181688125894134E-2</v>
      </c>
      <c r="F27" s="194">
        <v>15927</v>
      </c>
      <c r="G27" s="194">
        <v>1525</v>
      </c>
      <c r="H27" s="80">
        <v>1470</v>
      </c>
      <c r="I27" s="80">
        <v>1445</v>
      </c>
      <c r="J27" s="80">
        <v>1370</v>
      </c>
      <c r="K27" s="80">
        <v>1370</v>
      </c>
      <c r="L27" s="80">
        <v>1335</v>
      </c>
      <c r="M27" s="99" t="s">
        <v>462</v>
      </c>
      <c r="N27" s="194">
        <v>15927</v>
      </c>
      <c r="O27" s="195">
        <v>17</v>
      </c>
      <c r="P27" s="195">
        <v>17</v>
      </c>
      <c r="Q27" s="195">
        <v>16.899999999999999</v>
      </c>
      <c r="R27" s="195">
        <v>16.7</v>
      </c>
      <c r="S27" s="195">
        <v>16.7</v>
      </c>
      <c r="T27" s="195">
        <v>16.600000000000001</v>
      </c>
      <c r="U27" s="195">
        <v>16.600000000000001</v>
      </c>
      <c r="V27" s="195">
        <v>16.5</v>
      </c>
      <c r="W27" s="195">
        <v>16.399999999999999</v>
      </c>
    </row>
    <row r="28" spans="1:23" x14ac:dyDescent="0.25">
      <c r="A28" t="s">
        <v>608</v>
      </c>
      <c r="B28" s="117" t="s">
        <v>746</v>
      </c>
      <c r="C28" s="86">
        <f t="shared" si="0"/>
        <v>1.5816583617938526E-3</v>
      </c>
      <c r="D28" t="s">
        <v>141</v>
      </c>
      <c r="E28" s="86">
        <f t="shared" si="1"/>
        <v>2.1011673151750974E-2</v>
      </c>
      <c r="F28" s="194">
        <v>35722</v>
      </c>
      <c r="G28" s="194">
        <v>2735</v>
      </c>
      <c r="H28" s="80">
        <v>2685</v>
      </c>
      <c r="I28" s="80">
        <v>2605</v>
      </c>
      <c r="J28" s="80">
        <v>2585</v>
      </c>
      <c r="K28" s="80">
        <v>2510</v>
      </c>
      <c r="L28" s="80">
        <v>2465</v>
      </c>
      <c r="M28" s="99" t="s">
        <v>746</v>
      </c>
      <c r="N28" s="194">
        <v>35722</v>
      </c>
      <c r="O28" s="195">
        <v>37.299999999999997</v>
      </c>
      <c r="P28" s="195">
        <v>37.5</v>
      </c>
      <c r="Q28" s="195">
        <v>37.5</v>
      </c>
      <c r="R28" s="195">
        <v>37.299999999999997</v>
      </c>
      <c r="S28" s="195">
        <v>37.199999999999996</v>
      </c>
      <c r="T28" s="195">
        <v>37.199999999999996</v>
      </c>
      <c r="U28" s="195">
        <v>37.099999999999994</v>
      </c>
      <c r="V28" s="195">
        <v>36.9</v>
      </c>
      <c r="W28" s="195">
        <v>36.4</v>
      </c>
    </row>
    <row r="29" spans="1:23" x14ac:dyDescent="0.25">
      <c r="A29" t="s">
        <v>600</v>
      </c>
      <c r="B29" s="117" t="s">
        <v>291</v>
      </c>
      <c r="C29" s="86">
        <f t="shared" si="0"/>
        <v>-1.2652167966078513E-3</v>
      </c>
      <c r="D29" t="s">
        <v>537</v>
      </c>
      <c r="E29" s="86">
        <f t="shared" si="1"/>
        <v>3.2598274209012464E-2</v>
      </c>
      <c r="F29" s="194">
        <v>9748</v>
      </c>
      <c r="G29" s="194">
        <v>1165</v>
      </c>
      <c r="H29" s="80">
        <v>1115</v>
      </c>
      <c r="I29" s="80">
        <v>1060</v>
      </c>
      <c r="J29" s="80">
        <v>1030</v>
      </c>
      <c r="K29" s="80">
        <v>1015</v>
      </c>
      <c r="L29" s="80">
        <v>995</v>
      </c>
      <c r="M29" s="99" t="s">
        <v>291</v>
      </c>
      <c r="N29" s="194">
        <v>9748</v>
      </c>
      <c r="O29" s="195">
        <v>9.3000000000000007</v>
      </c>
      <c r="P29" s="195">
        <v>9.4</v>
      </c>
      <c r="Q29" s="195">
        <v>9.5</v>
      </c>
      <c r="R29" s="195">
        <v>9.5</v>
      </c>
      <c r="S29" s="195">
        <v>9.6</v>
      </c>
      <c r="T29" s="195">
        <v>9.6</v>
      </c>
      <c r="U29" s="195">
        <v>9.6999999999999993</v>
      </c>
      <c r="V29" s="195">
        <v>9.6999999999999993</v>
      </c>
      <c r="W29" s="195">
        <v>9.6</v>
      </c>
    </row>
    <row r="30" spans="1:23" x14ac:dyDescent="0.25">
      <c r="A30" t="s">
        <v>608</v>
      </c>
      <c r="B30" s="117" t="s">
        <v>463</v>
      </c>
      <c r="C30" s="86">
        <f t="shared" si="0"/>
        <v>-7.7628271477155108E-4</v>
      </c>
      <c r="D30" t="s">
        <v>141</v>
      </c>
      <c r="E30" s="86">
        <f t="shared" si="1"/>
        <v>1.9347037484885126E-2</v>
      </c>
      <c r="F30" s="194">
        <v>13526</v>
      </c>
      <c r="G30" s="194">
        <v>885</v>
      </c>
      <c r="H30" s="80">
        <v>870</v>
      </c>
      <c r="I30" s="80">
        <v>840</v>
      </c>
      <c r="J30" s="80">
        <v>820</v>
      </c>
      <c r="K30" s="80">
        <v>800</v>
      </c>
      <c r="L30" s="80">
        <v>805</v>
      </c>
      <c r="M30" s="99" t="s">
        <v>463</v>
      </c>
      <c r="N30" s="194">
        <v>13526</v>
      </c>
      <c r="O30" s="195">
        <v>13.6</v>
      </c>
      <c r="P30" s="195">
        <v>13.6</v>
      </c>
      <c r="Q30" s="195">
        <v>13.5</v>
      </c>
      <c r="R30" s="195">
        <v>13.5</v>
      </c>
      <c r="S30" s="195">
        <v>13.5</v>
      </c>
      <c r="T30" s="195">
        <v>13.5</v>
      </c>
      <c r="U30" s="195">
        <v>13.5</v>
      </c>
      <c r="V30" s="195">
        <v>13.5</v>
      </c>
      <c r="W30" s="195">
        <v>13.4</v>
      </c>
    </row>
    <row r="31" spans="1:23" x14ac:dyDescent="0.25">
      <c r="A31" t="s">
        <v>601</v>
      </c>
      <c r="B31" s="117" t="s">
        <v>609</v>
      </c>
      <c r="C31" s="86">
        <f t="shared" si="0"/>
        <v>8.0059061535216398E-4</v>
      </c>
      <c r="D31" t="s">
        <v>141</v>
      </c>
      <c r="E31" s="86">
        <f t="shared" si="1"/>
        <v>3.3158107561665991E-2</v>
      </c>
      <c r="F31" s="194">
        <v>34766</v>
      </c>
      <c r="G31" s="194">
        <v>2750</v>
      </c>
      <c r="H31" s="80">
        <v>2655</v>
      </c>
      <c r="I31" s="80">
        <v>2515</v>
      </c>
      <c r="J31" s="80">
        <v>2475</v>
      </c>
      <c r="K31" s="80">
        <v>2380</v>
      </c>
      <c r="L31" s="80">
        <v>2340</v>
      </c>
      <c r="M31" s="99" t="s">
        <v>609</v>
      </c>
      <c r="N31" s="194">
        <v>34766</v>
      </c>
      <c r="O31" s="195">
        <v>34.5</v>
      </c>
      <c r="P31" s="195">
        <v>34.4</v>
      </c>
      <c r="Q31" s="195">
        <v>34.4</v>
      </c>
      <c r="R31" s="195">
        <v>34.4</v>
      </c>
      <c r="S31" s="195">
        <v>34.4</v>
      </c>
      <c r="T31" s="195">
        <v>34.4</v>
      </c>
      <c r="U31" s="195">
        <v>34.5</v>
      </c>
      <c r="V31" s="195">
        <v>34.6</v>
      </c>
      <c r="W31" s="195">
        <v>35.1</v>
      </c>
    </row>
    <row r="32" spans="1:23" x14ac:dyDescent="0.25">
      <c r="A32" t="s">
        <v>599</v>
      </c>
      <c r="B32" s="117" t="s">
        <v>406</v>
      </c>
      <c r="C32" s="86">
        <f t="shared" si="0"/>
        <v>9.1456272188282788E-4</v>
      </c>
      <c r="D32" t="s">
        <v>537</v>
      </c>
      <c r="E32" s="86">
        <f t="shared" si="1"/>
        <v>2.5128205128205128E-2</v>
      </c>
      <c r="F32" s="194">
        <v>18497</v>
      </c>
      <c r="G32" s="194">
        <v>2115</v>
      </c>
      <c r="H32" s="80">
        <v>2055</v>
      </c>
      <c r="I32" s="80">
        <v>2000</v>
      </c>
      <c r="J32" s="80">
        <v>1925</v>
      </c>
      <c r="K32" s="80">
        <v>1900</v>
      </c>
      <c r="L32" s="80">
        <v>1870</v>
      </c>
      <c r="M32" s="99" t="s">
        <v>406</v>
      </c>
      <c r="N32" s="194">
        <v>18497</v>
      </c>
      <c r="O32" s="195">
        <v>18.5</v>
      </c>
      <c r="P32" s="195">
        <v>18.5</v>
      </c>
      <c r="Q32" s="195">
        <v>18.5</v>
      </c>
      <c r="R32" s="195">
        <v>18.600000000000001</v>
      </c>
      <c r="S32" s="195">
        <v>18.600000000000001</v>
      </c>
      <c r="T32" s="195">
        <v>18.600000000000001</v>
      </c>
      <c r="U32" s="195">
        <v>18.600000000000001</v>
      </c>
      <c r="V32" s="195">
        <v>18.7</v>
      </c>
      <c r="W32" s="195">
        <v>18.7</v>
      </c>
    </row>
    <row r="33" spans="1:23" x14ac:dyDescent="0.25">
      <c r="A33" t="s">
        <v>608</v>
      </c>
      <c r="B33" s="117" t="s">
        <v>502</v>
      </c>
      <c r="C33" s="86">
        <f t="shared" si="0"/>
        <v>-7.195066240292371E-3</v>
      </c>
      <c r="D33" t="s">
        <v>141</v>
      </c>
      <c r="E33" s="86">
        <f t="shared" si="1"/>
        <v>2.2797927461139896E-2</v>
      </c>
      <c r="F33" s="194">
        <v>13134</v>
      </c>
      <c r="G33" s="194">
        <v>1025</v>
      </c>
      <c r="H33" s="80">
        <v>1005</v>
      </c>
      <c r="I33" s="80">
        <v>995</v>
      </c>
      <c r="J33" s="80">
        <v>970</v>
      </c>
      <c r="K33" s="80">
        <v>940</v>
      </c>
      <c r="L33" s="80">
        <v>915</v>
      </c>
      <c r="M33" s="99" t="s">
        <v>502</v>
      </c>
      <c r="N33" s="194">
        <v>13134</v>
      </c>
      <c r="O33" s="195">
        <v>12.9</v>
      </c>
      <c r="P33" s="195">
        <v>12.8</v>
      </c>
      <c r="Q33" s="195">
        <v>12.7</v>
      </c>
      <c r="R33" s="195">
        <v>12.7</v>
      </c>
      <c r="S33" s="195">
        <v>12.6</v>
      </c>
      <c r="T33" s="195">
        <v>12.5</v>
      </c>
      <c r="U33" s="195">
        <v>12.4</v>
      </c>
      <c r="V33" s="195">
        <v>12.3</v>
      </c>
      <c r="W33" s="195">
        <v>12</v>
      </c>
    </row>
    <row r="34" spans="1:23" x14ac:dyDescent="0.25">
      <c r="A34" t="s">
        <v>600</v>
      </c>
      <c r="B34" s="117" t="s">
        <v>503</v>
      </c>
      <c r="C34" s="86">
        <f t="shared" si="0"/>
        <v>-4.0741976750653542E-3</v>
      </c>
      <c r="D34" t="s">
        <v>537</v>
      </c>
      <c r="E34" s="86">
        <f t="shared" si="1"/>
        <v>2.7528809218950064E-2</v>
      </c>
      <c r="F34" s="194">
        <v>29965</v>
      </c>
      <c r="G34" s="194">
        <v>3425</v>
      </c>
      <c r="H34" s="80">
        <v>3295</v>
      </c>
      <c r="I34" s="80">
        <v>3215</v>
      </c>
      <c r="J34" s="80">
        <v>3085</v>
      </c>
      <c r="K34" s="80">
        <v>3030</v>
      </c>
      <c r="L34" s="80">
        <v>2995</v>
      </c>
      <c r="M34" s="99" t="s">
        <v>503</v>
      </c>
      <c r="N34" s="194">
        <v>29965</v>
      </c>
      <c r="O34" s="195">
        <v>29.7</v>
      </c>
      <c r="P34" s="195">
        <v>29.4</v>
      </c>
      <c r="Q34" s="195">
        <v>29.2</v>
      </c>
      <c r="R34" s="195">
        <v>29</v>
      </c>
      <c r="S34" s="195">
        <v>28.9</v>
      </c>
      <c r="T34" s="195">
        <v>28.8</v>
      </c>
      <c r="U34" s="195">
        <v>28.7</v>
      </c>
      <c r="V34" s="195">
        <v>28.6</v>
      </c>
      <c r="W34" s="195">
        <v>28.5</v>
      </c>
    </row>
    <row r="35" spans="1:23" x14ac:dyDescent="0.25">
      <c r="A35" t="s">
        <v>599</v>
      </c>
      <c r="B35" s="117" t="s">
        <v>407</v>
      </c>
      <c r="C35" s="86">
        <f t="shared" si="0"/>
        <v>2.4324526607289875E-4</v>
      </c>
      <c r="D35" t="s">
        <v>509</v>
      </c>
      <c r="E35" s="86">
        <f t="shared" si="1"/>
        <v>1.7930438539641391E-2</v>
      </c>
      <c r="F35" s="194">
        <v>66805</v>
      </c>
      <c r="G35" s="194">
        <v>4910</v>
      </c>
      <c r="H35" s="80">
        <v>4790</v>
      </c>
      <c r="I35" s="80">
        <v>4700</v>
      </c>
      <c r="J35" s="80">
        <v>4645</v>
      </c>
      <c r="K35" s="80">
        <v>4515</v>
      </c>
      <c r="L35" s="80">
        <v>4495</v>
      </c>
      <c r="M35" s="99" t="s">
        <v>407</v>
      </c>
      <c r="N35" s="194">
        <v>66805</v>
      </c>
      <c r="O35" s="195">
        <v>66.5</v>
      </c>
      <c r="P35" s="195">
        <v>66.599999999999994</v>
      </c>
      <c r="Q35" s="195">
        <v>66.8</v>
      </c>
      <c r="R35" s="195">
        <v>66.900000000000006</v>
      </c>
      <c r="S35" s="195">
        <v>66.900000000000006</v>
      </c>
      <c r="T35" s="195">
        <v>67</v>
      </c>
      <c r="U35" s="195">
        <v>67</v>
      </c>
      <c r="V35" s="195">
        <v>67</v>
      </c>
      <c r="W35" s="195">
        <v>67</v>
      </c>
    </row>
    <row r="36" spans="1:23" x14ac:dyDescent="0.25">
      <c r="A36" t="s">
        <v>601</v>
      </c>
      <c r="B36" s="117" t="s">
        <v>213</v>
      </c>
      <c r="C36" s="86">
        <f t="shared" si="0"/>
        <v>-5.6929922473556724E-3</v>
      </c>
      <c r="D36" t="s">
        <v>141</v>
      </c>
      <c r="E36" s="86">
        <f t="shared" si="1"/>
        <v>2.0303194369247428E-2</v>
      </c>
      <c r="F36" s="194">
        <v>43899</v>
      </c>
      <c r="G36" s="194">
        <v>3920</v>
      </c>
      <c r="H36" s="80">
        <v>3855</v>
      </c>
      <c r="I36" s="80">
        <v>3765</v>
      </c>
      <c r="J36" s="80">
        <v>3690</v>
      </c>
      <c r="K36" s="80">
        <v>3615</v>
      </c>
      <c r="L36" s="80">
        <v>3545</v>
      </c>
      <c r="M36" s="99" t="s">
        <v>213</v>
      </c>
      <c r="N36" s="194">
        <v>43899</v>
      </c>
      <c r="O36" s="195">
        <v>44</v>
      </c>
      <c r="P36" s="195">
        <v>43.7</v>
      </c>
      <c r="Q36" s="195">
        <v>43.4</v>
      </c>
      <c r="R36" s="195">
        <v>43.2</v>
      </c>
      <c r="S36" s="195">
        <v>42.9</v>
      </c>
      <c r="T36" s="195">
        <v>42.6</v>
      </c>
      <c r="U36" s="195">
        <v>42.3</v>
      </c>
      <c r="V36" s="195">
        <v>42</v>
      </c>
      <c r="W36" s="195">
        <v>40.9</v>
      </c>
    </row>
    <row r="37" spans="1:23" x14ac:dyDescent="0.25">
      <c r="A37" t="s">
        <v>599</v>
      </c>
      <c r="B37" s="117" t="s">
        <v>408</v>
      </c>
      <c r="C37" s="86">
        <f t="shared" si="0"/>
        <v>2.970586325563275E-3</v>
      </c>
      <c r="D37" t="s">
        <v>537</v>
      </c>
      <c r="E37" s="86">
        <f t="shared" si="1"/>
        <v>2.9650547123190964E-2</v>
      </c>
      <c r="F37" s="194">
        <v>30802</v>
      </c>
      <c r="G37" s="194">
        <v>3110</v>
      </c>
      <c r="H37" s="80">
        <v>2990</v>
      </c>
      <c r="I37" s="80">
        <v>2910</v>
      </c>
      <c r="J37" s="80">
        <v>2820</v>
      </c>
      <c r="K37" s="80">
        <v>2755</v>
      </c>
      <c r="L37" s="80">
        <v>2690</v>
      </c>
      <c r="M37" s="99" t="s">
        <v>408</v>
      </c>
      <c r="N37" s="194">
        <v>30802</v>
      </c>
      <c r="O37" s="195">
        <v>30.9</v>
      </c>
      <c r="P37" s="195">
        <v>31.1</v>
      </c>
      <c r="Q37" s="195">
        <v>31.2</v>
      </c>
      <c r="R37" s="195">
        <v>31.3</v>
      </c>
      <c r="S37" s="195">
        <v>31.4</v>
      </c>
      <c r="T37" s="195">
        <v>31.5</v>
      </c>
      <c r="U37" s="195">
        <v>31.6</v>
      </c>
      <c r="V37" s="195">
        <v>31.6</v>
      </c>
      <c r="W37" s="195">
        <v>31.9</v>
      </c>
    </row>
    <row r="38" spans="1:23" x14ac:dyDescent="0.25">
      <c r="A38" t="s">
        <v>599</v>
      </c>
      <c r="B38" s="117" t="s">
        <v>409</v>
      </c>
      <c r="C38" s="86">
        <f t="shared" si="0"/>
        <v>6.3625389799818934E-3</v>
      </c>
      <c r="D38" t="s">
        <v>537</v>
      </c>
      <c r="E38" s="86">
        <f t="shared" si="1"/>
        <v>2.9838022165387893E-2</v>
      </c>
      <c r="F38" s="194">
        <v>29823</v>
      </c>
      <c r="G38" s="194">
        <v>2575</v>
      </c>
      <c r="H38" s="80">
        <v>2500</v>
      </c>
      <c r="I38" s="80">
        <v>2450</v>
      </c>
      <c r="J38" s="80">
        <v>2325</v>
      </c>
      <c r="K38" s="80">
        <v>2230</v>
      </c>
      <c r="L38" s="80">
        <v>2225</v>
      </c>
      <c r="M38" s="99" t="s">
        <v>409</v>
      </c>
      <c r="N38" s="194">
        <v>29823</v>
      </c>
      <c r="O38" s="195">
        <v>29.7</v>
      </c>
      <c r="P38" s="195">
        <v>29.9</v>
      </c>
      <c r="Q38" s="195">
        <v>30.2</v>
      </c>
      <c r="R38" s="195">
        <v>30.5</v>
      </c>
      <c r="S38" s="195">
        <v>30.7</v>
      </c>
      <c r="T38" s="195">
        <v>30.9</v>
      </c>
      <c r="U38" s="195">
        <v>31.1</v>
      </c>
      <c r="V38" s="195">
        <v>31.4</v>
      </c>
      <c r="W38" s="195">
        <v>32.1</v>
      </c>
    </row>
    <row r="39" spans="1:23" x14ac:dyDescent="0.25">
      <c r="A39" t="s">
        <v>601</v>
      </c>
      <c r="B39" s="117" t="s">
        <v>214</v>
      </c>
      <c r="C39" s="86">
        <f t="shared" si="0"/>
        <v>-2.2397281433426011E-3</v>
      </c>
      <c r="D39" t="s">
        <v>537</v>
      </c>
      <c r="E39" s="86">
        <f t="shared" si="1"/>
        <v>3.4003091190108192E-2</v>
      </c>
      <c r="F39" s="194">
        <v>25896</v>
      </c>
      <c r="G39" s="194">
        <v>2165</v>
      </c>
      <c r="H39" s="80">
        <v>2060</v>
      </c>
      <c r="I39" s="80">
        <v>2010</v>
      </c>
      <c r="J39" s="80">
        <v>1945</v>
      </c>
      <c r="K39" s="80">
        <v>1855</v>
      </c>
      <c r="L39" s="80">
        <v>1835</v>
      </c>
      <c r="M39" s="99" t="s">
        <v>214</v>
      </c>
      <c r="N39" s="194">
        <v>25896</v>
      </c>
      <c r="O39" s="195">
        <v>25.3</v>
      </c>
      <c r="P39" s="195">
        <v>25.2</v>
      </c>
      <c r="Q39" s="195">
        <v>25.2</v>
      </c>
      <c r="R39" s="195">
        <v>25.2</v>
      </c>
      <c r="S39" s="195">
        <v>25.3</v>
      </c>
      <c r="T39" s="195">
        <v>25.3</v>
      </c>
      <c r="U39" s="195">
        <v>25.4</v>
      </c>
      <c r="V39" s="195">
        <v>25.4</v>
      </c>
      <c r="W39" s="195">
        <v>25.2</v>
      </c>
    </row>
    <row r="40" spans="1:23" x14ac:dyDescent="0.25">
      <c r="A40" t="s">
        <v>600</v>
      </c>
      <c r="B40" s="117" t="s">
        <v>292</v>
      </c>
      <c r="C40" s="86">
        <f t="shared" si="0"/>
        <v>2.8986915403549684E-3</v>
      </c>
      <c r="D40" t="s">
        <v>141</v>
      </c>
      <c r="E40" s="86">
        <f t="shared" si="1"/>
        <v>2.4270442068766253E-2</v>
      </c>
      <c r="F40" s="194">
        <v>41168</v>
      </c>
      <c r="G40" s="194">
        <v>3765</v>
      </c>
      <c r="H40" s="80">
        <v>3575</v>
      </c>
      <c r="I40" s="80">
        <v>3545</v>
      </c>
      <c r="J40" s="80">
        <v>3475</v>
      </c>
      <c r="K40" s="80">
        <v>3365</v>
      </c>
      <c r="L40" s="80">
        <v>3345</v>
      </c>
      <c r="M40" s="99" t="s">
        <v>292</v>
      </c>
      <c r="N40" s="194">
        <v>41168</v>
      </c>
      <c r="O40" s="195">
        <v>41.2</v>
      </c>
      <c r="P40" s="195">
        <v>41.4</v>
      </c>
      <c r="Q40" s="195">
        <v>41.4</v>
      </c>
      <c r="R40" s="195">
        <v>41.5</v>
      </c>
      <c r="S40" s="195">
        <v>41.5</v>
      </c>
      <c r="T40" s="195">
        <v>41.6</v>
      </c>
      <c r="U40" s="195">
        <v>41.7</v>
      </c>
      <c r="V40" s="195">
        <v>41.9</v>
      </c>
      <c r="W40" s="195">
        <v>42.6</v>
      </c>
    </row>
    <row r="41" spans="1:23" x14ac:dyDescent="0.25">
      <c r="A41" t="s">
        <v>599</v>
      </c>
      <c r="B41" s="117" t="s">
        <v>410</v>
      </c>
      <c r="C41" s="86">
        <f t="shared" si="0"/>
        <v>-1.9619991738950848E-3</v>
      </c>
      <c r="D41" t="s">
        <v>537</v>
      </c>
      <c r="E41" s="86">
        <f t="shared" si="1"/>
        <v>2.7835051546391754E-2</v>
      </c>
      <c r="F41" s="194">
        <v>20175</v>
      </c>
      <c r="G41" s="194">
        <v>2120</v>
      </c>
      <c r="H41" s="80">
        <v>2040</v>
      </c>
      <c r="I41" s="80">
        <v>1985</v>
      </c>
      <c r="J41" s="80">
        <v>1930</v>
      </c>
      <c r="K41" s="80">
        <v>1895</v>
      </c>
      <c r="L41" s="80">
        <v>1850</v>
      </c>
      <c r="M41" s="99" t="s">
        <v>410</v>
      </c>
      <c r="N41" s="194">
        <v>20175</v>
      </c>
      <c r="O41" s="195">
        <v>20</v>
      </c>
      <c r="P41" s="195">
        <v>20</v>
      </c>
      <c r="Q41" s="195">
        <v>20</v>
      </c>
      <c r="R41" s="195">
        <v>20</v>
      </c>
      <c r="S41" s="195">
        <v>20</v>
      </c>
      <c r="T41" s="195">
        <v>19.899999999999999</v>
      </c>
      <c r="U41" s="195">
        <v>19.899999999999999</v>
      </c>
      <c r="V41" s="195">
        <v>19.899999999999999</v>
      </c>
      <c r="W41" s="195">
        <v>19.7</v>
      </c>
    </row>
    <row r="42" spans="1:23" x14ac:dyDescent="0.25">
      <c r="A42" t="s">
        <v>600</v>
      </c>
      <c r="B42" s="117" t="s">
        <v>293</v>
      </c>
      <c r="C42" s="86">
        <f t="shared" si="0"/>
        <v>6.7125081859855931E-3</v>
      </c>
      <c r="D42" t="s">
        <v>537</v>
      </c>
      <c r="E42" s="86">
        <f t="shared" si="1"/>
        <v>6.3086104006820118E-2</v>
      </c>
      <c r="F42" s="194">
        <v>11198</v>
      </c>
      <c r="G42" s="194">
        <v>1445</v>
      </c>
      <c r="H42" s="80">
        <v>1320</v>
      </c>
      <c r="I42" s="80">
        <v>1240</v>
      </c>
      <c r="J42" s="80">
        <v>1140</v>
      </c>
      <c r="K42" s="80">
        <v>1090</v>
      </c>
      <c r="L42" s="80">
        <v>1075</v>
      </c>
      <c r="M42" s="99" t="s">
        <v>293</v>
      </c>
      <c r="N42" s="194">
        <v>11198</v>
      </c>
      <c r="O42" s="195">
        <v>10.4</v>
      </c>
      <c r="P42" s="195">
        <v>10.6</v>
      </c>
      <c r="Q42" s="195">
        <v>10.8</v>
      </c>
      <c r="R42" s="195">
        <v>11</v>
      </c>
      <c r="S42" s="195">
        <v>11.1</v>
      </c>
      <c r="T42" s="195">
        <v>11.2</v>
      </c>
      <c r="U42" s="195">
        <v>11.3</v>
      </c>
      <c r="V42" s="195">
        <v>11.5</v>
      </c>
      <c r="W42" s="195">
        <v>12.1</v>
      </c>
    </row>
    <row r="43" spans="1:23" x14ac:dyDescent="0.25">
      <c r="A43" t="s">
        <v>600</v>
      </c>
      <c r="B43" s="117" t="s">
        <v>294</v>
      </c>
      <c r="C43" s="86">
        <f t="shared" si="0"/>
        <v>-5.3718655218078521E-3</v>
      </c>
      <c r="D43" t="s">
        <v>537</v>
      </c>
      <c r="E43" s="86">
        <f t="shared" si="1"/>
        <v>3.8102959059586543E-2</v>
      </c>
      <c r="F43" s="194">
        <v>23409</v>
      </c>
      <c r="G43" s="194">
        <v>2760</v>
      </c>
      <c r="H43" s="80">
        <v>2630</v>
      </c>
      <c r="I43" s="80">
        <v>2565</v>
      </c>
      <c r="J43" s="80">
        <v>2480</v>
      </c>
      <c r="K43" s="80">
        <v>2370</v>
      </c>
      <c r="L43" s="80">
        <v>2290</v>
      </c>
      <c r="M43" s="99" t="s">
        <v>294</v>
      </c>
      <c r="N43" s="194">
        <v>23409</v>
      </c>
      <c r="O43" s="195">
        <v>22.3</v>
      </c>
      <c r="P43" s="195">
        <v>22.3</v>
      </c>
      <c r="Q43" s="195">
        <v>22.2</v>
      </c>
      <c r="R43" s="195">
        <v>22</v>
      </c>
      <c r="S43" s="195">
        <v>22</v>
      </c>
      <c r="T43" s="195">
        <v>21.9</v>
      </c>
      <c r="U43" s="195">
        <v>21.9</v>
      </c>
      <c r="V43" s="195">
        <v>21.9</v>
      </c>
      <c r="W43" s="195">
        <v>21.9</v>
      </c>
    </row>
    <row r="44" spans="1:23" x14ac:dyDescent="0.25">
      <c r="A44" t="s">
        <v>603</v>
      </c>
      <c r="B44" s="117" t="s">
        <v>337</v>
      </c>
      <c r="C44" s="86">
        <f t="shared" si="0"/>
        <v>-4.0373271443767521E-3</v>
      </c>
      <c r="D44" t="s">
        <v>537</v>
      </c>
      <c r="E44" s="86">
        <f t="shared" si="1"/>
        <v>3.9243769693497563E-2</v>
      </c>
      <c r="F44" s="194">
        <v>34470</v>
      </c>
      <c r="G44" s="194">
        <v>3915</v>
      </c>
      <c r="H44" s="80">
        <v>3745</v>
      </c>
      <c r="I44" s="80">
        <v>3670</v>
      </c>
      <c r="J44" s="80">
        <v>3480</v>
      </c>
      <c r="K44" s="80">
        <v>3330</v>
      </c>
      <c r="L44" s="80">
        <v>3230</v>
      </c>
      <c r="M44" s="99" t="s">
        <v>337</v>
      </c>
      <c r="N44" s="194">
        <v>34470</v>
      </c>
      <c r="O44" s="195">
        <v>33.4</v>
      </c>
      <c r="P44" s="195">
        <v>33.4</v>
      </c>
      <c r="Q44" s="195">
        <v>33.4</v>
      </c>
      <c r="R44" s="195">
        <v>33.4</v>
      </c>
      <c r="S44" s="195">
        <v>33.299999999999997</v>
      </c>
      <c r="T44" s="195">
        <v>33.299999999999997</v>
      </c>
      <c r="U44" s="195">
        <v>33.200000000000003</v>
      </c>
      <c r="V44" s="195">
        <v>33.1</v>
      </c>
      <c r="W44" s="195">
        <v>32.799999999999997</v>
      </c>
    </row>
    <row r="45" spans="1:23" x14ac:dyDescent="0.25">
      <c r="A45" t="s">
        <v>599</v>
      </c>
      <c r="B45" s="117" t="s">
        <v>411</v>
      </c>
      <c r="C45" s="86">
        <f t="shared" si="0"/>
        <v>1.6765844904127703E-3</v>
      </c>
      <c r="D45" t="s">
        <v>537</v>
      </c>
      <c r="E45" s="86">
        <f t="shared" si="1"/>
        <v>2.8790786948176585E-2</v>
      </c>
      <c r="F45" s="194">
        <v>10587</v>
      </c>
      <c r="G45" s="194">
        <v>1165</v>
      </c>
      <c r="H45" s="80">
        <v>1115</v>
      </c>
      <c r="I45" s="80">
        <v>1055</v>
      </c>
      <c r="J45" s="80">
        <v>1010</v>
      </c>
      <c r="K45" s="80">
        <v>1015</v>
      </c>
      <c r="L45" s="80">
        <v>1015</v>
      </c>
      <c r="M45" s="99" t="s">
        <v>411</v>
      </c>
      <c r="N45" s="194">
        <v>10587</v>
      </c>
      <c r="O45" s="195">
        <v>10.4</v>
      </c>
      <c r="P45" s="195">
        <v>10.5</v>
      </c>
      <c r="Q45" s="195">
        <v>10.5</v>
      </c>
      <c r="R45" s="195">
        <v>10.5</v>
      </c>
      <c r="S45" s="195">
        <v>10.5</v>
      </c>
      <c r="T45" s="195">
        <v>10.6</v>
      </c>
      <c r="U45" s="195">
        <v>10.6</v>
      </c>
      <c r="V45" s="195">
        <v>10.7</v>
      </c>
      <c r="W45" s="195">
        <v>10.8</v>
      </c>
    </row>
    <row r="46" spans="1:23" x14ac:dyDescent="0.25">
      <c r="A46" t="s">
        <v>598</v>
      </c>
      <c r="B46" s="117" t="s">
        <v>131</v>
      </c>
      <c r="C46" s="86">
        <f t="shared" si="0"/>
        <v>-3.1514123848206425E-3</v>
      </c>
      <c r="D46" t="s">
        <v>141</v>
      </c>
      <c r="E46" s="86">
        <f t="shared" si="1"/>
        <v>2.5024061597690085E-2</v>
      </c>
      <c r="F46" s="194">
        <v>25359</v>
      </c>
      <c r="G46" s="194">
        <v>2250</v>
      </c>
      <c r="H46" s="80">
        <v>2210</v>
      </c>
      <c r="I46" s="80">
        <v>2145</v>
      </c>
      <c r="J46" s="80">
        <v>2040</v>
      </c>
      <c r="K46" s="80">
        <v>2005</v>
      </c>
      <c r="L46" s="80">
        <v>1990</v>
      </c>
      <c r="M46" s="99" t="s">
        <v>131</v>
      </c>
      <c r="N46" s="194">
        <v>25359</v>
      </c>
      <c r="O46" s="195">
        <v>25.3</v>
      </c>
      <c r="P46" s="195">
        <v>25.1</v>
      </c>
      <c r="Q46" s="195">
        <v>24.9</v>
      </c>
      <c r="R46" s="195">
        <v>24.9</v>
      </c>
      <c r="S46" s="195">
        <v>24.8</v>
      </c>
      <c r="T46" s="195">
        <v>24.7</v>
      </c>
      <c r="U46" s="195">
        <v>24.6</v>
      </c>
      <c r="V46" s="195">
        <v>24.6</v>
      </c>
      <c r="W46" s="195">
        <v>24.4</v>
      </c>
    </row>
    <row r="47" spans="1:23" x14ac:dyDescent="0.25">
      <c r="A47" t="s">
        <v>604</v>
      </c>
      <c r="B47" s="117" t="s">
        <v>186</v>
      </c>
      <c r="C47" s="86">
        <f t="shared" si="0"/>
        <v>6.7131923203951811E-4</v>
      </c>
      <c r="D47" t="s">
        <v>141</v>
      </c>
      <c r="E47" s="86">
        <f t="shared" si="1"/>
        <v>3.6292935839274142E-2</v>
      </c>
      <c r="F47" s="194">
        <v>23213</v>
      </c>
      <c r="G47" s="194">
        <v>1680</v>
      </c>
      <c r="H47" s="80">
        <v>1655</v>
      </c>
      <c r="I47" s="80">
        <v>1670</v>
      </c>
      <c r="J47" s="80">
        <v>1560</v>
      </c>
      <c r="K47" s="80">
        <v>1430</v>
      </c>
      <c r="L47" s="80">
        <v>1400</v>
      </c>
      <c r="M47" s="99" t="s">
        <v>186</v>
      </c>
      <c r="N47" s="194">
        <v>23213</v>
      </c>
      <c r="O47" s="195">
        <v>23</v>
      </c>
      <c r="P47" s="195">
        <v>23.1</v>
      </c>
      <c r="Q47" s="195">
        <v>23.1</v>
      </c>
      <c r="R47" s="195">
        <v>23.2</v>
      </c>
      <c r="S47" s="195">
        <v>23.2</v>
      </c>
      <c r="T47" s="195">
        <v>23.2</v>
      </c>
      <c r="U47" s="195">
        <v>23.3</v>
      </c>
      <c r="V47" s="195">
        <v>23.3</v>
      </c>
      <c r="W47" s="195">
        <v>23.4</v>
      </c>
    </row>
    <row r="48" spans="1:23" x14ac:dyDescent="0.25">
      <c r="A48" t="s">
        <v>610</v>
      </c>
      <c r="B48" s="117" t="s">
        <v>389</v>
      </c>
      <c r="C48" s="86">
        <f t="shared" si="0"/>
        <v>-4.7549084104498342E-3</v>
      </c>
      <c r="D48" t="s">
        <v>537</v>
      </c>
      <c r="E48" s="86">
        <f t="shared" si="1"/>
        <v>2.445236882322975E-2</v>
      </c>
      <c r="F48" s="194">
        <v>22801</v>
      </c>
      <c r="G48" s="194">
        <v>2115</v>
      </c>
      <c r="H48" s="80">
        <v>2055</v>
      </c>
      <c r="I48" s="80">
        <v>2015</v>
      </c>
      <c r="J48" s="80">
        <v>1970</v>
      </c>
      <c r="K48" s="80">
        <v>1900</v>
      </c>
      <c r="L48" s="80">
        <v>1875</v>
      </c>
      <c r="M48" s="99" t="s">
        <v>389</v>
      </c>
      <c r="N48" s="194">
        <v>22801</v>
      </c>
      <c r="O48" s="195">
        <v>22.4</v>
      </c>
      <c r="P48" s="195">
        <v>22.4</v>
      </c>
      <c r="Q48" s="195">
        <v>22.2</v>
      </c>
      <c r="R48" s="195">
        <v>22.1</v>
      </c>
      <c r="S48" s="195">
        <v>22.1</v>
      </c>
      <c r="T48" s="195">
        <v>22</v>
      </c>
      <c r="U48" s="195">
        <v>21.9</v>
      </c>
      <c r="V48" s="195">
        <v>21.9</v>
      </c>
      <c r="W48" s="195">
        <v>21.5</v>
      </c>
    </row>
    <row r="49" spans="1:94" x14ac:dyDescent="0.25">
      <c r="A49" t="s">
        <v>599</v>
      </c>
      <c r="B49" s="117" t="s">
        <v>412</v>
      </c>
      <c r="C49" s="86">
        <f t="shared" si="0"/>
        <v>-1.0295146655654589E-3</v>
      </c>
      <c r="D49" t="s">
        <v>141</v>
      </c>
      <c r="E49" s="86">
        <f t="shared" si="1"/>
        <v>2.8651949271958667E-2</v>
      </c>
      <c r="F49" s="194">
        <v>29059</v>
      </c>
      <c r="G49" s="194">
        <v>2330</v>
      </c>
      <c r="H49" s="80">
        <v>2225</v>
      </c>
      <c r="I49" s="80">
        <v>2200</v>
      </c>
      <c r="J49" s="80">
        <v>2125</v>
      </c>
      <c r="K49" s="80">
        <v>2070</v>
      </c>
      <c r="L49" s="80">
        <v>2025</v>
      </c>
      <c r="M49" s="99" t="s">
        <v>412</v>
      </c>
      <c r="N49" s="194">
        <v>29059</v>
      </c>
      <c r="O49" s="195">
        <v>29.1</v>
      </c>
      <c r="P49" s="195">
        <v>29.1</v>
      </c>
      <c r="Q49" s="195">
        <v>29.1</v>
      </c>
      <c r="R49" s="195">
        <v>29.1</v>
      </c>
      <c r="S49" s="195">
        <v>29.1</v>
      </c>
      <c r="T49" s="195">
        <v>29.1</v>
      </c>
      <c r="U49" s="195">
        <v>29</v>
      </c>
      <c r="V49" s="195">
        <v>29</v>
      </c>
      <c r="W49" s="195">
        <v>28.7</v>
      </c>
      <c r="X49" s="105"/>
      <c r="Y49" s="105"/>
      <c r="Z49" s="105"/>
      <c r="AA49" s="105"/>
      <c r="AD49" s="105"/>
      <c r="AE49" s="105"/>
      <c r="AF49" s="105"/>
      <c r="AG49" s="105"/>
      <c r="AH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row>
    <row r="50" spans="1:94" x14ac:dyDescent="0.25">
      <c r="A50" t="s">
        <v>599</v>
      </c>
      <c r="B50" s="117" t="s">
        <v>413</v>
      </c>
      <c r="C50" s="86">
        <f t="shared" si="0"/>
        <v>1.7947383260676253E-3</v>
      </c>
      <c r="D50" t="s">
        <v>141</v>
      </c>
      <c r="E50" s="86">
        <f t="shared" si="1"/>
        <v>2.5382755842062853E-2</v>
      </c>
      <c r="F50" s="194">
        <v>30738</v>
      </c>
      <c r="G50" s="194">
        <v>2695</v>
      </c>
      <c r="H50" s="80">
        <v>2635</v>
      </c>
      <c r="I50" s="80">
        <v>2555</v>
      </c>
      <c r="J50" s="80">
        <v>2460</v>
      </c>
      <c r="K50" s="80">
        <v>2380</v>
      </c>
      <c r="L50" s="80">
        <v>2380</v>
      </c>
      <c r="M50" s="99" t="s">
        <v>413</v>
      </c>
      <c r="N50" s="194">
        <v>30738</v>
      </c>
      <c r="O50" s="195">
        <v>30.8</v>
      </c>
      <c r="P50" s="195">
        <v>30.9</v>
      </c>
      <c r="Q50" s="195">
        <v>31</v>
      </c>
      <c r="R50" s="195">
        <v>31</v>
      </c>
      <c r="S50" s="195">
        <v>31.1</v>
      </c>
      <c r="T50" s="195">
        <v>31.2</v>
      </c>
      <c r="U50" s="195">
        <v>31.2</v>
      </c>
      <c r="V50" s="195">
        <v>31.3</v>
      </c>
      <c r="W50" s="195">
        <v>31.4</v>
      </c>
    </row>
    <row r="51" spans="1:94" s="105" customFormat="1" x14ac:dyDescent="0.25">
      <c r="A51" s="105" t="s">
        <v>599</v>
      </c>
      <c r="B51" s="117" t="s">
        <v>414</v>
      </c>
      <c r="C51" s="86">
        <f t="shared" si="0"/>
        <v>7.8462424416930604E-3</v>
      </c>
      <c r="D51" t="s">
        <v>509</v>
      </c>
      <c r="E51" s="86">
        <f t="shared" si="1"/>
        <v>3.5600325345679786E-2</v>
      </c>
      <c r="F51" s="194">
        <v>184069</v>
      </c>
      <c r="G51" s="194">
        <v>17800</v>
      </c>
      <c r="H51" s="80">
        <v>17040</v>
      </c>
      <c r="I51" s="80">
        <v>16570</v>
      </c>
      <c r="J51" s="80">
        <v>16040</v>
      </c>
      <c r="K51" s="80">
        <v>15310</v>
      </c>
      <c r="L51" s="80">
        <v>14955</v>
      </c>
      <c r="M51" s="99" t="s">
        <v>414</v>
      </c>
      <c r="N51" s="194">
        <v>184069</v>
      </c>
      <c r="O51" s="195">
        <v>188</v>
      </c>
      <c r="P51" s="195">
        <v>189.5</v>
      </c>
      <c r="Q51" s="195">
        <v>190.9</v>
      </c>
      <c r="R51" s="195">
        <v>192.2</v>
      </c>
      <c r="S51" s="195">
        <v>193.4</v>
      </c>
      <c r="T51" s="195">
        <v>194.6</v>
      </c>
      <c r="U51" s="195">
        <v>195.6</v>
      </c>
      <c r="V51" s="195">
        <v>196.7</v>
      </c>
      <c r="W51" s="195">
        <v>201.4</v>
      </c>
      <c r="X51"/>
      <c r="Y51"/>
      <c r="Z51"/>
      <c r="AA51"/>
      <c r="AB51"/>
      <c r="AC51"/>
      <c r="AD51"/>
      <c r="AE51"/>
      <c r="AF51"/>
      <c r="AG51"/>
      <c r="AH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row>
    <row r="52" spans="1:94" x14ac:dyDescent="0.25">
      <c r="A52" t="s">
        <v>603</v>
      </c>
      <c r="B52" s="117" t="s">
        <v>338</v>
      </c>
      <c r="C52" s="86">
        <f t="shared" si="0"/>
        <v>4.4421166977032895E-3</v>
      </c>
      <c r="D52" t="s">
        <v>537</v>
      </c>
      <c r="E52" s="86">
        <f t="shared" si="1"/>
        <v>3.5687167805618827E-2</v>
      </c>
      <c r="F52" s="194">
        <v>17184</v>
      </c>
      <c r="G52" s="194">
        <v>1490</v>
      </c>
      <c r="H52" s="80">
        <v>1400</v>
      </c>
      <c r="I52" s="80">
        <v>1370</v>
      </c>
      <c r="J52" s="104">
        <v>1300</v>
      </c>
      <c r="K52" s="80">
        <v>1260</v>
      </c>
      <c r="L52" s="104">
        <v>1255</v>
      </c>
      <c r="M52" s="104" t="s">
        <v>338</v>
      </c>
      <c r="N52" s="194">
        <v>17184</v>
      </c>
      <c r="O52" s="195">
        <v>17.2</v>
      </c>
      <c r="P52" s="195">
        <v>17.2</v>
      </c>
      <c r="Q52" s="195">
        <v>17.2</v>
      </c>
      <c r="R52" s="195">
        <v>17.3</v>
      </c>
      <c r="S52" s="195">
        <v>17.399999999999999</v>
      </c>
      <c r="T52" s="195">
        <v>17.5</v>
      </c>
      <c r="U52" s="195">
        <v>17.600000000000001</v>
      </c>
      <c r="V52" s="195">
        <v>17.7</v>
      </c>
      <c r="W52" s="195">
        <v>18.100000000000001</v>
      </c>
    </row>
    <row r="53" spans="1:94" x14ac:dyDescent="0.25">
      <c r="A53" t="s">
        <v>601</v>
      </c>
      <c r="B53" s="117" t="s">
        <v>215</v>
      </c>
      <c r="C53" s="86">
        <f t="shared" si="0"/>
        <v>-9.9372336802967132E-3</v>
      </c>
      <c r="D53" t="s">
        <v>537</v>
      </c>
      <c r="E53" s="86">
        <f t="shared" si="1"/>
        <v>2.5871459694989107E-2</v>
      </c>
      <c r="F53" s="194">
        <v>36219</v>
      </c>
      <c r="G53" s="194">
        <v>3980</v>
      </c>
      <c r="H53" s="80">
        <v>3875</v>
      </c>
      <c r="I53" s="80">
        <v>3765</v>
      </c>
      <c r="J53" s="80">
        <v>3655</v>
      </c>
      <c r="K53" s="80">
        <v>3560</v>
      </c>
      <c r="L53" s="80">
        <v>3505</v>
      </c>
      <c r="M53" s="99" t="s">
        <v>215</v>
      </c>
      <c r="N53" s="194">
        <v>36219</v>
      </c>
      <c r="O53" s="195">
        <v>35.799999999999997</v>
      </c>
      <c r="P53" s="195">
        <v>35.6</v>
      </c>
      <c r="Q53" s="195">
        <v>35.299999999999997</v>
      </c>
      <c r="R53" s="195">
        <v>35</v>
      </c>
      <c r="S53" s="195">
        <v>34.6</v>
      </c>
      <c r="T53" s="195">
        <v>34.299999999999997</v>
      </c>
      <c r="U53" s="195">
        <v>33.9</v>
      </c>
      <c r="V53" s="195">
        <v>33.6</v>
      </c>
      <c r="W53" s="195">
        <v>31.9</v>
      </c>
    </row>
    <row r="54" spans="1:94" x14ac:dyDescent="0.25">
      <c r="A54" t="s">
        <v>601</v>
      </c>
      <c r="B54" s="117" t="s">
        <v>216</v>
      </c>
      <c r="C54" s="86">
        <f t="shared" si="0"/>
        <v>2.1284829721362228E-3</v>
      </c>
      <c r="D54" t="s">
        <v>141</v>
      </c>
      <c r="E54" s="86">
        <f t="shared" si="1"/>
        <v>2.4783147459727387E-2</v>
      </c>
      <c r="F54" s="194">
        <v>20672</v>
      </c>
      <c r="G54" s="194">
        <v>1735</v>
      </c>
      <c r="H54" s="80">
        <v>1710</v>
      </c>
      <c r="I54" s="80">
        <v>1680</v>
      </c>
      <c r="J54" s="80">
        <v>1600</v>
      </c>
      <c r="K54" s="80">
        <v>1545</v>
      </c>
      <c r="L54" s="80">
        <v>1535</v>
      </c>
      <c r="M54" s="99" t="s">
        <v>216</v>
      </c>
      <c r="N54" s="194">
        <v>20672</v>
      </c>
      <c r="O54" s="195">
        <v>21.1</v>
      </c>
      <c r="P54" s="195">
        <v>21.1</v>
      </c>
      <c r="Q54" s="195">
        <v>21.2</v>
      </c>
      <c r="R54" s="195">
        <v>21.2</v>
      </c>
      <c r="S54" s="195">
        <v>21.2</v>
      </c>
      <c r="T54" s="195">
        <v>21.2</v>
      </c>
      <c r="U54" s="195">
        <v>21.2</v>
      </c>
      <c r="V54" s="195">
        <v>21.2</v>
      </c>
      <c r="W54" s="195">
        <v>21.2</v>
      </c>
    </row>
    <row r="55" spans="1:94" x14ac:dyDescent="0.25">
      <c r="A55" t="s">
        <v>608</v>
      </c>
      <c r="B55" s="117" t="s">
        <v>464</v>
      </c>
      <c r="C55" s="86">
        <f t="shared" si="0"/>
        <v>8.2678425376053483E-4</v>
      </c>
      <c r="D55" t="s">
        <v>141</v>
      </c>
      <c r="E55" s="86">
        <f t="shared" si="1"/>
        <v>2.5773195876288658E-2</v>
      </c>
      <c r="F55" s="194">
        <v>28121</v>
      </c>
      <c r="G55" s="194">
        <v>1500</v>
      </c>
      <c r="H55" s="80">
        <v>1440</v>
      </c>
      <c r="I55" s="80">
        <v>1370</v>
      </c>
      <c r="J55" s="80">
        <v>1315</v>
      </c>
      <c r="K55" s="80">
        <v>1340</v>
      </c>
      <c r="L55" s="80">
        <v>1325</v>
      </c>
      <c r="M55" s="99" t="s">
        <v>464</v>
      </c>
      <c r="N55" s="194">
        <v>28121</v>
      </c>
      <c r="O55" s="195">
        <v>28.4</v>
      </c>
      <c r="P55" s="195">
        <v>28.3</v>
      </c>
      <c r="Q55" s="195">
        <v>28.3</v>
      </c>
      <c r="R55" s="195">
        <v>28.3</v>
      </c>
      <c r="S55" s="195">
        <v>28.3</v>
      </c>
      <c r="T55" s="195">
        <v>28.2</v>
      </c>
      <c r="U55" s="195">
        <v>28.2</v>
      </c>
      <c r="V55" s="195">
        <v>28.2</v>
      </c>
      <c r="W55" s="195">
        <v>28.4</v>
      </c>
    </row>
    <row r="56" spans="1:94" x14ac:dyDescent="0.25">
      <c r="A56" t="s">
        <v>606</v>
      </c>
      <c r="B56" s="117" t="s">
        <v>264</v>
      </c>
      <c r="C56" s="86">
        <f t="shared" si="0"/>
        <v>1.1588095865156703E-2</v>
      </c>
      <c r="D56" t="s">
        <v>537</v>
      </c>
      <c r="E56" s="86">
        <f t="shared" si="1"/>
        <v>3.6764705882352942E-2</v>
      </c>
      <c r="F56" s="194">
        <v>15188</v>
      </c>
      <c r="G56" s="194">
        <v>1670</v>
      </c>
      <c r="H56" s="80">
        <v>1625</v>
      </c>
      <c r="I56" s="80">
        <v>1550</v>
      </c>
      <c r="J56" s="80">
        <v>1495</v>
      </c>
      <c r="K56" s="80">
        <v>1415</v>
      </c>
      <c r="L56" s="80">
        <v>1395</v>
      </c>
      <c r="M56" s="99" t="s">
        <v>264</v>
      </c>
      <c r="N56" s="194">
        <v>15188</v>
      </c>
      <c r="O56" s="195">
        <v>15.4</v>
      </c>
      <c r="P56" s="195">
        <v>15.5</v>
      </c>
      <c r="Q56" s="195">
        <v>15.6</v>
      </c>
      <c r="R56" s="195">
        <v>15.7</v>
      </c>
      <c r="S56" s="195">
        <v>15.8</v>
      </c>
      <c r="T56" s="195">
        <v>16</v>
      </c>
      <c r="U56" s="195">
        <v>16.2</v>
      </c>
      <c r="V56" s="195">
        <v>16.399999999999999</v>
      </c>
      <c r="W56" s="195">
        <v>17.3</v>
      </c>
    </row>
    <row r="57" spans="1:94" x14ac:dyDescent="0.25">
      <c r="A57" t="s">
        <v>606</v>
      </c>
      <c r="B57" s="117" t="s">
        <v>265</v>
      </c>
      <c r="C57" s="86">
        <f t="shared" si="0"/>
        <v>8.5386943363597069E-3</v>
      </c>
      <c r="D57" t="s">
        <v>537</v>
      </c>
      <c r="E57" s="86">
        <f t="shared" si="1"/>
        <v>3.4355179704016914E-2</v>
      </c>
      <c r="F57" s="194">
        <v>21588</v>
      </c>
      <c r="G57" s="194">
        <v>2100</v>
      </c>
      <c r="H57" s="80">
        <v>2020</v>
      </c>
      <c r="I57" s="80">
        <v>1970</v>
      </c>
      <c r="J57" s="80">
        <v>1880</v>
      </c>
      <c r="K57" s="80">
        <v>1815</v>
      </c>
      <c r="L57" s="80">
        <v>1775</v>
      </c>
      <c r="M57" s="99" t="s">
        <v>265</v>
      </c>
      <c r="N57" s="194">
        <v>21588</v>
      </c>
      <c r="O57" s="195">
        <v>21.4</v>
      </c>
      <c r="P57" s="195">
        <v>21.7</v>
      </c>
      <c r="Q57" s="195">
        <v>22</v>
      </c>
      <c r="R57" s="195">
        <v>22.2</v>
      </c>
      <c r="S57" s="195">
        <v>22.5</v>
      </c>
      <c r="T57" s="195">
        <v>22.7</v>
      </c>
      <c r="U57" s="195">
        <v>22.9</v>
      </c>
      <c r="V57" s="195">
        <v>23.1</v>
      </c>
      <c r="W57" s="195">
        <v>23.8</v>
      </c>
    </row>
    <row r="58" spans="1:94" x14ac:dyDescent="0.25">
      <c r="A58" t="s">
        <v>601</v>
      </c>
      <c r="B58" s="117" t="s">
        <v>217</v>
      </c>
      <c r="C58" s="86">
        <f t="shared" si="0"/>
        <v>-2.7529034038176938E-3</v>
      </c>
      <c r="D58" t="s">
        <v>537</v>
      </c>
      <c r="E58" s="86">
        <f t="shared" si="1"/>
        <v>2.058029689608637E-2</v>
      </c>
      <c r="F58" s="194">
        <v>26578</v>
      </c>
      <c r="G58" s="194">
        <v>3170</v>
      </c>
      <c r="H58" s="80">
        <v>3090</v>
      </c>
      <c r="I58" s="80">
        <v>3005</v>
      </c>
      <c r="J58" s="80">
        <v>2975</v>
      </c>
      <c r="K58" s="80">
        <v>2885</v>
      </c>
      <c r="L58" s="80">
        <v>2865</v>
      </c>
      <c r="M58" s="99" t="s">
        <v>217</v>
      </c>
      <c r="N58" s="194">
        <v>26578</v>
      </c>
      <c r="O58" s="195">
        <v>26.2</v>
      </c>
      <c r="P58" s="195">
        <v>26.3</v>
      </c>
      <c r="Q58" s="195">
        <v>26.3</v>
      </c>
      <c r="R58" s="195">
        <v>26.3</v>
      </c>
      <c r="S58" s="195">
        <v>26.2</v>
      </c>
      <c r="T58" s="195">
        <v>26.2</v>
      </c>
      <c r="U58" s="195">
        <v>26.1</v>
      </c>
      <c r="V58" s="195">
        <v>26</v>
      </c>
      <c r="W58" s="195">
        <v>25.7</v>
      </c>
    </row>
    <row r="59" spans="1:94" x14ac:dyDescent="0.25">
      <c r="A59" t="s">
        <v>603</v>
      </c>
      <c r="B59" s="117" t="s">
        <v>339</v>
      </c>
      <c r="C59" s="86">
        <f t="shared" si="0"/>
        <v>2.5914618937874752E-3</v>
      </c>
      <c r="D59" t="s">
        <v>141</v>
      </c>
      <c r="E59" s="86">
        <f t="shared" si="1"/>
        <v>2.9903072798515156E-2</v>
      </c>
      <c r="F59" s="194">
        <v>66822</v>
      </c>
      <c r="G59" s="194">
        <v>5385</v>
      </c>
      <c r="H59" s="80">
        <v>5080</v>
      </c>
      <c r="I59" s="80">
        <v>4980</v>
      </c>
      <c r="J59" s="80">
        <v>4815</v>
      </c>
      <c r="K59" s="80">
        <v>4710</v>
      </c>
      <c r="L59" s="80">
        <v>4660</v>
      </c>
      <c r="M59" s="99" t="s">
        <v>339</v>
      </c>
      <c r="N59" s="194">
        <v>66822</v>
      </c>
      <c r="O59" s="195">
        <v>67.2</v>
      </c>
      <c r="P59" s="195">
        <v>67.400000000000006</v>
      </c>
      <c r="Q59" s="195">
        <v>67.5</v>
      </c>
      <c r="R59" s="195">
        <v>67.7</v>
      </c>
      <c r="S59" s="195">
        <v>67.900000000000006</v>
      </c>
      <c r="T59" s="195">
        <v>68.099999999999994</v>
      </c>
      <c r="U59" s="195">
        <v>68.400000000000006</v>
      </c>
      <c r="V59" s="195">
        <v>68.599999999999994</v>
      </c>
      <c r="W59" s="195">
        <v>68.900000000000006</v>
      </c>
    </row>
    <row r="60" spans="1:94" x14ac:dyDescent="0.25">
      <c r="A60" t="s">
        <v>600</v>
      </c>
      <c r="B60" s="117" t="s">
        <v>295</v>
      </c>
      <c r="C60" s="86">
        <f t="shared" si="0"/>
        <v>3.4028826611474705E-4</v>
      </c>
      <c r="D60" t="s">
        <v>537</v>
      </c>
      <c r="E60" s="86">
        <f t="shared" si="1"/>
        <v>3.6816269284712481E-2</v>
      </c>
      <c r="F60" s="194">
        <v>35754</v>
      </c>
      <c r="G60" s="194">
        <v>3175</v>
      </c>
      <c r="H60" s="80">
        <v>3055</v>
      </c>
      <c r="I60" s="80">
        <v>2970</v>
      </c>
      <c r="J60" s="80">
        <v>2835</v>
      </c>
      <c r="K60" s="80">
        <v>2750</v>
      </c>
      <c r="L60" s="80">
        <v>2650</v>
      </c>
      <c r="M60" s="99" t="s">
        <v>295</v>
      </c>
      <c r="N60" s="194">
        <v>35754</v>
      </c>
      <c r="O60" s="195">
        <v>34.6</v>
      </c>
      <c r="P60" s="195">
        <v>34.6</v>
      </c>
      <c r="Q60" s="195">
        <v>34.700000000000003</v>
      </c>
      <c r="R60" s="195">
        <v>34.799999999999997</v>
      </c>
      <c r="S60" s="195">
        <v>35</v>
      </c>
      <c r="T60" s="195">
        <v>35.200000000000003</v>
      </c>
      <c r="U60" s="195">
        <v>35.299999999999997</v>
      </c>
      <c r="V60" s="195">
        <v>35.4</v>
      </c>
      <c r="W60" s="195">
        <v>35.9</v>
      </c>
    </row>
    <row r="61" spans="1:94" x14ac:dyDescent="0.25">
      <c r="A61" t="s">
        <v>598</v>
      </c>
      <c r="B61" s="117" t="s">
        <v>132</v>
      </c>
      <c r="C61" s="86">
        <f t="shared" si="0"/>
        <v>-7.5053290888431974E-3</v>
      </c>
      <c r="D61" t="s">
        <v>141</v>
      </c>
      <c r="E61" s="86">
        <f t="shared" si="1"/>
        <v>1.6967126193001062E-2</v>
      </c>
      <c r="F61" s="194">
        <v>35497</v>
      </c>
      <c r="G61" s="194">
        <v>2980</v>
      </c>
      <c r="H61" s="80">
        <v>2920</v>
      </c>
      <c r="I61" s="80">
        <v>2865</v>
      </c>
      <c r="J61" s="80">
        <v>2830</v>
      </c>
      <c r="K61" s="80">
        <v>2790</v>
      </c>
      <c r="L61" s="80">
        <v>2740</v>
      </c>
      <c r="M61" s="99" t="s">
        <v>132</v>
      </c>
      <c r="N61" s="194">
        <v>35497</v>
      </c>
      <c r="O61" s="195">
        <v>35.200000000000003</v>
      </c>
      <c r="P61" s="195">
        <v>35.1</v>
      </c>
      <c r="Q61" s="195">
        <v>34.799999999999997</v>
      </c>
      <c r="R61" s="195">
        <v>34.5</v>
      </c>
      <c r="S61" s="195">
        <v>34.299999999999997</v>
      </c>
      <c r="T61" s="195">
        <v>33.9</v>
      </c>
      <c r="U61" s="195">
        <v>33.6</v>
      </c>
      <c r="V61" s="195">
        <v>33.299999999999997</v>
      </c>
      <c r="W61" s="195">
        <v>32.299999999999997</v>
      </c>
    </row>
    <row r="62" spans="1:94" x14ac:dyDescent="0.25">
      <c r="A62" t="s">
        <v>599</v>
      </c>
      <c r="B62" s="117" t="s">
        <v>415</v>
      </c>
      <c r="C62" s="86">
        <f t="shared" si="0"/>
        <v>5.5620799895609056E-3</v>
      </c>
      <c r="D62" t="s">
        <v>537</v>
      </c>
      <c r="E62" s="86">
        <f t="shared" si="1"/>
        <v>2.328042328042328E-2</v>
      </c>
      <c r="F62" s="194">
        <v>20436</v>
      </c>
      <c r="G62" s="194">
        <v>2030</v>
      </c>
      <c r="H62" s="80">
        <v>1965</v>
      </c>
      <c r="I62" s="80">
        <v>1925</v>
      </c>
      <c r="J62" s="80">
        <v>1885</v>
      </c>
      <c r="K62" s="80">
        <v>1865</v>
      </c>
      <c r="L62" s="80">
        <v>1810</v>
      </c>
      <c r="M62" s="99" t="s">
        <v>415</v>
      </c>
      <c r="N62" s="194">
        <v>20436</v>
      </c>
      <c r="O62" s="195">
        <v>21.4</v>
      </c>
      <c r="P62" s="195">
        <v>21.4</v>
      </c>
      <c r="Q62" s="195">
        <v>21.5</v>
      </c>
      <c r="R62" s="195">
        <v>21.5</v>
      </c>
      <c r="S62" s="195">
        <v>21.5</v>
      </c>
      <c r="T62" s="195">
        <v>21.6</v>
      </c>
      <c r="U62" s="195">
        <v>21.6</v>
      </c>
      <c r="V62" s="195">
        <v>21.7</v>
      </c>
      <c r="W62" s="195">
        <v>21.8</v>
      </c>
    </row>
    <row r="63" spans="1:94" x14ac:dyDescent="0.25">
      <c r="A63" t="s">
        <v>599</v>
      </c>
      <c r="B63" s="117" t="s">
        <v>416</v>
      </c>
      <c r="C63" s="86">
        <f t="shared" si="0"/>
        <v>5.2444747503108576E-3</v>
      </c>
      <c r="D63" t="s">
        <v>141</v>
      </c>
      <c r="E63" s="86">
        <f t="shared" si="1"/>
        <v>2.4676850763807285E-2</v>
      </c>
      <c r="F63" s="194">
        <v>24931</v>
      </c>
      <c r="G63" s="194">
        <v>1865</v>
      </c>
      <c r="H63" s="80">
        <v>1805</v>
      </c>
      <c r="I63" s="80">
        <v>1735</v>
      </c>
      <c r="J63" s="80">
        <v>1680</v>
      </c>
      <c r="K63" s="80">
        <v>1635</v>
      </c>
      <c r="L63" s="80">
        <v>1655</v>
      </c>
      <c r="M63" s="99" t="s">
        <v>416</v>
      </c>
      <c r="N63" s="194">
        <v>24931</v>
      </c>
      <c r="O63" s="195">
        <v>25.3</v>
      </c>
      <c r="P63" s="195">
        <v>25.6</v>
      </c>
      <c r="Q63" s="195">
        <v>25.7</v>
      </c>
      <c r="R63" s="195">
        <v>25.8</v>
      </c>
      <c r="S63" s="195">
        <v>25.9</v>
      </c>
      <c r="T63" s="195">
        <v>25.9</v>
      </c>
      <c r="U63" s="195">
        <v>26.1</v>
      </c>
      <c r="V63" s="195">
        <v>26.1</v>
      </c>
      <c r="W63" s="195">
        <v>26.5</v>
      </c>
    </row>
    <row r="64" spans="1:94" x14ac:dyDescent="0.25">
      <c r="A64" t="s">
        <v>601</v>
      </c>
      <c r="B64" s="117" t="s">
        <v>218</v>
      </c>
      <c r="C64" s="86">
        <f t="shared" si="0"/>
        <v>-3.04792600896861E-3</v>
      </c>
      <c r="D64" t="s">
        <v>141</v>
      </c>
      <c r="E64" s="86">
        <f t="shared" si="1"/>
        <v>2.6418362927674317E-2</v>
      </c>
      <c r="F64" s="194">
        <v>28544</v>
      </c>
      <c r="G64" s="194">
        <v>2505</v>
      </c>
      <c r="H64" s="80">
        <v>2410</v>
      </c>
      <c r="I64" s="80">
        <v>2385</v>
      </c>
      <c r="J64" s="80">
        <v>2320</v>
      </c>
      <c r="K64" s="80">
        <v>2230</v>
      </c>
      <c r="L64" s="80">
        <v>2200</v>
      </c>
      <c r="M64" s="99" t="s">
        <v>218</v>
      </c>
      <c r="N64" s="194">
        <v>28544</v>
      </c>
      <c r="O64" s="195">
        <v>27.4</v>
      </c>
      <c r="P64" s="195">
        <v>27.5</v>
      </c>
      <c r="Q64" s="195">
        <v>27.6</v>
      </c>
      <c r="R64" s="195">
        <v>27.6</v>
      </c>
      <c r="S64" s="195">
        <v>27.7</v>
      </c>
      <c r="T64" s="195">
        <v>27.7</v>
      </c>
      <c r="U64" s="195">
        <v>27.6</v>
      </c>
      <c r="V64" s="195">
        <v>27.6</v>
      </c>
      <c r="W64" s="195">
        <v>27.5</v>
      </c>
    </row>
    <row r="65" spans="1:23" x14ac:dyDescent="0.25">
      <c r="A65" t="s">
        <v>604</v>
      </c>
      <c r="B65" s="117" t="s">
        <v>187</v>
      </c>
      <c r="C65" s="86">
        <f t="shared" ref="C65:C120" si="2">(SUM(W65*1000,-N65)/12)/N65</f>
        <v>2.9633400030423234E-3</v>
      </c>
      <c r="D65" t="s">
        <v>537</v>
      </c>
      <c r="E65" s="86">
        <f t="shared" ref="E65:E120" si="3">SUM(G65,-L65)/(SUM(H65,I65,J65,K65,L65))</f>
        <v>3.5535117056856184E-2</v>
      </c>
      <c r="F65" s="194">
        <v>28487</v>
      </c>
      <c r="G65" s="194">
        <v>2665</v>
      </c>
      <c r="H65" s="80">
        <v>2560</v>
      </c>
      <c r="I65" s="80">
        <v>2470</v>
      </c>
      <c r="J65" s="80">
        <v>2385</v>
      </c>
      <c r="K65" s="80">
        <v>2305</v>
      </c>
      <c r="L65" s="80">
        <v>2240</v>
      </c>
      <c r="M65" s="99" t="s">
        <v>187</v>
      </c>
      <c r="N65" s="194">
        <v>28487</v>
      </c>
      <c r="O65" s="195">
        <v>28.2</v>
      </c>
      <c r="P65" s="195">
        <v>28.4</v>
      </c>
      <c r="Q65" s="195">
        <v>28.5</v>
      </c>
      <c r="R65" s="195">
        <v>28.6</v>
      </c>
      <c r="S65" s="195">
        <v>28.7</v>
      </c>
      <c r="T65" s="195">
        <v>28.8</v>
      </c>
      <c r="U65" s="195">
        <v>28.9</v>
      </c>
      <c r="V65" s="195">
        <v>29</v>
      </c>
      <c r="W65" s="195">
        <v>29.5</v>
      </c>
    </row>
    <row r="66" spans="1:23" x14ac:dyDescent="0.25">
      <c r="A66" t="s">
        <v>602</v>
      </c>
      <c r="B66" s="117" t="s">
        <v>167</v>
      </c>
      <c r="C66" s="86">
        <f t="shared" si="2"/>
        <v>-4.5342489874977991E-3</v>
      </c>
      <c r="D66" t="s">
        <v>141</v>
      </c>
      <c r="E66" s="86">
        <f t="shared" si="3"/>
        <v>2.5498007968127491E-2</v>
      </c>
      <c r="F66" s="194">
        <v>18930</v>
      </c>
      <c r="G66" s="194">
        <v>1360</v>
      </c>
      <c r="H66" s="80">
        <v>1330</v>
      </c>
      <c r="I66" s="80">
        <v>1295</v>
      </c>
      <c r="J66" s="80">
        <v>1245</v>
      </c>
      <c r="K66" s="80">
        <v>1205</v>
      </c>
      <c r="L66" s="80">
        <v>1200</v>
      </c>
      <c r="M66" s="99" t="s">
        <v>167</v>
      </c>
      <c r="N66" s="194">
        <v>18930</v>
      </c>
      <c r="O66" s="195">
        <v>18.600000000000001</v>
      </c>
      <c r="P66" s="195">
        <v>18.5</v>
      </c>
      <c r="Q66" s="195">
        <v>18.5</v>
      </c>
      <c r="R66" s="195">
        <v>18.399999999999999</v>
      </c>
      <c r="S66" s="195">
        <v>18.3</v>
      </c>
      <c r="T66" s="195">
        <v>18.3</v>
      </c>
      <c r="U66" s="195">
        <v>18.3</v>
      </c>
      <c r="V66" s="195">
        <v>18.2</v>
      </c>
      <c r="W66" s="195">
        <v>17.899999999999999</v>
      </c>
    </row>
    <row r="67" spans="1:23" x14ac:dyDescent="0.25">
      <c r="A67" t="s">
        <v>606</v>
      </c>
      <c r="B67" s="117" t="s">
        <v>266</v>
      </c>
      <c r="C67" s="86">
        <f t="shared" si="2"/>
        <v>-2.3534770725781961E-3</v>
      </c>
      <c r="D67" t="s">
        <v>537</v>
      </c>
      <c r="E67" s="86">
        <f t="shared" si="3"/>
        <v>3.0375508251614447E-2</v>
      </c>
      <c r="F67" s="194">
        <v>42809</v>
      </c>
      <c r="G67" s="194">
        <v>4580</v>
      </c>
      <c r="H67" s="80">
        <v>4455</v>
      </c>
      <c r="I67" s="80">
        <v>4320</v>
      </c>
      <c r="J67" s="80">
        <v>4160</v>
      </c>
      <c r="K67" s="80">
        <v>4025</v>
      </c>
      <c r="L67" s="80">
        <v>3945</v>
      </c>
      <c r="M67" s="99" t="s">
        <v>266</v>
      </c>
      <c r="N67" s="194">
        <v>42809</v>
      </c>
      <c r="O67" s="195">
        <v>42.1</v>
      </c>
      <c r="P67" s="195">
        <v>41.8</v>
      </c>
      <c r="Q67" s="195">
        <v>41.5</v>
      </c>
      <c r="R67" s="195">
        <v>41.3</v>
      </c>
      <c r="S67" s="195">
        <v>41.1</v>
      </c>
      <c r="T67" s="195">
        <v>41</v>
      </c>
      <c r="U67" s="195">
        <v>41</v>
      </c>
      <c r="V67" s="195">
        <v>41</v>
      </c>
      <c r="W67" s="195">
        <v>41.6</v>
      </c>
    </row>
    <row r="68" spans="1:23" x14ac:dyDescent="0.25">
      <c r="A68" t="s">
        <v>602</v>
      </c>
      <c r="B68" s="117" t="s">
        <v>611</v>
      </c>
      <c r="C68" s="86">
        <f t="shared" si="2"/>
        <v>-1.6879851742415406E-3</v>
      </c>
      <c r="D68" t="s">
        <v>141</v>
      </c>
      <c r="E68" s="86">
        <f t="shared" si="3"/>
        <v>2.0095693779904306E-2</v>
      </c>
      <c r="F68" s="194">
        <v>51442</v>
      </c>
      <c r="G68" s="194">
        <v>5610</v>
      </c>
      <c r="H68" s="80">
        <v>5450</v>
      </c>
      <c r="I68" s="80">
        <v>5325</v>
      </c>
      <c r="J68" s="80">
        <v>5155</v>
      </c>
      <c r="K68" s="80">
        <v>5110</v>
      </c>
      <c r="L68" s="80">
        <v>5085</v>
      </c>
      <c r="M68" s="99" t="s">
        <v>611</v>
      </c>
      <c r="N68" s="194">
        <v>51442</v>
      </c>
      <c r="O68" s="195">
        <v>51.4</v>
      </c>
      <c r="P68" s="195">
        <v>51.4</v>
      </c>
      <c r="Q68" s="195">
        <v>51.3</v>
      </c>
      <c r="R68" s="195">
        <v>51.3</v>
      </c>
      <c r="S68" s="195">
        <v>51.2</v>
      </c>
      <c r="T68" s="195">
        <v>51.1</v>
      </c>
      <c r="U68" s="195">
        <v>51</v>
      </c>
      <c r="V68" s="195">
        <v>50.9</v>
      </c>
      <c r="W68" s="195">
        <v>50.4</v>
      </c>
    </row>
    <row r="69" spans="1:23" x14ac:dyDescent="0.25">
      <c r="A69" t="s">
        <v>606</v>
      </c>
      <c r="B69" s="117" t="s">
        <v>267</v>
      </c>
      <c r="C69" s="86">
        <f t="shared" si="2"/>
        <v>-2.9578189300411527E-3</v>
      </c>
      <c r="D69" t="s">
        <v>537</v>
      </c>
      <c r="E69" s="86">
        <f t="shared" si="3"/>
        <v>2.911392405063291E-2</v>
      </c>
      <c r="F69" s="194">
        <v>44064</v>
      </c>
      <c r="G69" s="194">
        <v>5225</v>
      </c>
      <c r="H69" s="80">
        <v>5000</v>
      </c>
      <c r="I69" s="80">
        <v>4880</v>
      </c>
      <c r="J69" s="80">
        <v>4720</v>
      </c>
      <c r="K69" s="80">
        <v>4565</v>
      </c>
      <c r="L69" s="80">
        <v>4535</v>
      </c>
      <c r="M69" s="99" t="s">
        <v>267</v>
      </c>
      <c r="N69" s="194">
        <v>44064</v>
      </c>
      <c r="O69" s="195">
        <v>42.5</v>
      </c>
      <c r="P69" s="195">
        <v>42.5</v>
      </c>
      <c r="Q69" s="195">
        <v>42.6</v>
      </c>
      <c r="R69" s="195">
        <v>42.6</v>
      </c>
      <c r="S69" s="195">
        <v>42.6</v>
      </c>
      <c r="T69" s="195">
        <v>42.6</v>
      </c>
      <c r="U69" s="195">
        <v>42.6</v>
      </c>
      <c r="V69" s="195">
        <v>42.6</v>
      </c>
      <c r="W69" s="195">
        <v>42.5</v>
      </c>
    </row>
    <row r="70" spans="1:23" x14ac:dyDescent="0.25">
      <c r="A70" t="s">
        <v>598</v>
      </c>
      <c r="B70" s="117" t="s">
        <v>140</v>
      </c>
      <c r="C70" s="86">
        <f t="shared" si="2"/>
        <v>-4.2019129761707305E-3</v>
      </c>
      <c r="D70" t="s">
        <v>537</v>
      </c>
      <c r="E70" s="86">
        <f t="shared" si="3"/>
        <v>3.534923339011925E-2</v>
      </c>
      <c r="F70" s="194">
        <v>24116</v>
      </c>
      <c r="G70" s="194">
        <v>2600</v>
      </c>
      <c r="H70" s="80">
        <v>2515</v>
      </c>
      <c r="I70" s="80">
        <v>2475</v>
      </c>
      <c r="J70" s="80">
        <v>2345</v>
      </c>
      <c r="K70" s="80">
        <v>2220</v>
      </c>
      <c r="L70" s="80">
        <v>2185</v>
      </c>
      <c r="M70" s="99" t="s">
        <v>140</v>
      </c>
      <c r="N70" s="194">
        <v>24116</v>
      </c>
      <c r="O70" s="195">
        <v>23.4</v>
      </c>
      <c r="P70" s="195">
        <v>23.3</v>
      </c>
      <c r="Q70" s="195">
        <v>23.2</v>
      </c>
      <c r="R70" s="195">
        <v>23.1</v>
      </c>
      <c r="S70" s="195">
        <v>23.1</v>
      </c>
      <c r="T70" s="195">
        <v>23</v>
      </c>
      <c r="U70" s="195">
        <v>23</v>
      </c>
      <c r="V70" s="195">
        <v>22.9</v>
      </c>
      <c r="W70" s="195">
        <v>22.9</v>
      </c>
    </row>
    <row r="71" spans="1:23" x14ac:dyDescent="0.25">
      <c r="A71" t="s">
        <v>603</v>
      </c>
      <c r="B71" s="117" t="s">
        <v>341</v>
      </c>
      <c r="C71" s="86">
        <f t="shared" si="2"/>
        <v>1.0481961950712253E-2</v>
      </c>
      <c r="D71" t="s">
        <v>141</v>
      </c>
      <c r="E71" s="86">
        <f t="shared" si="3"/>
        <v>3.1612368856985089E-2</v>
      </c>
      <c r="F71" s="194">
        <v>103217</v>
      </c>
      <c r="G71" s="194">
        <v>7995</v>
      </c>
      <c r="H71" s="80">
        <v>7665</v>
      </c>
      <c r="I71" s="80">
        <v>7530</v>
      </c>
      <c r="J71" s="80">
        <v>7185</v>
      </c>
      <c r="K71" s="80">
        <v>6990</v>
      </c>
      <c r="L71" s="80">
        <v>6850</v>
      </c>
      <c r="M71" s="99" t="s">
        <v>341</v>
      </c>
      <c r="N71" s="194">
        <v>103217</v>
      </c>
      <c r="O71" s="195">
        <v>105.3</v>
      </c>
      <c r="P71" s="195">
        <v>106.1</v>
      </c>
      <c r="Q71" s="195">
        <v>106.7</v>
      </c>
      <c r="R71" s="195">
        <v>107.2</v>
      </c>
      <c r="S71" s="195">
        <v>108</v>
      </c>
      <c r="T71" s="195">
        <v>108.8</v>
      </c>
      <c r="U71" s="195">
        <v>109.9</v>
      </c>
      <c r="V71" s="195">
        <v>111.2</v>
      </c>
      <c r="W71" s="195">
        <v>116.2</v>
      </c>
    </row>
    <row r="72" spans="1:23" x14ac:dyDescent="0.25">
      <c r="A72" t="s">
        <v>607</v>
      </c>
      <c r="B72" s="117" t="s">
        <v>146</v>
      </c>
      <c r="C72" s="86">
        <f t="shared" si="2"/>
        <v>-1.3183455421101622E-2</v>
      </c>
      <c r="D72" t="s">
        <v>509</v>
      </c>
      <c r="E72" s="86">
        <f t="shared" si="3"/>
        <v>5.2015604681404422E-3</v>
      </c>
      <c r="F72" s="194">
        <v>24709</v>
      </c>
      <c r="G72" s="194">
        <v>1580</v>
      </c>
      <c r="H72" s="80">
        <v>1590</v>
      </c>
      <c r="I72" s="80">
        <v>1565</v>
      </c>
      <c r="J72" s="80">
        <v>1510</v>
      </c>
      <c r="K72" s="80">
        <v>1485</v>
      </c>
      <c r="L72" s="80">
        <v>1540</v>
      </c>
      <c r="M72" s="99" t="s">
        <v>146</v>
      </c>
      <c r="N72" s="194">
        <v>24709</v>
      </c>
      <c r="O72" s="195">
        <v>24.4</v>
      </c>
      <c r="P72" s="195">
        <v>24</v>
      </c>
      <c r="Q72" s="195">
        <v>23.7</v>
      </c>
      <c r="R72" s="195">
        <v>23.3</v>
      </c>
      <c r="S72" s="195">
        <v>23</v>
      </c>
      <c r="T72" s="195">
        <v>22.6</v>
      </c>
      <c r="U72" s="195">
        <v>22.3</v>
      </c>
      <c r="V72" s="195">
        <v>21.9</v>
      </c>
      <c r="W72" s="195">
        <v>20.8</v>
      </c>
    </row>
    <row r="73" spans="1:23" x14ac:dyDescent="0.25">
      <c r="A73" t="s">
        <v>600</v>
      </c>
      <c r="B73" s="117" t="s">
        <v>296</v>
      </c>
      <c r="C73" s="86">
        <f t="shared" si="2"/>
        <v>-4.9460431654676255E-3</v>
      </c>
      <c r="D73" t="s">
        <v>509</v>
      </c>
      <c r="E73" s="86">
        <f t="shared" si="3"/>
        <v>2.019473494410386E-2</v>
      </c>
      <c r="F73" s="194">
        <v>55600</v>
      </c>
      <c r="G73" s="194">
        <v>2975</v>
      </c>
      <c r="H73" s="80">
        <v>2875</v>
      </c>
      <c r="I73" s="80">
        <v>2825</v>
      </c>
      <c r="J73" s="80">
        <v>2765</v>
      </c>
      <c r="K73" s="80">
        <v>2705</v>
      </c>
      <c r="L73" s="80">
        <v>2695</v>
      </c>
      <c r="M73" s="99" t="s">
        <v>296</v>
      </c>
      <c r="N73" s="194">
        <v>55600</v>
      </c>
      <c r="O73" s="195">
        <v>55.4</v>
      </c>
      <c r="P73" s="195">
        <v>55</v>
      </c>
      <c r="Q73" s="195">
        <v>54.8</v>
      </c>
      <c r="R73" s="195">
        <v>54.5</v>
      </c>
      <c r="S73" s="195">
        <v>54.3</v>
      </c>
      <c r="T73" s="195">
        <v>54</v>
      </c>
      <c r="U73" s="195">
        <v>53.7</v>
      </c>
      <c r="V73" s="195">
        <v>53.4</v>
      </c>
      <c r="W73" s="195">
        <v>52.3</v>
      </c>
    </row>
    <row r="74" spans="1:23" x14ac:dyDescent="0.25">
      <c r="A74" t="s">
        <v>599</v>
      </c>
      <c r="B74" s="117" t="s">
        <v>417</v>
      </c>
      <c r="C74" s="86">
        <f t="shared" si="2"/>
        <v>2.6941542519214523E-3</v>
      </c>
      <c r="D74" t="s">
        <v>141</v>
      </c>
      <c r="E74" s="86">
        <f t="shared" si="3"/>
        <v>2.4092297251442144E-2</v>
      </c>
      <c r="F74" s="194">
        <v>32354</v>
      </c>
      <c r="G74" s="194">
        <v>3200</v>
      </c>
      <c r="H74" s="80">
        <v>3070</v>
      </c>
      <c r="I74" s="80">
        <v>3035</v>
      </c>
      <c r="J74" s="80">
        <v>2930</v>
      </c>
      <c r="K74" s="80">
        <v>2855</v>
      </c>
      <c r="L74" s="80">
        <v>2845</v>
      </c>
      <c r="M74" s="99" t="s">
        <v>417</v>
      </c>
      <c r="N74" s="194">
        <v>32354</v>
      </c>
      <c r="O74" s="195">
        <v>32.200000000000003</v>
      </c>
      <c r="P74" s="195">
        <v>32.4</v>
      </c>
      <c r="Q74" s="195">
        <v>32.5</v>
      </c>
      <c r="R74" s="195">
        <v>32.6</v>
      </c>
      <c r="S74" s="195">
        <v>32.700000000000003</v>
      </c>
      <c r="T74" s="195">
        <v>32.9</v>
      </c>
      <c r="U74" s="195">
        <v>33</v>
      </c>
      <c r="V74" s="195">
        <v>33</v>
      </c>
      <c r="W74" s="195">
        <v>33.4</v>
      </c>
    </row>
    <row r="75" spans="1:23" x14ac:dyDescent="0.25">
      <c r="A75" t="s">
        <v>604</v>
      </c>
      <c r="B75" s="117" t="s">
        <v>188</v>
      </c>
      <c r="C75" s="86">
        <f t="shared" si="2"/>
        <v>1.4666986855578126E-3</v>
      </c>
      <c r="D75" t="s">
        <v>509</v>
      </c>
      <c r="E75" s="86">
        <f t="shared" si="3"/>
        <v>3.3402001177163035E-2</v>
      </c>
      <c r="F75" s="194">
        <v>99941</v>
      </c>
      <c r="G75" s="194">
        <v>7555</v>
      </c>
      <c r="H75" s="80">
        <v>7240</v>
      </c>
      <c r="I75" s="80">
        <v>7045</v>
      </c>
      <c r="J75" s="80">
        <v>6790</v>
      </c>
      <c r="K75" s="80">
        <v>6485</v>
      </c>
      <c r="L75" s="80">
        <v>6420</v>
      </c>
      <c r="M75" s="99" t="s">
        <v>188</v>
      </c>
      <c r="N75" s="194">
        <v>99941</v>
      </c>
      <c r="O75" s="195">
        <v>99.6</v>
      </c>
      <c r="P75" s="195">
        <v>100</v>
      </c>
      <c r="Q75" s="195">
        <v>100.3</v>
      </c>
      <c r="R75" s="195">
        <v>100.5</v>
      </c>
      <c r="S75" s="195">
        <v>100.6</v>
      </c>
      <c r="T75" s="195">
        <v>100.8</v>
      </c>
      <c r="U75" s="195">
        <v>100.9</v>
      </c>
      <c r="V75" s="195">
        <v>101</v>
      </c>
      <c r="W75" s="195">
        <v>101.7</v>
      </c>
    </row>
    <row r="76" spans="1:23" x14ac:dyDescent="0.25">
      <c r="A76" t="s">
        <v>600</v>
      </c>
      <c r="B76" s="117" t="s">
        <v>297</v>
      </c>
      <c r="C76" s="86">
        <f t="shared" si="2"/>
        <v>1.9103464018718253E-2</v>
      </c>
      <c r="D76" t="s">
        <v>141</v>
      </c>
      <c r="E76" s="86">
        <f t="shared" si="3"/>
        <v>5.7656826568265686E-2</v>
      </c>
      <c r="F76" s="194">
        <v>29205</v>
      </c>
      <c r="G76" s="194">
        <v>2595</v>
      </c>
      <c r="H76" s="80">
        <v>2305</v>
      </c>
      <c r="I76" s="80">
        <v>2315</v>
      </c>
      <c r="J76" s="80">
        <v>2210</v>
      </c>
      <c r="K76" s="80">
        <v>2040</v>
      </c>
      <c r="L76" s="80">
        <v>1970</v>
      </c>
      <c r="M76" s="99" t="s">
        <v>297</v>
      </c>
      <c r="N76" s="194">
        <v>29205</v>
      </c>
      <c r="O76" s="195">
        <v>28.7</v>
      </c>
      <c r="P76" s="195">
        <v>29.3</v>
      </c>
      <c r="Q76" s="195">
        <v>30</v>
      </c>
      <c r="R76" s="195">
        <v>30.8</v>
      </c>
      <c r="S76" s="195">
        <v>31.5</v>
      </c>
      <c r="T76" s="195">
        <v>32.1</v>
      </c>
      <c r="U76" s="195">
        <v>32.799999999999997</v>
      </c>
      <c r="V76" s="195">
        <v>33.5</v>
      </c>
      <c r="W76" s="195">
        <v>35.9</v>
      </c>
    </row>
    <row r="77" spans="1:23" x14ac:dyDescent="0.25">
      <c r="A77" t="s">
        <v>604</v>
      </c>
      <c r="B77" s="117" t="s">
        <v>189</v>
      </c>
      <c r="C77" s="86">
        <f t="shared" si="2"/>
        <v>-5.1885598582637306E-3</v>
      </c>
      <c r="D77" t="s">
        <v>537</v>
      </c>
      <c r="E77" s="86">
        <f t="shared" si="3"/>
        <v>3.0546623794212219E-2</v>
      </c>
      <c r="F77" s="194">
        <v>26340</v>
      </c>
      <c r="G77" s="194">
        <v>2730</v>
      </c>
      <c r="H77" s="80">
        <v>2630</v>
      </c>
      <c r="I77" s="80">
        <v>2590</v>
      </c>
      <c r="J77" s="80">
        <v>2470</v>
      </c>
      <c r="K77" s="80">
        <v>2400</v>
      </c>
      <c r="L77" s="80">
        <v>2350</v>
      </c>
      <c r="M77" s="99" t="s">
        <v>189</v>
      </c>
      <c r="N77" s="194">
        <v>26340</v>
      </c>
      <c r="O77" s="195">
        <v>26.2</v>
      </c>
      <c r="P77" s="195">
        <v>26</v>
      </c>
      <c r="Q77" s="195">
        <v>25.9</v>
      </c>
      <c r="R77" s="195">
        <v>25.8</v>
      </c>
      <c r="S77" s="195">
        <v>25.7</v>
      </c>
      <c r="T77" s="195">
        <v>25.5</v>
      </c>
      <c r="U77" s="195">
        <v>25.4</v>
      </c>
      <c r="V77" s="195">
        <v>25.3</v>
      </c>
      <c r="W77" s="195">
        <v>24.7</v>
      </c>
    </row>
    <row r="78" spans="1:23" x14ac:dyDescent="0.25">
      <c r="A78" t="s">
        <v>601</v>
      </c>
      <c r="B78" s="117" t="s">
        <v>219</v>
      </c>
      <c r="C78" s="86">
        <f t="shared" si="2"/>
        <v>4.1733979536887449E-3</v>
      </c>
      <c r="D78" t="s">
        <v>509</v>
      </c>
      <c r="E78" s="86">
        <f t="shared" si="3"/>
        <v>2.1592442645074223E-2</v>
      </c>
      <c r="F78" s="194">
        <v>11142</v>
      </c>
      <c r="G78" s="194">
        <v>795</v>
      </c>
      <c r="H78" s="80">
        <v>765</v>
      </c>
      <c r="I78" s="80">
        <v>765</v>
      </c>
      <c r="J78" s="80">
        <v>755</v>
      </c>
      <c r="K78" s="80">
        <v>705</v>
      </c>
      <c r="L78" s="80">
        <v>715</v>
      </c>
      <c r="M78" s="99" t="s">
        <v>219</v>
      </c>
      <c r="N78" s="194">
        <v>11142</v>
      </c>
      <c r="O78" s="195">
        <v>11.9</v>
      </c>
      <c r="P78" s="195">
        <v>11.9</v>
      </c>
      <c r="Q78" s="195">
        <v>11.8</v>
      </c>
      <c r="R78" s="195">
        <v>11.8</v>
      </c>
      <c r="S78" s="195">
        <v>11.8</v>
      </c>
      <c r="T78" s="195">
        <v>11.8</v>
      </c>
      <c r="U78" s="195">
        <v>11.8</v>
      </c>
      <c r="V78" s="195">
        <v>11.8</v>
      </c>
      <c r="W78" s="195">
        <v>11.7</v>
      </c>
    </row>
    <row r="79" spans="1:23" x14ac:dyDescent="0.25">
      <c r="A79" t="s">
        <v>601</v>
      </c>
      <c r="B79" s="117" t="s">
        <v>220</v>
      </c>
      <c r="C79" s="86">
        <f t="shared" si="2"/>
        <v>-3.5379339508425584E-3</v>
      </c>
      <c r="D79" t="s">
        <v>509</v>
      </c>
      <c r="E79" s="86">
        <f t="shared" si="3"/>
        <v>2.8074866310160429E-2</v>
      </c>
      <c r="F79" s="194">
        <v>57543</v>
      </c>
      <c r="G79" s="194">
        <v>4905</v>
      </c>
      <c r="H79" s="80">
        <v>4745</v>
      </c>
      <c r="I79" s="80">
        <v>4600</v>
      </c>
      <c r="J79" s="80">
        <v>4530</v>
      </c>
      <c r="K79" s="80">
        <v>4290</v>
      </c>
      <c r="L79" s="80">
        <v>4275</v>
      </c>
      <c r="M79" s="99" t="s">
        <v>220</v>
      </c>
      <c r="N79" s="194">
        <v>57543</v>
      </c>
      <c r="O79" s="195">
        <v>56.7</v>
      </c>
      <c r="P79" s="195">
        <v>56.6</v>
      </c>
      <c r="Q79" s="195">
        <v>56.4</v>
      </c>
      <c r="R79" s="195">
        <v>56.3</v>
      </c>
      <c r="S79" s="195">
        <v>56.1</v>
      </c>
      <c r="T79" s="195">
        <v>55.9</v>
      </c>
      <c r="U79" s="195">
        <v>55.8</v>
      </c>
      <c r="V79" s="195">
        <v>55.7</v>
      </c>
      <c r="W79" s="195">
        <v>55.1</v>
      </c>
    </row>
    <row r="80" spans="1:23" x14ac:dyDescent="0.25">
      <c r="A80" t="s">
        <v>599</v>
      </c>
      <c r="B80" s="117" t="s">
        <v>418</v>
      </c>
      <c r="C80" s="86">
        <f t="shared" si="2"/>
        <v>4.4447002545310363E-4</v>
      </c>
      <c r="D80" t="s">
        <v>537</v>
      </c>
      <c r="E80" s="86">
        <f t="shared" si="3"/>
        <v>2.9880478087649404E-2</v>
      </c>
      <c r="F80" s="194">
        <v>26061</v>
      </c>
      <c r="G80" s="194">
        <v>2210</v>
      </c>
      <c r="H80" s="80">
        <v>2140</v>
      </c>
      <c r="I80" s="80">
        <v>2065</v>
      </c>
      <c r="J80" s="80">
        <v>1990</v>
      </c>
      <c r="K80" s="80">
        <v>1935</v>
      </c>
      <c r="L80" s="80">
        <v>1910</v>
      </c>
      <c r="M80" s="99" t="s">
        <v>418</v>
      </c>
      <c r="N80" s="194">
        <v>26061</v>
      </c>
      <c r="O80" s="195">
        <v>25.6</v>
      </c>
      <c r="P80" s="195">
        <v>25.8</v>
      </c>
      <c r="Q80" s="195">
        <v>25.8</v>
      </c>
      <c r="R80" s="195">
        <v>25.9</v>
      </c>
      <c r="S80" s="195">
        <v>26</v>
      </c>
      <c r="T80" s="195">
        <v>26</v>
      </c>
      <c r="U80" s="195">
        <v>26.1</v>
      </c>
      <c r="V80" s="195">
        <v>26.1</v>
      </c>
      <c r="W80" s="195">
        <v>26.2</v>
      </c>
    </row>
    <row r="81" spans="1:23" x14ac:dyDescent="0.25">
      <c r="A81" t="s">
        <v>603</v>
      </c>
      <c r="B81" s="117" t="s">
        <v>342</v>
      </c>
      <c r="C81" s="86">
        <f t="shared" si="2"/>
        <v>3.5344001842691456E-3</v>
      </c>
      <c r="D81" t="s">
        <v>509</v>
      </c>
      <c r="E81" s="86">
        <f t="shared" si="3"/>
        <v>2.9209213963429115E-2</v>
      </c>
      <c r="F81" s="194">
        <v>118667</v>
      </c>
      <c r="G81" s="194">
        <v>9195</v>
      </c>
      <c r="H81" s="80">
        <v>8795</v>
      </c>
      <c r="I81" s="80">
        <v>8805</v>
      </c>
      <c r="J81" s="80">
        <v>8435</v>
      </c>
      <c r="K81" s="80">
        <v>8110</v>
      </c>
      <c r="L81" s="80">
        <v>7965</v>
      </c>
      <c r="M81" s="99" t="s">
        <v>342</v>
      </c>
      <c r="N81" s="194">
        <v>118667</v>
      </c>
      <c r="O81" s="195">
        <v>120.5</v>
      </c>
      <c r="P81" s="195">
        <v>120.9</v>
      </c>
      <c r="Q81" s="195">
        <v>121.2</v>
      </c>
      <c r="R81" s="195">
        <v>121.5</v>
      </c>
      <c r="S81" s="195">
        <v>121.8</v>
      </c>
      <c r="T81" s="195">
        <v>122.1</v>
      </c>
      <c r="U81" s="195">
        <v>122.5</v>
      </c>
      <c r="V81" s="195">
        <v>122.7</v>
      </c>
      <c r="W81" s="195">
        <v>123.7</v>
      </c>
    </row>
    <row r="82" spans="1:23" x14ac:dyDescent="0.25">
      <c r="A82" t="s">
        <v>600</v>
      </c>
      <c r="B82" s="117" t="s">
        <v>298</v>
      </c>
      <c r="C82" s="86">
        <f t="shared" si="2"/>
        <v>6.7843297286268112E-3</v>
      </c>
      <c r="D82" t="s">
        <v>537</v>
      </c>
      <c r="E82" s="86">
        <f t="shared" si="3"/>
        <v>2.6330532212885154E-2</v>
      </c>
      <c r="F82" s="194">
        <v>19604</v>
      </c>
      <c r="G82" s="194">
        <v>1955</v>
      </c>
      <c r="H82" s="80">
        <v>1870</v>
      </c>
      <c r="I82" s="80">
        <v>1840</v>
      </c>
      <c r="J82" s="80">
        <v>1770</v>
      </c>
      <c r="K82" s="80">
        <v>1725</v>
      </c>
      <c r="L82" s="80">
        <v>1720</v>
      </c>
      <c r="M82" s="99" t="s">
        <v>298</v>
      </c>
      <c r="N82" s="194">
        <v>19604</v>
      </c>
      <c r="O82" s="195">
        <v>20.3</v>
      </c>
      <c r="P82" s="195">
        <v>20.399999999999999</v>
      </c>
      <c r="Q82" s="195">
        <v>20.5</v>
      </c>
      <c r="R82" s="195">
        <v>20.6</v>
      </c>
      <c r="S82" s="195">
        <v>20.6</v>
      </c>
      <c r="T82" s="195">
        <v>20.7</v>
      </c>
      <c r="U82" s="195">
        <v>20.8</v>
      </c>
      <c r="V82" s="195">
        <v>20.8</v>
      </c>
      <c r="W82" s="195">
        <v>21.2</v>
      </c>
    </row>
    <row r="83" spans="1:23" x14ac:dyDescent="0.25">
      <c r="A83" t="s">
        <v>599</v>
      </c>
      <c r="B83" s="117" t="s">
        <v>419</v>
      </c>
      <c r="C83" s="86">
        <f t="shared" si="2"/>
        <v>-4.4854330805291706E-3</v>
      </c>
      <c r="D83" t="s">
        <v>537</v>
      </c>
      <c r="E83" s="86">
        <f t="shared" si="3"/>
        <v>2.6282853566958697E-2</v>
      </c>
      <c r="F83" s="194">
        <v>27162</v>
      </c>
      <c r="G83" s="194">
        <v>2595</v>
      </c>
      <c r="H83" s="80">
        <v>2525</v>
      </c>
      <c r="I83" s="80">
        <v>2480</v>
      </c>
      <c r="J83" s="80">
        <v>2405</v>
      </c>
      <c r="K83" s="80">
        <v>2295</v>
      </c>
      <c r="L83" s="80">
        <v>2280</v>
      </c>
      <c r="M83" s="99" t="s">
        <v>419</v>
      </c>
      <c r="N83" s="194">
        <v>27162</v>
      </c>
      <c r="O83" s="195">
        <v>26.8</v>
      </c>
      <c r="P83" s="195">
        <v>26.8</v>
      </c>
      <c r="Q83" s="195">
        <v>26.8</v>
      </c>
      <c r="R83" s="195">
        <v>26.8</v>
      </c>
      <c r="S83" s="195">
        <v>26.7</v>
      </c>
      <c r="T83" s="195">
        <v>26.7</v>
      </c>
      <c r="U83" s="195">
        <v>26.6</v>
      </c>
      <c r="V83" s="195">
        <v>26.4</v>
      </c>
      <c r="W83" s="195">
        <v>25.7</v>
      </c>
    </row>
    <row r="84" spans="1:23" x14ac:dyDescent="0.25">
      <c r="A84" t="s">
        <v>605</v>
      </c>
      <c r="B84" s="117" t="s">
        <v>495</v>
      </c>
      <c r="C84" s="86">
        <f t="shared" si="2"/>
        <v>7.972399931367502E-3</v>
      </c>
      <c r="D84" t="s">
        <v>537</v>
      </c>
      <c r="E84" s="86">
        <f t="shared" si="3"/>
        <v>2.8366762177650429E-2</v>
      </c>
      <c r="F84" s="194">
        <v>40797</v>
      </c>
      <c r="G84" s="194">
        <v>3800</v>
      </c>
      <c r="H84" s="80">
        <v>3670</v>
      </c>
      <c r="I84" s="80">
        <v>3605</v>
      </c>
      <c r="J84" s="80">
        <v>3480</v>
      </c>
      <c r="K84" s="80">
        <v>3390</v>
      </c>
      <c r="L84" s="80">
        <v>3305</v>
      </c>
      <c r="M84" s="99" t="s">
        <v>495</v>
      </c>
      <c r="N84" s="194">
        <v>40797</v>
      </c>
      <c r="O84" s="195">
        <v>42.5</v>
      </c>
      <c r="P84" s="195">
        <v>42.8</v>
      </c>
      <c r="Q84" s="195">
        <v>43</v>
      </c>
      <c r="R84" s="195">
        <v>43.3</v>
      </c>
      <c r="S84" s="195">
        <v>43.5</v>
      </c>
      <c r="T84" s="195">
        <v>43.7</v>
      </c>
      <c r="U84" s="195">
        <v>43.9</v>
      </c>
      <c r="V84" s="195">
        <v>44</v>
      </c>
      <c r="W84" s="195">
        <v>44.7</v>
      </c>
    </row>
    <row r="85" spans="1:23" x14ac:dyDescent="0.25">
      <c r="A85" t="s">
        <v>601</v>
      </c>
      <c r="B85" s="117" t="s">
        <v>221</v>
      </c>
      <c r="C85" s="86">
        <f t="shared" si="2"/>
        <v>-4.8341316302998047E-3</v>
      </c>
      <c r="D85" t="s">
        <v>141</v>
      </c>
      <c r="E85" s="86">
        <f t="shared" si="3"/>
        <v>3.1356509884117249E-2</v>
      </c>
      <c r="F85" s="194">
        <v>18790</v>
      </c>
      <c r="G85" s="194">
        <v>1605</v>
      </c>
      <c r="H85" s="80">
        <v>1545</v>
      </c>
      <c r="I85" s="80">
        <v>1520</v>
      </c>
      <c r="J85" s="80">
        <v>1480</v>
      </c>
      <c r="K85" s="80">
        <v>1415</v>
      </c>
      <c r="L85" s="80">
        <v>1375</v>
      </c>
      <c r="M85" s="99" t="s">
        <v>221</v>
      </c>
      <c r="N85" s="194">
        <v>18790</v>
      </c>
      <c r="O85" s="195">
        <v>18.100000000000001</v>
      </c>
      <c r="P85" s="195">
        <v>18.100000000000001</v>
      </c>
      <c r="Q85" s="195">
        <v>18.100000000000001</v>
      </c>
      <c r="R85" s="195">
        <v>18.100000000000001</v>
      </c>
      <c r="S85" s="195">
        <v>18</v>
      </c>
      <c r="T85" s="195">
        <v>17.899999999999999</v>
      </c>
      <c r="U85" s="195">
        <v>17.899999999999999</v>
      </c>
      <c r="V85" s="195">
        <v>17.8</v>
      </c>
      <c r="W85" s="195">
        <v>17.7</v>
      </c>
    </row>
    <row r="86" spans="1:23" x14ac:dyDescent="0.25">
      <c r="A86" t="s">
        <v>601</v>
      </c>
      <c r="B86" s="117" t="s">
        <v>222</v>
      </c>
      <c r="C86" s="86">
        <f t="shared" si="2"/>
        <v>-7.8600839285949205E-4</v>
      </c>
      <c r="D86" t="s">
        <v>537</v>
      </c>
      <c r="E86" s="86">
        <f t="shared" si="3"/>
        <v>2.40831964969896E-2</v>
      </c>
      <c r="F86" s="194">
        <v>25339</v>
      </c>
      <c r="G86" s="194">
        <v>1995</v>
      </c>
      <c r="H86" s="80">
        <v>1905</v>
      </c>
      <c r="I86" s="80">
        <v>1865</v>
      </c>
      <c r="J86" s="80">
        <v>1840</v>
      </c>
      <c r="K86" s="80">
        <v>1750</v>
      </c>
      <c r="L86" s="80">
        <v>1775</v>
      </c>
      <c r="M86" s="99" t="s">
        <v>222</v>
      </c>
      <c r="N86" s="194">
        <v>25339</v>
      </c>
      <c r="O86" s="195">
        <v>25.8</v>
      </c>
      <c r="P86" s="195">
        <v>25.6</v>
      </c>
      <c r="Q86" s="195">
        <v>25.5</v>
      </c>
      <c r="R86" s="195">
        <v>25.4</v>
      </c>
      <c r="S86" s="195">
        <v>25.3</v>
      </c>
      <c r="T86" s="195">
        <v>25.2</v>
      </c>
      <c r="U86" s="195">
        <v>25.2</v>
      </c>
      <c r="V86" s="195">
        <v>25.1</v>
      </c>
      <c r="W86" s="195">
        <v>25.1</v>
      </c>
    </row>
    <row r="87" spans="1:23" x14ac:dyDescent="0.25">
      <c r="A87" t="s">
        <v>608</v>
      </c>
      <c r="B87" s="117" t="s">
        <v>465</v>
      </c>
      <c r="C87" s="86">
        <f t="shared" si="2"/>
        <v>-9.1112094208852087E-4</v>
      </c>
      <c r="D87" t="s">
        <v>141</v>
      </c>
      <c r="E87" s="86">
        <f t="shared" si="3"/>
        <v>1.9953051643192488E-2</v>
      </c>
      <c r="F87" s="194">
        <v>31646</v>
      </c>
      <c r="G87" s="194">
        <v>2725</v>
      </c>
      <c r="H87" s="80">
        <v>2680</v>
      </c>
      <c r="I87" s="80">
        <v>2625</v>
      </c>
      <c r="J87" s="80">
        <v>2510</v>
      </c>
      <c r="K87" s="80">
        <v>2495</v>
      </c>
      <c r="L87" s="80">
        <v>2470</v>
      </c>
      <c r="M87" s="99" t="s">
        <v>465</v>
      </c>
      <c r="N87" s="194">
        <v>31646</v>
      </c>
      <c r="O87" s="195">
        <v>32</v>
      </c>
      <c r="P87" s="195">
        <v>31.8</v>
      </c>
      <c r="Q87" s="195">
        <v>31.7</v>
      </c>
      <c r="R87" s="195">
        <v>31.7</v>
      </c>
      <c r="S87" s="195">
        <v>31.7</v>
      </c>
      <c r="T87" s="195">
        <v>31.7</v>
      </c>
      <c r="U87" s="195">
        <v>31.7</v>
      </c>
      <c r="V87" s="195">
        <v>31.6</v>
      </c>
      <c r="W87" s="195">
        <v>31.3</v>
      </c>
    </row>
    <row r="88" spans="1:23" x14ac:dyDescent="0.25">
      <c r="A88" t="s">
        <v>600</v>
      </c>
      <c r="B88" s="117" t="s">
        <v>299</v>
      </c>
      <c r="C88" s="86">
        <f t="shared" si="2"/>
        <v>3.4770321937164072E-3</v>
      </c>
      <c r="D88" t="s">
        <v>537</v>
      </c>
      <c r="E88" s="86">
        <f t="shared" si="3"/>
        <v>3.1275060144346431E-2</v>
      </c>
      <c r="F88" s="194">
        <v>36094</v>
      </c>
      <c r="G88" s="194">
        <v>4145</v>
      </c>
      <c r="H88" s="80">
        <v>3970</v>
      </c>
      <c r="I88" s="80">
        <v>3870</v>
      </c>
      <c r="J88" s="80">
        <v>3715</v>
      </c>
      <c r="K88" s="80">
        <v>3590</v>
      </c>
      <c r="L88" s="80">
        <v>3560</v>
      </c>
      <c r="M88" s="99" t="s">
        <v>299</v>
      </c>
      <c r="N88" s="194">
        <v>36094</v>
      </c>
      <c r="O88" s="195">
        <v>36.1</v>
      </c>
      <c r="P88" s="196">
        <v>36.200000000000003</v>
      </c>
      <c r="Q88" s="195">
        <v>36.5</v>
      </c>
      <c r="R88" s="195">
        <v>36.700000000000003</v>
      </c>
      <c r="S88" s="195">
        <v>36.799999999999997</v>
      </c>
      <c r="T88" s="195">
        <v>37</v>
      </c>
      <c r="U88" s="195">
        <v>37.1</v>
      </c>
      <c r="V88" s="195">
        <v>37.299999999999997</v>
      </c>
      <c r="W88" s="195">
        <v>37.6</v>
      </c>
    </row>
    <row r="89" spans="1:23" x14ac:dyDescent="0.25">
      <c r="A89" t="s">
        <v>601</v>
      </c>
      <c r="B89" s="117" t="s">
        <v>223</v>
      </c>
      <c r="C89" s="86">
        <f t="shared" si="2"/>
        <v>4.3692899687784422E-3</v>
      </c>
      <c r="D89" t="s">
        <v>509</v>
      </c>
      <c r="E89" s="86">
        <f t="shared" si="3"/>
        <v>3.7408287692466673E-2</v>
      </c>
      <c r="F89" s="194">
        <v>115732</v>
      </c>
      <c r="G89" s="194">
        <v>10830</v>
      </c>
      <c r="H89" s="80">
        <v>10335</v>
      </c>
      <c r="I89" s="80">
        <v>10100</v>
      </c>
      <c r="J89" s="80">
        <v>9685</v>
      </c>
      <c r="K89" s="80">
        <v>9245</v>
      </c>
      <c r="L89" s="80">
        <v>9020</v>
      </c>
      <c r="M89" s="99" t="s">
        <v>223</v>
      </c>
      <c r="N89" s="194">
        <v>115732</v>
      </c>
      <c r="O89" s="195">
        <v>114.6</v>
      </c>
      <c r="P89" s="195">
        <v>114.9</v>
      </c>
      <c r="Q89" s="195">
        <v>115.4</v>
      </c>
      <c r="R89" s="195">
        <v>116</v>
      </c>
      <c r="S89" s="195">
        <v>116.7</v>
      </c>
      <c r="T89" s="195">
        <v>117.3</v>
      </c>
      <c r="U89" s="195">
        <v>118</v>
      </c>
      <c r="V89" s="195">
        <v>118.8</v>
      </c>
      <c r="W89" s="195">
        <v>121.8</v>
      </c>
    </row>
    <row r="90" spans="1:23" x14ac:dyDescent="0.25">
      <c r="A90" t="s">
        <v>606</v>
      </c>
      <c r="B90" s="117" t="s">
        <v>268</v>
      </c>
      <c r="C90" s="86">
        <f t="shared" si="2"/>
        <v>-1.9834740960111147E-3</v>
      </c>
      <c r="D90" t="s">
        <v>537</v>
      </c>
      <c r="E90" s="86">
        <f t="shared" si="3"/>
        <v>2.8518859245630176E-2</v>
      </c>
      <c r="F90" s="194">
        <v>9117</v>
      </c>
      <c r="G90" s="194">
        <v>1180</v>
      </c>
      <c r="H90" s="80">
        <v>1125</v>
      </c>
      <c r="I90" s="80">
        <v>1130</v>
      </c>
      <c r="J90" s="80">
        <v>1090</v>
      </c>
      <c r="K90" s="80">
        <v>1065</v>
      </c>
      <c r="L90" s="80">
        <v>1025</v>
      </c>
      <c r="M90" s="99" t="s">
        <v>268</v>
      </c>
      <c r="N90" s="194">
        <v>9117</v>
      </c>
      <c r="O90" s="195">
        <v>9</v>
      </c>
      <c r="P90" s="195">
        <v>9</v>
      </c>
      <c r="Q90" s="195">
        <v>9</v>
      </c>
      <c r="R90" s="195">
        <v>9</v>
      </c>
      <c r="S90" s="195">
        <v>8.9</v>
      </c>
      <c r="T90" s="195">
        <v>8.9</v>
      </c>
      <c r="U90" s="195">
        <v>8.9</v>
      </c>
      <c r="V90" s="195">
        <v>8.9</v>
      </c>
      <c r="W90" s="195">
        <v>8.9</v>
      </c>
    </row>
    <row r="91" spans="1:23" x14ac:dyDescent="0.25">
      <c r="A91" t="s">
        <v>599</v>
      </c>
      <c r="B91" s="117" t="s">
        <v>420</v>
      </c>
      <c r="C91" s="86">
        <f t="shared" si="2"/>
        <v>2.1322798388362721E-3</v>
      </c>
      <c r="D91" t="s">
        <v>537</v>
      </c>
      <c r="E91" s="86">
        <f t="shared" si="3"/>
        <v>2.8291621327529923E-2</v>
      </c>
      <c r="F91" s="194">
        <v>19111</v>
      </c>
      <c r="G91" s="194">
        <v>2020</v>
      </c>
      <c r="H91" s="80">
        <v>1935</v>
      </c>
      <c r="I91" s="80">
        <v>1875</v>
      </c>
      <c r="J91" s="80">
        <v>1835</v>
      </c>
      <c r="K91" s="80">
        <v>1785</v>
      </c>
      <c r="L91" s="80">
        <v>1760</v>
      </c>
      <c r="M91" s="99" t="s">
        <v>420</v>
      </c>
      <c r="N91" s="194">
        <v>19111</v>
      </c>
      <c r="O91" s="195">
        <v>18.7</v>
      </c>
      <c r="P91" s="195">
        <v>18.8</v>
      </c>
      <c r="Q91" s="195">
        <v>18.899999999999999</v>
      </c>
      <c r="R91" s="195">
        <v>19</v>
      </c>
      <c r="S91" s="195">
        <v>19</v>
      </c>
      <c r="T91" s="195">
        <v>19.100000000000001</v>
      </c>
      <c r="U91" s="195">
        <v>19.2</v>
      </c>
      <c r="V91" s="195">
        <v>19.3</v>
      </c>
      <c r="W91" s="195">
        <v>19.600000000000001</v>
      </c>
    </row>
    <row r="92" spans="1:23" x14ac:dyDescent="0.25">
      <c r="A92" t="s">
        <v>608</v>
      </c>
      <c r="B92" s="117" t="s">
        <v>466</v>
      </c>
      <c r="C92" s="86">
        <f t="shared" si="2"/>
        <v>-1.7995894077596736E-3</v>
      </c>
      <c r="D92" t="s">
        <v>537</v>
      </c>
      <c r="E92" s="86">
        <f t="shared" si="3"/>
        <v>3.81246780010304E-2</v>
      </c>
      <c r="F92" s="194">
        <v>25654</v>
      </c>
      <c r="G92" s="194">
        <v>2195</v>
      </c>
      <c r="H92" s="80">
        <v>2075</v>
      </c>
      <c r="I92" s="80">
        <v>2030</v>
      </c>
      <c r="J92" s="80">
        <v>1925</v>
      </c>
      <c r="K92" s="80">
        <v>1850</v>
      </c>
      <c r="L92" s="80">
        <v>1825</v>
      </c>
      <c r="M92" s="99" t="s">
        <v>466</v>
      </c>
      <c r="N92" s="194">
        <v>25654</v>
      </c>
      <c r="O92" s="195">
        <v>26</v>
      </c>
      <c r="P92" s="195">
        <v>26.1</v>
      </c>
      <c r="Q92" s="195">
        <v>26.1</v>
      </c>
      <c r="R92" s="195">
        <v>26.3</v>
      </c>
      <c r="S92" s="195">
        <v>26.2</v>
      </c>
      <c r="T92" s="195">
        <v>26.2</v>
      </c>
      <c r="U92" s="195">
        <v>26</v>
      </c>
      <c r="V92" s="195">
        <v>25.8</v>
      </c>
      <c r="W92" s="195">
        <v>25.1</v>
      </c>
    </row>
    <row r="93" spans="1:23" x14ac:dyDescent="0.25">
      <c r="A93" t="s">
        <v>599</v>
      </c>
      <c r="B93" s="117" t="s">
        <v>421</v>
      </c>
      <c r="C93" s="86">
        <f t="shared" si="2"/>
        <v>3.7193605479207436E-3</v>
      </c>
      <c r="D93" t="s">
        <v>509</v>
      </c>
      <c r="E93" s="86">
        <f t="shared" si="3"/>
        <v>3.8883132464416208E-2</v>
      </c>
      <c r="F93" s="194">
        <v>231469</v>
      </c>
      <c r="G93" s="194">
        <v>20745</v>
      </c>
      <c r="H93" s="80">
        <v>19600</v>
      </c>
      <c r="I93" s="80">
        <v>19080</v>
      </c>
      <c r="J93" s="80">
        <v>18375</v>
      </c>
      <c r="K93" s="80">
        <v>17450</v>
      </c>
      <c r="L93" s="80">
        <v>17180</v>
      </c>
      <c r="M93" s="99" t="s">
        <v>421</v>
      </c>
      <c r="N93" s="194">
        <v>231469</v>
      </c>
      <c r="O93" s="195">
        <v>231.3</v>
      </c>
      <c r="P93" s="195">
        <v>232.6</v>
      </c>
      <c r="Q93" s="195">
        <v>234</v>
      </c>
      <c r="R93" s="195">
        <v>235.2</v>
      </c>
      <c r="S93" s="195">
        <v>236.3</v>
      </c>
      <c r="T93" s="195">
        <v>237.4</v>
      </c>
      <c r="U93" s="195">
        <v>238.2</v>
      </c>
      <c r="V93" s="195">
        <v>239.1</v>
      </c>
      <c r="W93" s="195">
        <v>241.8</v>
      </c>
    </row>
    <row r="94" spans="1:23" x14ac:dyDescent="0.25">
      <c r="A94" t="s">
        <v>601</v>
      </c>
      <c r="B94" s="117" t="s">
        <v>224</v>
      </c>
      <c r="C94" s="86">
        <f t="shared" si="2"/>
        <v>2.9345519123316153E-3</v>
      </c>
      <c r="D94" t="s">
        <v>537</v>
      </c>
      <c r="E94" s="86">
        <f t="shared" si="3"/>
        <v>2.9815146094215862E-2</v>
      </c>
      <c r="F94" s="194">
        <v>23087</v>
      </c>
      <c r="G94" s="194">
        <v>1810</v>
      </c>
      <c r="H94" s="80">
        <v>1790</v>
      </c>
      <c r="I94" s="80">
        <v>1750</v>
      </c>
      <c r="J94" s="80">
        <v>1660</v>
      </c>
      <c r="K94" s="80">
        <v>1625</v>
      </c>
      <c r="L94" s="80">
        <v>1560</v>
      </c>
      <c r="M94" s="99" t="s">
        <v>224</v>
      </c>
      <c r="N94" s="194">
        <v>23087</v>
      </c>
      <c r="O94" s="195">
        <v>23.4</v>
      </c>
      <c r="P94" s="195">
        <v>23.5</v>
      </c>
      <c r="Q94" s="195">
        <v>23.6</v>
      </c>
      <c r="R94" s="195">
        <v>23.7</v>
      </c>
      <c r="S94" s="195">
        <v>23.8</v>
      </c>
      <c r="T94" s="195">
        <v>23.9</v>
      </c>
      <c r="U94" s="195">
        <v>23.9</v>
      </c>
      <c r="V94" s="195">
        <v>24</v>
      </c>
      <c r="W94" s="195">
        <v>23.9</v>
      </c>
    </row>
    <row r="95" spans="1:23" x14ac:dyDescent="0.25">
      <c r="A95" t="s">
        <v>598</v>
      </c>
      <c r="B95" s="117" t="s">
        <v>133</v>
      </c>
      <c r="C95" s="86">
        <f t="shared" si="2"/>
        <v>-3.5873999869294468E-3</v>
      </c>
      <c r="D95" t="s">
        <v>509</v>
      </c>
      <c r="E95" s="86">
        <f t="shared" si="3"/>
        <v>2.1410925061762284E-2</v>
      </c>
      <c r="F95" s="194">
        <v>107111</v>
      </c>
      <c r="G95" s="194">
        <v>7780</v>
      </c>
      <c r="H95" s="80">
        <v>7545</v>
      </c>
      <c r="I95" s="80">
        <v>7490</v>
      </c>
      <c r="J95" s="80">
        <v>7305</v>
      </c>
      <c r="K95" s="80">
        <v>7090</v>
      </c>
      <c r="L95" s="80">
        <v>7000</v>
      </c>
      <c r="M95" s="99" t="s">
        <v>133</v>
      </c>
      <c r="N95" s="194">
        <v>107111</v>
      </c>
      <c r="O95" s="195">
        <v>107</v>
      </c>
      <c r="P95" s="195">
        <v>107</v>
      </c>
      <c r="Q95" s="195">
        <v>106.7</v>
      </c>
      <c r="R95" s="195">
        <v>106.3</v>
      </c>
      <c r="S95" s="195">
        <v>105.8</v>
      </c>
      <c r="T95" s="195">
        <v>105.4</v>
      </c>
      <c r="U95" s="195">
        <v>104.9</v>
      </c>
      <c r="V95" s="195">
        <v>104.5</v>
      </c>
      <c r="W95" s="195">
        <v>102.5</v>
      </c>
    </row>
    <row r="96" spans="1:23" x14ac:dyDescent="0.25">
      <c r="A96" t="s">
        <v>600</v>
      </c>
      <c r="B96" s="117" t="s">
        <v>300</v>
      </c>
      <c r="C96" s="86">
        <f t="shared" si="2"/>
        <v>4.4570502431118316E-3</v>
      </c>
      <c r="D96" t="s">
        <v>141</v>
      </c>
      <c r="E96" s="86">
        <f t="shared" si="3"/>
        <v>2.3485784919653894E-2</v>
      </c>
      <c r="F96" s="194">
        <v>18510</v>
      </c>
      <c r="G96" s="194">
        <v>1745</v>
      </c>
      <c r="H96" s="80">
        <v>1685</v>
      </c>
      <c r="I96" s="80">
        <v>1660</v>
      </c>
      <c r="J96" s="80">
        <v>1605</v>
      </c>
      <c r="K96" s="80">
        <v>1585</v>
      </c>
      <c r="L96" s="80">
        <v>1555</v>
      </c>
      <c r="M96" s="99" t="s">
        <v>300</v>
      </c>
      <c r="N96" s="194">
        <v>18510</v>
      </c>
      <c r="O96" s="195">
        <v>18.7</v>
      </c>
      <c r="P96" s="195">
        <v>18.8</v>
      </c>
      <c r="Q96" s="195">
        <v>18.8</v>
      </c>
      <c r="R96" s="195">
        <v>18.899999999999999</v>
      </c>
      <c r="S96" s="195">
        <v>19</v>
      </c>
      <c r="T96" s="195">
        <v>19.100000000000001</v>
      </c>
      <c r="U96" s="195">
        <v>19.2</v>
      </c>
      <c r="V96" s="195">
        <v>19.2</v>
      </c>
      <c r="W96" s="195">
        <v>19.5</v>
      </c>
    </row>
    <row r="97" spans="1:23" x14ac:dyDescent="0.25">
      <c r="A97" t="s">
        <v>604</v>
      </c>
      <c r="B97" s="117" t="s">
        <v>190</v>
      </c>
      <c r="C97" s="86">
        <f t="shared" si="2"/>
        <v>1.0689204689619885E-3</v>
      </c>
      <c r="D97" t="s">
        <v>509</v>
      </c>
      <c r="E97" s="86">
        <f t="shared" si="3"/>
        <v>2.3368481048731831E-2</v>
      </c>
      <c r="F97" s="194">
        <v>158961</v>
      </c>
      <c r="G97" s="194">
        <v>11325</v>
      </c>
      <c r="H97" s="80">
        <v>11010</v>
      </c>
      <c r="I97" s="80">
        <v>10780</v>
      </c>
      <c r="J97" s="80">
        <v>10535</v>
      </c>
      <c r="K97" s="80">
        <v>10215</v>
      </c>
      <c r="L97" s="80">
        <v>10095</v>
      </c>
      <c r="M97" s="99" t="s">
        <v>190</v>
      </c>
      <c r="N97" s="194">
        <v>158961</v>
      </c>
      <c r="O97" s="195">
        <v>159.6</v>
      </c>
      <c r="P97" s="195">
        <v>159.80000000000001</v>
      </c>
      <c r="Q97" s="195">
        <v>160</v>
      </c>
      <c r="R97" s="195">
        <v>160.19999999999999</v>
      </c>
      <c r="S97" s="195">
        <v>160.4</v>
      </c>
      <c r="T97" s="195">
        <v>160.6</v>
      </c>
      <c r="U97" s="195">
        <v>160.69999999999999</v>
      </c>
      <c r="V97" s="195">
        <v>160.80000000000001</v>
      </c>
      <c r="W97" s="195">
        <v>161</v>
      </c>
    </row>
    <row r="98" spans="1:23" x14ac:dyDescent="0.25">
      <c r="A98" t="s">
        <v>601</v>
      </c>
      <c r="B98" s="117" t="s">
        <v>225</v>
      </c>
      <c r="C98" s="86">
        <f t="shared" si="2"/>
        <v>-1.2820126089710718E-4</v>
      </c>
      <c r="D98" t="s">
        <v>141</v>
      </c>
      <c r="E98" s="86">
        <f t="shared" si="3"/>
        <v>1.7718715393133997E-2</v>
      </c>
      <c r="F98" s="194">
        <v>33151</v>
      </c>
      <c r="G98" s="194">
        <v>2860</v>
      </c>
      <c r="H98" s="80">
        <v>2825</v>
      </c>
      <c r="I98" s="80">
        <v>2775</v>
      </c>
      <c r="J98" s="80">
        <v>2640</v>
      </c>
      <c r="K98" s="80">
        <v>2685</v>
      </c>
      <c r="L98" s="80">
        <v>2620</v>
      </c>
      <c r="M98" s="99" t="s">
        <v>225</v>
      </c>
      <c r="N98" s="194">
        <v>33151</v>
      </c>
      <c r="O98" s="195">
        <v>32.5</v>
      </c>
      <c r="P98" s="195">
        <v>32.700000000000003</v>
      </c>
      <c r="Q98" s="195">
        <v>32.799999999999997</v>
      </c>
      <c r="R98" s="195">
        <v>32.9</v>
      </c>
      <c r="S98" s="195">
        <v>32.9</v>
      </c>
      <c r="T98" s="195">
        <v>32.9</v>
      </c>
      <c r="U98" s="195">
        <v>32.9</v>
      </c>
      <c r="V98" s="195">
        <v>32.9</v>
      </c>
      <c r="W98" s="195">
        <v>33.1</v>
      </c>
    </row>
    <row r="99" spans="1:23" x14ac:dyDescent="0.25">
      <c r="A99" t="s">
        <v>601</v>
      </c>
      <c r="B99" s="117" t="s">
        <v>226</v>
      </c>
      <c r="C99" s="86">
        <f t="shared" si="2"/>
        <v>-1.7222118786073357E-3</v>
      </c>
      <c r="D99" t="s">
        <v>141</v>
      </c>
      <c r="E99" s="86">
        <f t="shared" si="3"/>
        <v>2.4822695035460994E-2</v>
      </c>
      <c r="F99" s="194">
        <v>26855</v>
      </c>
      <c r="G99" s="194">
        <v>2445</v>
      </c>
      <c r="H99" s="80">
        <v>2370</v>
      </c>
      <c r="I99" s="80">
        <v>2325</v>
      </c>
      <c r="J99" s="80">
        <v>2250</v>
      </c>
      <c r="K99" s="80">
        <v>2170</v>
      </c>
      <c r="L99" s="80">
        <v>2165</v>
      </c>
      <c r="M99" s="99" t="s">
        <v>226</v>
      </c>
      <c r="N99" s="194">
        <v>26855</v>
      </c>
      <c r="O99" s="195">
        <v>26.1</v>
      </c>
      <c r="P99" s="195">
        <v>26.1</v>
      </c>
      <c r="Q99" s="195">
        <v>26.2</v>
      </c>
      <c r="R99" s="195">
        <v>26.2</v>
      </c>
      <c r="S99" s="195">
        <v>26.2</v>
      </c>
      <c r="T99" s="195">
        <v>26.2</v>
      </c>
      <c r="U99" s="195">
        <v>26.3</v>
      </c>
      <c r="V99" s="195">
        <v>26.3</v>
      </c>
      <c r="W99" s="195">
        <v>26.3</v>
      </c>
    </row>
    <row r="100" spans="1:23" x14ac:dyDescent="0.25">
      <c r="A100" t="s">
        <v>599</v>
      </c>
      <c r="B100" s="117" t="s">
        <v>422</v>
      </c>
      <c r="C100" s="86">
        <f t="shared" si="2"/>
        <v>3.2620776808416694E-3</v>
      </c>
      <c r="D100" t="s">
        <v>141</v>
      </c>
      <c r="E100" s="86">
        <f t="shared" si="3"/>
        <v>2.6638089406001226E-2</v>
      </c>
      <c r="F100" s="194">
        <v>43786</v>
      </c>
      <c r="G100" s="194">
        <v>3525</v>
      </c>
      <c r="H100" s="80">
        <v>3390</v>
      </c>
      <c r="I100" s="80">
        <v>3370</v>
      </c>
      <c r="J100" s="80">
        <v>3315</v>
      </c>
      <c r="K100" s="80">
        <v>3165</v>
      </c>
      <c r="L100" s="80">
        <v>3090</v>
      </c>
      <c r="M100" s="99" t="s">
        <v>422</v>
      </c>
      <c r="N100" s="194">
        <v>43786</v>
      </c>
      <c r="O100" s="195">
        <v>43.9</v>
      </c>
      <c r="P100" s="195">
        <v>44.2</v>
      </c>
      <c r="Q100" s="195">
        <v>44.4</v>
      </c>
      <c r="R100" s="195">
        <v>44.6</v>
      </c>
      <c r="S100" s="195">
        <v>44.7</v>
      </c>
      <c r="T100" s="195">
        <v>44.9</v>
      </c>
      <c r="U100" s="195">
        <v>45.1</v>
      </c>
      <c r="V100" s="195">
        <v>45.2</v>
      </c>
      <c r="W100" s="195">
        <v>45.5</v>
      </c>
    </row>
    <row r="101" spans="1:23" x14ac:dyDescent="0.25">
      <c r="A101" t="s">
        <v>599</v>
      </c>
      <c r="B101" s="117" t="s">
        <v>423</v>
      </c>
      <c r="C101" s="86">
        <f t="shared" si="2"/>
        <v>3.040514369819506E-3</v>
      </c>
      <c r="D101" t="s">
        <v>141</v>
      </c>
      <c r="E101" s="86">
        <f t="shared" si="3"/>
        <v>2.3978201634877384E-2</v>
      </c>
      <c r="F101" s="194">
        <v>21515</v>
      </c>
      <c r="G101" s="194">
        <v>1990</v>
      </c>
      <c r="H101" s="80">
        <v>1875</v>
      </c>
      <c r="I101" s="80">
        <v>1890</v>
      </c>
      <c r="J101" s="80">
        <v>1825</v>
      </c>
      <c r="K101" s="80">
        <v>1815</v>
      </c>
      <c r="L101" s="80">
        <v>1770</v>
      </c>
      <c r="M101" s="99" t="s">
        <v>423</v>
      </c>
      <c r="N101" s="194">
        <v>21515</v>
      </c>
      <c r="O101" s="195">
        <v>21.7</v>
      </c>
      <c r="P101" s="195">
        <v>21.8</v>
      </c>
      <c r="Q101" s="195">
        <v>21.8</v>
      </c>
      <c r="R101" s="195">
        <v>21.9</v>
      </c>
      <c r="S101" s="195">
        <v>22</v>
      </c>
      <c r="T101" s="195">
        <v>22</v>
      </c>
      <c r="U101" s="195">
        <v>22.1</v>
      </c>
      <c r="V101" s="195">
        <v>22.2</v>
      </c>
      <c r="W101" s="195">
        <v>22.3</v>
      </c>
    </row>
    <row r="102" spans="1:23" x14ac:dyDescent="0.25">
      <c r="A102" t="s">
        <v>599</v>
      </c>
      <c r="B102" s="117" t="s">
        <v>424</v>
      </c>
      <c r="C102" s="86">
        <f t="shared" si="2"/>
        <v>1.4987706712471793E-3</v>
      </c>
      <c r="D102" t="s">
        <v>141</v>
      </c>
      <c r="E102" s="86">
        <f t="shared" si="3"/>
        <v>2.0202020202020204E-2</v>
      </c>
      <c r="F102" s="194">
        <v>39588</v>
      </c>
      <c r="G102" s="194">
        <v>3040</v>
      </c>
      <c r="H102" s="80">
        <v>2995</v>
      </c>
      <c r="I102" s="80">
        <v>2955</v>
      </c>
      <c r="J102" s="80">
        <v>2865</v>
      </c>
      <c r="K102" s="80">
        <v>2790</v>
      </c>
      <c r="L102" s="80">
        <v>2750</v>
      </c>
      <c r="M102" s="99" t="s">
        <v>424</v>
      </c>
      <c r="N102" s="194">
        <v>39588</v>
      </c>
      <c r="O102" s="195">
        <v>39.6</v>
      </c>
      <c r="P102" s="195">
        <v>39.6</v>
      </c>
      <c r="Q102" s="195">
        <v>39.700000000000003</v>
      </c>
      <c r="R102" s="195">
        <v>39.700000000000003</v>
      </c>
      <c r="S102" s="195">
        <v>39.700000000000003</v>
      </c>
      <c r="T102" s="195">
        <v>39.799999999999997</v>
      </c>
      <c r="U102" s="195">
        <v>39.9</v>
      </c>
      <c r="V102" s="195">
        <v>40</v>
      </c>
      <c r="W102" s="195">
        <v>40.299999999999997</v>
      </c>
    </row>
    <row r="103" spans="1:23" x14ac:dyDescent="0.25">
      <c r="A103" t="s">
        <v>599</v>
      </c>
      <c r="B103" s="117" t="s">
        <v>425</v>
      </c>
      <c r="C103" s="86">
        <f t="shared" si="2"/>
        <v>1.7565171711865519E-3</v>
      </c>
      <c r="D103" t="s">
        <v>141</v>
      </c>
      <c r="E103" s="86">
        <f t="shared" si="3"/>
        <v>2.6158445440956652E-2</v>
      </c>
      <c r="F103" s="194">
        <v>30458</v>
      </c>
      <c r="G103" s="194">
        <v>2885</v>
      </c>
      <c r="H103" s="80">
        <v>2840</v>
      </c>
      <c r="I103" s="80">
        <v>2735</v>
      </c>
      <c r="J103" s="80">
        <v>2685</v>
      </c>
      <c r="K103" s="80">
        <v>2585</v>
      </c>
      <c r="L103" s="80">
        <v>2535</v>
      </c>
      <c r="M103" s="99" t="s">
        <v>425</v>
      </c>
      <c r="N103" s="194">
        <v>30458</v>
      </c>
      <c r="O103" s="195">
        <v>30.1</v>
      </c>
      <c r="P103" s="195">
        <v>30.2</v>
      </c>
      <c r="Q103" s="195">
        <v>30.3</v>
      </c>
      <c r="R103" s="195">
        <v>30.3</v>
      </c>
      <c r="S103" s="195">
        <v>30.4</v>
      </c>
      <c r="T103" s="195">
        <v>30.5</v>
      </c>
      <c r="U103" s="195">
        <v>30.6</v>
      </c>
      <c r="V103" s="195">
        <v>30.8</v>
      </c>
      <c r="W103" s="195">
        <v>31.1</v>
      </c>
    </row>
    <row r="104" spans="1:23" x14ac:dyDescent="0.25">
      <c r="A104" t="s">
        <v>608</v>
      </c>
      <c r="B104" s="117" t="s">
        <v>467</v>
      </c>
      <c r="C104" s="86">
        <f t="shared" si="2"/>
        <v>-1.3277100905966885E-3</v>
      </c>
      <c r="D104" t="s">
        <v>141</v>
      </c>
      <c r="E104" s="86">
        <f t="shared" si="3"/>
        <v>2.4057738572574178E-2</v>
      </c>
      <c r="F104" s="194">
        <v>17072</v>
      </c>
      <c r="G104" s="194">
        <v>1350</v>
      </c>
      <c r="H104" s="80">
        <v>1290</v>
      </c>
      <c r="I104" s="80">
        <v>1285</v>
      </c>
      <c r="J104" s="80">
        <v>1245</v>
      </c>
      <c r="K104" s="80">
        <v>1215</v>
      </c>
      <c r="L104" s="80">
        <v>1200</v>
      </c>
      <c r="M104" s="99" t="s">
        <v>467</v>
      </c>
      <c r="N104" s="194">
        <v>17072</v>
      </c>
      <c r="O104" s="195">
        <v>17.2</v>
      </c>
      <c r="P104" s="195">
        <v>17.2</v>
      </c>
      <c r="Q104" s="195">
        <v>17.2</v>
      </c>
      <c r="R104" s="195">
        <v>17.2</v>
      </c>
      <c r="S104" s="195">
        <v>17.100000000000001</v>
      </c>
      <c r="T104" s="195">
        <v>17.100000000000001</v>
      </c>
      <c r="U104" s="195">
        <v>17</v>
      </c>
      <c r="V104" s="195">
        <v>17</v>
      </c>
      <c r="W104" s="195">
        <v>16.8</v>
      </c>
    </row>
    <row r="105" spans="1:23" x14ac:dyDescent="0.25">
      <c r="A105" t="s">
        <v>599</v>
      </c>
      <c r="B105" s="117" t="s">
        <v>426</v>
      </c>
      <c r="C105" s="86">
        <f t="shared" si="2"/>
        <v>7.8446939624210801E-4</v>
      </c>
      <c r="D105" t="s">
        <v>141</v>
      </c>
      <c r="E105" s="86">
        <f t="shared" si="3"/>
        <v>3.0969030969030968E-2</v>
      </c>
      <c r="F105" s="194">
        <v>26451</v>
      </c>
      <c r="G105" s="194">
        <v>2225</v>
      </c>
      <c r="H105" s="80">
        <v>2115</v>
      </c>
      <c r="I105" s="80">
        <v>2045</v>
      </c>
      <c r="J105" s="80">
        <v>1995</v>
      </c>
      <c r="K105" s="80">
        <v>1940</v>
      </c>
      <c r="L105" s="80">
        <v>1915</v>
      </c>
      <c r="M105" s="99" t="s">
        <v>426</v>
      </c>
      <c r="N105" s="194">
        <v>26451</v>
      </c>
      <c r="O105" s="195">
        <v>26.9</v>
      </c>
      <c r="P105" s="195">
        <v>26.8</v>
      </c>
      <c r="Q105" s="195">
        <v>26.8</v>
      </c>
      <c r="R105" s="195">
        <v>26.9</v>
      </c>
      <c r="S105" s="195">
        <v>26.9</v>
      </c>
      <c r="T105" s="195">
        <v>26.8</v>
      </c>
      <c r="U105" s="195">
        <v>26.7</v>
      </c>
      <c r="V105" s="195">
        <v>26.7</v>
      </c>
      <c r="W105" s="195">
        <v>26.7</v>
      </c>
    </row>
    <row r="106" spans="1:23" x14ac:dyDescent="0.25">
      <c r="A106" t="s">
        <v>603</v>
      </c>
      <c r="B106" s="117" t="s">
        <v>344</v>
      </c>
      <c r="C106" s="86">
        <f t="shared" si="2"/>
        <v>-1.8645434388228179E-3</v>
      </c>
      <c r="D106" t="s">
        <v>537</v>
      </c>
      <c r="E106" s="86">
        <f t="shared" si="3"/>
        <v>2.9347028613352897E-2</v>
      </c>
      <c r="F106" s="194">
        <v>49610</v>
      </c>
      <c r="G106" s="194">
        <v>4445</v>
      </c>
      <c r="H106" s="80">
        <v>4340</v>
      </c>
      <c r="I106" s="80">
        <v>4245</v>
      </c>
      <c r="J106" s="80">
        <v>4065</v>
      </c>
      <c r="K106" s="80">
        <v>3950</v>
      </c>
      <c r="L106" s="80">
        <v>3845</v>
      </c>
      <c r="M106" s="99" t="s">
        <v>344</v>
      </c>
      <c r="N106" s="194">
        <v>49610</v>
      </c>
      <c r="O106" s="195">
        <v>48.1</v>
      </c>
      <c r="P106" s="195">
        <v>48.2</v>
      </c>
      <c r="Q106" s="195">
        <v>48.2</v>
      </c>
      <c r="R106" s="195">
        <v>48.3</v>
      </c>
      <c r="S106" s="195">
        <v>48.3</v>
      </c>
      <c r="T106" s="195">
        <v>48.4</v>
      </c>
      <c r="U106" s="195">
        <v>48.4</v>
      </c>
      <c r="V106" s="195">
        <v>48.4</v>
      </c>
      <c r="W106" s="195">
        <v>48.5</v>
      </c>
    </row>
    <row r="107" spans="1:23" x14ac:dyDescent="0.25">
      <c r="A107" t="s">
        <v>610</v>
      </c>
      <c r="B107" s="117" t="s">
        <v>390</v>
      </c>
      <c r="C107" s="86">
        <f t="shared" si="2"/>
        <v>2.7575644907136911E-3</v>
      </c>
      <c r="D107" t="s">
        <v>509</v>
      </c>
      <c r="E107" s="86">
        <f t="shared" si="3"/>
        <v>3.1309297912713474E-2</v>
      </c>
      <c r="F107" s="194">
        <v>37654</v>
      </c>
      <c r="G107" s="194">
        <v>3495</v>
      </c>
      <c r="H107" s="80">
        <v>3360</v>
      </c>
      <c r="I107" s="80">
        <v>3255</v>
      </c>
      <c r="J107" s="80">
        <v>3165</v>
      </c>
      <c r="K107" s="80">
        <v>3030</v>
      </c>
      <c r="L107" s="80">
        <v>3000</v>
      </c>
      <c r="M107" s="99" t="s">
        <v>390</v>
      </c>
      <c r="N107" s="194">
        <v>37654</v>
      </c>
      <c r="O107" s="195">
        <v>37.6</v>
      </c>
      <c r="P107" s="195">
        <v>37.700000000000003</v>
      </c>
      <c r="Q107" s="195">
        <v>37.799999999999997</v>
      </c>
      <c r="R107" s="195">
        <v>37.9</v>
      </c>
      <c r="S107" s="195">
        <v>38</v>
      </c>
      <c r="T107" s="195">
        <v>38.1</v>
      </c>
      <c r="U107" s="195">
        <v>38.299999999999997</v>
      </c>
      <c r="V107" s="195">
        <v>38.4</v>
      </c>
      <c r="W107" s="195">
        <v>38.9</v>
      </c>
    </row>
    <row r="108" spans="1:23" x14ac:dyDescent="0.25">
      <c r="A108" t="s">
        <v>599</v>
      </c>
      <c r="B108" s="117" t="s">
        <v>427</v>
      </c>
      <c r="C108" s="86">
        <f t="shared" si="2"/>
        <v>-6.3078216989066445E-4</v>
      </c>
      <c r="D108" t="s">
        <v>537</v>
      </c>
      <c r="E108" s="86">
        <f t="shared" si="3"/>
        <v>2.9933481152993349E-2</v>
      </c>
      <c r="F108" s="194">
        <v>23780</v>
      </c>
      <c r="G108" s="194">
        <v>1970</v>
      </c>
      <c r="H108" s="80">
        <v>1915</v>
      </c>
      <c r="I108" s="80">
        <v>1850</v>
      </c>
      <c r="J108" s="80">
        <v>1795</v>
      </c>
      <c r="K108" s="80">
        <v>1760</v>
      </c>
      <c r="L108" s="80">
        <v>1700</v>
      </c>
      <c r="M108" s="99" t="s">
        <v>427</v>
      </c>
      <c r="N108" s="194">
        <v>23780</v>
      </c>
      <c r="O108" s="195">
        <v>23.3</v>
      </c>
      <c r="P108" s="195">
        <v>23.4</v>
      </c>
      <c r="Q108" s="195">
        <v>23.3</v>
      </c>
      <c r="R108" s="195">
        <v>23.4</v>
      </c>
      <c r="S108" s="195">
        <v>23.4</v>
      </c>
      <c r="T108" s="195">
        <v>23.4</v>
      </c>
      <c r="U108" s="195">
        <v>23.4</v>
      </c>
      <c r="V108" s="195">
        <v>23.5</v>
      </c>
      <c r="W108" s="195">
        <v>23.6</v>
      </c>
    </row>
    <row r="109" spans="1:23" x14ac:dyDescent="0.25">
      <c r="A109" t="s">
        <v>600</v>
      </c>
      <c r="B109" s="117" t="s">
        <v>563</v>
      </c>
      <c r="C109" s="86">
        <f t="shared" si="2"/>
        <v>-5.9060689551600849E-4</v>
      </c>
      <c r="D109" t="s">
        <v>537</v>
      </c>
      <c r="E109" s="86">
        <f t="shared" si="3"/>
        <v>3.0080497104928682E-2</v>
      </c>
      <c r="F109" s="194">
        <v>57709</v>
      </c>
      <c r="G109" s="194">
        <v>7775</v>
      </c>
      <c r="H109" s="80">
        <v>7540</v>
      </c>
      <c r="I109" s="80">
        <v>7345</v>
      </c>
      <c r="J109" s="80">
        <v>7050</v>
      </c>
      <c r="K109" s="80">
        <v>6760</v>
      </c>
      <c r="L109" s="80">
        <v>6710</v>
      </c>
      <c r="M109" s="99" t="s">
        <v>563</v>
      </c>
      <c r="N109" s="194">
        <v>57709</v>
      </c>
      <c r="O109" s="195">
        <v>57</v>
      </c>
      <c r="P109" s="195">
        <v>57</v>
      </c>
      <c r="Q109" s="195">
        <v>57</v>
      </c>
      <c r="R109" s="195">
        <v>57.3</v>
      </c>
      <c r="S109" s="195">
        <v>57.5</v>
      </c>
      <c r="T109" s="195">
        <v>57.5</v>
      </c>
      <c r="U109" s="195">
        <v>57.400000000000006</v>
      </c>
      <c r="V109" s="195">
        <v>57.400000000000006</v>
      </c>
      <c r="W109" s="195">
        <v>57.3</v>
      </c>
    </row>
    <row r="110" spans="1:23" x14ac:dyDescent="0.25">
      <c r="A110" t="s">
        <v>603</v>
      </c>
      <c r="B110" s="117" t="s">
        <v>345</v>
      </c>
      <c r="C110" s="86">
        <f t="shared" si="2"/>
        <v>-2.4514481492588858E-3</v>
      </c>
      <c r="D110" t="s">
        <v>509</v>
      </c>
      <c r="E110" s="86">
        <f t="shared" si="3"/>
        <v>3.0116358658453114E-2</v>
      </c>
      <c r="F110" s="194">
        <v>36679</v>
      </c>
      <c r="G110" s="194">
        <v>3195</v>
      </c>
      <c r="H110" s="80">
        <v>3070</v>
      </c>
      <c r="I110" s="80">
        <v>2985</v>
      </c>
      <c r="J110" s="80">
        <v>2955</v>
      </c>
      <c r="K110" s="80">
        <v>2845</v>
      </c>
      <c r="L110" s="80">
        <v>2755</v>
      </c>
      <c r="M110" s="99" t="s">
        <v>345</v>
      </c>
      <c r="N110" s="194">
        <v>36679</v>
      </c>
      <c r="O110" s="195">
        <v>35.4</v>
      </c>
      <c r="P110" s="195">
        <v>35.6</v>
      </c>
      <c r="Q110" s="195">
        <v>35.6</v>
      </c>
      <c r="R110" s="195">
        <v>35.6</v>
      </c>
      <c r="S110" s="195">
        <v>35.5</v>
      </c>
      <c r="T110" s="195">
        <v>35.5</v>
      </c>
      <c r="U110" s="195">
        <v>35.4</v>
      </c>
      <c r="V110" s="195">
        <v>35.4</v>
      </c>
      <c r="W110" s="195">
        <v>35.6</v>
      </c>
    </row>
    <row r="111" spans="1:23" x14ac:dyDescent="0.25">
      <c r="A111" t="s">
        <v>603</v>
      </c>
      <c r="B111" s="117" t="s">
        <v>346</v>
      </c>
      <c r="C111" s="86">
        <f t="shared" si="2"/>
        <v>1.7529831467585188E-3</v>
      </c>
      <c r="D111" t="s">
        <v>509</v>
      </c>
      <c r="E111" s="86">
        <f t="shared" si="3"/>
        <v>3.6902601330913491E-2</v>
      </c>
      <c r="F111" s="194">
        <v>73161</v>
      </c>
      <c r="G111" s="194">
        <v>5670</v>
      </c>
      <c r="H111" s="80">
        <v>5310</v>
      </c>
      <c r="I111" s="80">
        <v>5100</v>
      </c>
      <c r="J111" s="80">
        <v>4940</v>
      </c>
      <c r="K111" s="80">
        <v>4690</v>
      </c>
      <c r="L111" s="80">
        <v>4755</v>
      </c>
      <c r="M111" s="99" t="s">
        <v>346</v>
      </c>
      <c r="N111" s="194">
        <v>73161</v>
      </c>
      <c r="O111" s="195">
        <v>72.2</v>
      </c>
      <c r="P111" s="195">
        <v>72.5</v>
      </c>
      <c r="Q111" s="195">
        <v>72.900000000000006</v>
      </c>
      <c r="R111" s="195">
        <v>73.2</v>
      </c>
      <c r="S111" s="195">
        <v>73.599999999999994</v>
      </c>
      <c r="T111" s="195">
        <v>73.900000000000006</v>
      </c>
      <c r="U111" s="195">
        <v>74.2</v>
      </c>
      <c r="V111" s="195">
        <v>74.400000000000006</v>
      </c>
      <c r="W111" s="195">
        <v>74.7</v>
      </c>
    </row>
    <row r="112" spans="1:23" x14ac:dyDescent="0.25">
      <c r="A112" t="s">
        <v>599</v>
      </c>
      <c r="B112" s="117" t="s">
        <v>428</v>
      </c>
      <c r="C112" s="86">
        <f t="shared" si="2"/>
        <v>-3.1922850884222899E-3</v>
      </c>
      <c r="D112" t="s">
        <v>141</v>
      </c>
      <c r="E112" s="86">
        <f t="shared" si="3"/>
        <v>3.4360189573459717E-2</v>
      </c>
      <c r="F112" s="194">
        <v>12478</v>
      </c>
      <c r="G112" s="194">
        <v>935</v>
      </c>
      <c r="H112" s="80">
        <v>900</v>
      </c>
      <c r="I112" s="80">
        <v>870</v>
      </c>
      <c r="J112" s="80">
        <v>855</v>
      </c>
      <c r="K112" s="80">
        <v>805</v>
      </c>
      <c r="L112" s="80">
        <v>790</v>
      </c>
      <c r="M112" s="99" t="s">
        <v>428</v>
      </c>
      <c r="N112" s="194">
        <v>12478</v>
      </c>
      <c r="O112" s="195">
        <v>13</v>
      </c>
      <c r="P112" s="195">
        <v>12.8</v>
      </c>
      <c r="Q112" s="195">
        <v>12.7</v>
      </c>
      <c r="R112" s="195">
        <v>12.6</v>
      </c>
      <c r="S112" s="195">
        <v>12.5</v>
      </c>
      <c r="T112" s="195">
        <v>12.4</v>
      </c>
      <c r="U112" s="195">
        <v>12.4</v>
      </c>
      <c r="V112" s="195">
        <v>12.3</v>
      </c>
      <c r="W112" s="195">
        <v>12</v>
      </c>
    </row>
    <row r="113" spans="1:94" x14ac:dyDescent="0.25">
      <c r="A113" t="s">
        <v>607</v>
      </c>
      <c r="B113" s="117" t="s">
        <v>148</v>
      </c>
      <c r="C113" s="86">
        <f t="shared" si="2"/>
        <v>4.7711875884286995E-3</v>
      </c>
      <c r="D113" t="s">
        <v>509</v>
      </c>
      <c r="E113" s="86">
        <f t="shared" si="3"/>
        <v>3.6593360748554744E-2</v>
      </c>
      <c r="F113" s="80">
        <v>231354</v>
      </c>
      <c r="G113" s="80">
        <v>18750</v>
      </c>
      <c r="H113" s="80">
        <v>17925</v>
      </c>
      <c r="I113" s="80">
        <v>17495</v>
      </c>
      <c r="J113" s="80">
        <v>16775</v>
      </c>
      <c r="K113" s="80">
        <v>16020</v>
      </c>
      <c r="L113" s="80">
        <v>15680</v>
      </c>
      <c r="M113" s="99" t="s">
        <v>148</v>
      </c>
      <c r="N113" s="195">
        <v>231354</v>
      </c>
      <c r="O113" s="195">
        <v>235.3</v>
      </c>
      <c r="P113" s="196">
        <v>236.9</v>
      </c>
      <c r="Q113" s="195">
        <v>238.5</v>
      </c>
      <c r="R113" s="195">
        <v>240.4</v>
      </c>
      <c r="S113" s="195">
        <v>242</v>
      </c>
      <c r="T113" s="195">
        <v>243.3</v>
      </c>
      <c r="U113" s="195">
        <v>244.29999999999998</v>
      </c>
      <c r="V113" s="195">
        <v>244.89999999999998</v>
      </c>
      <c r="W113">
        <v>244.6</v>
      </c>
    </row>
    <row r="114" spans="1:94" x14ac:dyDescent="0.25">
      <c r="A114" t="s">
        <v>608</v>
      </c>
      <c r="B114" s="117" t="s">
        <v>468</v>
      </c>
      <c r="C114" s="86">
        <f t="shared" si="2"/>
        <v>3.7522794220788331E-3</v>
      </c>
      <c r="D114" t="s">
        <v>141</v>
      </c>
      <c r="E114" s="86">
        <f t="shared" si="3"/>
        <v>2.4691358024691357E-2</v>
      </c>
      <c r="F114" s="194">
        <v>14258</v>
      </c>
      <c r="G114" s="194">
        <v>1300</v>
      </c>
      <c r="H114" s="80">
        <v>1280</v>
      </c>
      <c r="I114" s="80">
        <v>1260</v>
      </c>
      <c r="J114" s="80">
        <v>1220</v>
      </c>
      <c r="K114" s="80">
        <v>1165</v>
      </c>
      <c r="L114" s="80">
        <v>1150</v>
      </c>
      <c r="M114" s="99" t="s">
        <v>468</v>
      </c>
      <c r="N114" s="194">
        <v>14258</v>
      </c>
      <c r="O114" s="195">
        <v>14.8</v>
      </c>
      <c r="P114" s="195">
        <v>14.8</v>
      </c>
      <c r="Q114" s="195">
        <v>14.8</v>
      </c>
      <c r="R114" s="195">
        <v>14.8</v>
      </c>
      <c r="S114" s="195">
        <v>14.8</v>
      </c>
      <c r="T114" s="195">
        <v>14.8</v>
      </c>
      <c r="U114" s="195">
        <v>14.8</v>
      </c>
      <c r="V114" s="195">
        <v>14.8</v>
      </c>
      <c r="W114" s="195">
        <v>14.9</v>
      </c>
    </row>
    <row r="115" spans="1:94" x14ac:dyDescent="0.25">
      <c r="A115" t="s">
        <v>604</v>
      </c>
      <c r="B115" s="117" t="s">
        <v>191</v>
      </c>
      <c r="C115" s="86">
        <f t="shared" si="2"/>
        <v>1.0300782859497322E-4</v>
      </c>
      <c r="D115" t="s">
        <v>141</v>
      </c>
      <c r="E115" s="86">
        <f t="shared" si="3"/>
        <v>2.8205128205128206E-2</v>
      </c>
      <c r="F115" s="194">
        <v>24270</v>
      </c>
      <c r="G115" s="194">
        <v>2130</v>
      </c>
      <c r="H115" s="80">
        <v>2050</v>
      </c>
      <c r="I115" s="80">
        <v>2015</v>
      </c>
      <c r="J115" s="80">
        <v>1940</v>
      </c>
      <c r="K115" s="80">
        <v>1890</v>
      </c>
      <c r="L115" s="80">
        <v>1855</v>
      </c>
      <c r="M115" s="99" t="s">
        <v>191</v>
      </c>
      <c r="N115" s="194">
        <v>24270</v>
      </c>
      <c r="O115" s="195">
        <v>24.3</v>
      </c>
      <c r="P115" s="195">
        <v>24.3</v>
      </c>
      <c r="Q115" s="195">
        <v>24.3</v>
      </c>
      <c r="R115" s="195">
        <v>24.3</v>
      </c>
      <c r="S115" s="195">
        <v>24.3</v>
      </c>
      <c r="T115" s="195">
        <v>24.2</v>
      </c>
      <c r="U115" s="195">
        <v>24.3</v>
      </c>
      <c r="V115" s="195">
        <v>24.3</v>
      </c>
      <c r="W115" s="195">
        <v>24.3</v>
      </c>
    </row>
    <row r="116" spans="1:94" x14ac:dyDescent="0.25">
      <c r="A116" t="s">
        <v>599</v>
      </c>
      <c r="B116" s="117" t="s">
        <v>429</v>
      </c>
      <c r="C116" s="86">
        <f t="shared" si="2"/>
        <v>-5.2376925967681318E-3</v>
      </c>
      <c r="D116" t="s">
        <v>537</v>
      </c>
      <c r="E116" s="86">
        <f t="shared" si="3"/>
        <v>3.3571428571428572E-2</v>
      </c>
      <c r="F116" s="194">
        <v>14192</v>
      </c>
      <c r="G116" s="194">
        <v>1550</v>
      </c>
      <c r="H116" s="80">
        <v>1485</v>
      </c>
      <c r="I116" s="80">
        <v>1445</v>
      </c>
      <c r="J116" s="80">
        <v>1395</v>
      </c>
      <c r="K116" s="80">
        <v>1360</v>
      </c>
      <c r="L116" s="80">
        <v>1315</v>
      </c>
      <c r="M116" s="99" t="s">
        <v>429</v>
      </c>
      <c r="N116" s="194">
        <v>14192</v>
      </c>
      <c r="O116" s="195">
        <v>13.7</v>
      </c>
      <c r="P116" s="195">
        <v>13.6</v>
      </c>
      <c r="Q116" s="195">
        <v>13.6</v>
      </c>
      <c r="R116" s="195">
        <v>13.6</v>
      </c>
      <c r="S116" s="195">
        <v>13.6</v>
      </c>
      <c r="T116" s="195">
        <v>13.5</v>
      </c>
      <c r="U116" s="195">
        <v>13.5</v>
      </c>
      <c r="V116" s="195">
        <v>13.5</v>
      </c>
      <c r="W116" s="195">
        <v>13.3</v>
      </c>
    </row>
    <row r="117" spans="1:94" x14ac:dyDescent="0.25">
      <c r="A117" t="s">
        <v>600</v>
      </c>
      <c r="B117" s="117" t="s">
        <v>301</v>
      </c>
      <c r="C117" s="86">
        <f t="shared" si="2"/>
        <v>1.0434952516236284E-2</v>
      </c>
      <c r="D117" t="s">
        <v>509</v>
      </c>
      <c r="E117" s="86">
        <f t="shared" si="3"/>
        <v>4.7366299381886592E-2</v>
      </c>
      <c r="F117" s="194">
        <v>161213</v>
      </c>
      <c r="G117" s="194">
        <v>17100</v>
      </c>
      <c r="H117" s="80">
        <v>16280</v>
      </c>
      <c r="I117" s="80">
        <v>15750</v>
      </c>
      <c r="J117" s="80">
        <v>14830</v>
      </c>
      <c r="K117" s="80">
        <v>13985</v>
      </c>
      <c r="L117" s="80">
        <v>13575</v>
      </c>
      <c r="M117" s="99" t="s">
        <v>301</v>
      </c>
      <c r="N117" s="194">
        <v>161213</v>
      </c>
      <c r="O117" s="195">
        <v>162.69999999999999</v>
      </c>
      <c r="P117" s="195">
        <v>164.8</v>
      </c>
      <c r="Q117" s="195">
        <v>167.5</v>
      </c>
      <c r="R117" s="195">
        <v>170</v>
      </c>
      <c r="S117" s="195">
        <v>172.1</v>
      </c>
      <c r="T117" s="195">
        <v>173.9</v>
      </c>
      <c r="U117" s="195">
        <v>175</v>
      </c>
      <c r="V117" s="195">
        <v>176.3</v>
      </c>
      <c r="W117" s="195">
        <v>181.4</v>
      </c>
    </row>
    <row r="118" spans="1:94" x14ac:dyDescent="0.25">
      <c r="A118" t="s">
        <v>600</v>
      </c>
      <c r="B118" s="117" t="s">
        <v>302</v>
      </c>
      <c r="C118" s="86">
        <f t="shared" si="2"/>
        <v>8.6870959584497767E-3</v>
      </c>
      <c r="D118" t="s">
        <v>537</v>
      </c>
      <c r="E118" s="86">
        <f t="shared" si="3"/>
        <v>3.1937734836285564E-2</v>
      </c>
      <c r="F118" s="80">
        <v>154223</v>
      </c>
      <c r="G118" s="80">
        <v>16505</v>
      </c>
      <c r="H118" s="80">
        <v>15650</v>
      </c>
      <c r="I118" s="80">
        <v>15415</v>
      </c>
      <c r="J118" s="80">
        <v>14935</v>
      </c>
      <c r="K118" s="80">
        <v>14395</v>
      </c>
      <c r="L118" s="80">
        <v>14125</v>
      </c>
      <c r="M118" s="99" t="s">
        <v>302</v>
      </c>
      <c r="N118" s="195">
        <v>154223</v>
      </c>
      <c r="O118" s="195">
        <v>155.10000000000002</v>
      </c>
      <c r="P118" s="196">
        <v>156.70000000000002</v>
      </c>
      <c r="Q118" s="195">
        <v>158.30000000000001</v>
      </c>
      <c r="R118" s="195">
        <v>160</v>
      </c>
      <c r="S118" s="195">
        <v>161.5</v>
      </c>
      <c r="T118" s="195">
        <v>163</v>
      </c>
      <c r="U118" s="195">
        <v>164.4</v>
      </c>
      <c r="V118" s="195">
        <v>165.79999999999998</v>
      </c>
      <c r="W118">
        <v>170.3</v>
      </c>
    </row>
    <row r="119" spans="1:94" x14ac:dyDescent="0.25">
      <c r="A119" t="s">
        <v>599</v>
      </c>
      <c r="B119" s="117" t="s">
        <v>430</v>
      </c>
      <c r="C119" s="86">
        <f t="shared" si="2"/>
        <v>-2.4593421880692921E-3</v>
      </c>
      <c r="D119" t="s">
        <v>141</v>
      </c>
      <c r="E119" s="86">
        <f t="shared" si="3"/>
        <v>2.3809523809523808E-2</v>
      </c>
      <c r="F119" s="194">
        <v>30191</v>
      </c>
      <c r="G119" s="194">
        <v>2780</v>
      </c>
      <c r="H119" s="80">
        <v>2635</v>
      </c>
      <c r="I119" s="80">
        <v>2615</v>
      </c>
      <c r="J119" s="80">
        <v>2585</v>
      </c>
      <c r="K119" s="80">
        <v>2500</v>
      </c>
      <c r="L119" s="80">
        <v>2475</v>
      </c>
      <c r="M119" s="99" t="s">
        <v>430</v>
      </c>
      <c r="N119" s="194">
        <v>30191</v>
      </c>
      <c r="O119" s="195">
        <v>29.6</v>
      </c>
      <c r="P119" s="195">
        <v>29.6</v>
      </c>
      <c r="Q119" s="195">
        <v>29.6</v>
      </c>
      <c r="R119" s="195">
        <v>29.6</v>
      </c>
      <c r="S119" s="195">
        <v>29.6</v>
      </c>
      <c r="T119" s="195">
        <v>29.6</v>
      </c>
      <c r="U119" s="195">
        <v>29.5</v>
      </c>
      <c r="V119" s="195">
        <v>29.4</v>
      </c>
      <c r="W119" s="195">
        <v>29.3</v>
      </c>
    </row>
    <row r="120" spans="1:94" x14ac:dyDescent="0.25">
      <c r="A120" t="s">
        <v>604</v>
      </c>
      <c r="B120" s="117" t="s">
        <v>192</v>
      </c>
      <c r="C120" s="86">
        <f t="shared" si="2"/>
        <v>-2.0291649470353555E-3</v>
      </c>
      <c r="D120" t="s">
        <v>141</v>
      </c>
      <c r="E120" s="86">
        <f t="shared" si="3"/>
        <v>2.3910614525139665E-2</v>
      </c>
      <c r="F120" s="194">
        <v>60575</v>
      </c>
      <c r="G120" s="194">
        <v>4830</v>
      </c>
      <c r="H120" s="80">
        <v>4720</v>
      </c>
      <c r="I120" s="80">
        <v>4590</v>
      </c>
      <c r="J120" s="80">
        <v>4455</v>
      </c>
      <c r="K120" s="80">
        <v>4315</v>
      </c>
      <c r="L120" s="80">
        <v>4295</v>
      </c>
      <c r="M120" s="99" t="s">
        <v>192</v>
      </c>
      <c r="N120" s="194">
        <v>60575</v>
      </c>
      <c r="O120" s="195">
        <v>59.4</v>
      </c>
      <c r="P120" s="195">
        <v>59.3</v>
      </c>
      <c r="Q120" s="195">
        <v>59.3</v>
      </c>
      <c r="R120" s="195">
        <v>59.2</v>
      </c>
      <c r="S120" s="195">
        <v>59.1</v>
      </c>
      <c r="T120" s="195">
        <v>59.1</v>
      </c>
      <c r="U120" s="195">
        <v>59</v>
      </c>
      <c r="V120" s="195">
        <v>59</v>
      </c>
      <c r="W120" s="195">
        <v>59.1</v>
      </c>
    </row>
    <row r="121" spans="1:94" x14ac:dyDescent="0.25">
      <c r="A121" t="s">
        <v>601</v>
      </c>
      <c r="B121" s="117" t="s">
        <v>228</v>
      </c>
      <c r="C121" s="86">
        <f t="shared" ref="C121:C180" si="4">(SUM(W121*1000,-N121)/12)/N121</f>
        <v>-1.1771630370806356E-3</v>
      </c>
      <c r="D121" t="s">
        <v>509</v>
      </c>
      <c r="E121" s="86">
        <f t="shared" ref="E121:E180" si="5">SUM(G121,-L121)/(SUM(H121,I121,J121,K121,L121))</f>
        <v>3.4284067991933162E-2</v>
      </c>
      <c r="F121" s="194">
        <v>47572</v>
      </c>
      <c r="G121" s="194">
        <v>3840</v>
      </c>
      <c r="H121" s="80">
        <v>3690</v>
      </c>
      <c r="I121" s="80">
        <v>3580</v>
      </c>
      <c r="J121" s="80">
        <v>3510</v>
      </c>
      <c r="K121" s="80">
        <v>3330</v>
      </c>
      <c r="L121" s="80">
        <v>3245</v>
      </c>
      <c r="M121" s="99" t="s">
        <v>228</v>
      </c>
      <c r="N121" s="194">
        <v>47572</v>
      </c>
      <c r="O121" s="195">
        <v>45.9</v>
      </c>
      <c r="P121" s="195">
        <v>46</v>
      </c>
      <c r="Q121" s="195">
        <v>46</v>
      </c>
      <c r="R121" s="195">
        <v>46</v>
      </c>
      <c r="S121" s="195">
        <v>46.1</v>
      </c>
      <c r="T121" s="195">
        <v>46.1</v>
      </c>
      <c r="U121" s="195">
        <v>46.2</v>
      </c>
      <c r="V121" s="195">
        <v>46.4</v>
      </c>
      <c r="W121" s="195">
        <v>46.9</v>
      </c>
    </row>
    <row r="122" spans="1:94" s="101" customFormat="1" x14ac:dyDescent="0.25">
      <c r="A122" s="101" t="s">
        <v>603</v>
      </c>
      <c r="B122" s="117" t="s">
        <v>347</v>
      </c>
      <c r="C122" s="86">
        <f t="shared" si="4"/>
        <v>-1.6294614006905593E-3</v>
      </c>
      <c r="D122" t="s">
        <v>537</v>
      </c>
      <c r="E122" s="86">
        <f t="shared" si="5"/>
        <v>3.1880286271958359E-2</v>
      </c>
      <c r="F122" s="194">
        <v>18053</v>
      </c>
      <c r="G122" s="194">
        <v>1690</v>
      </c>
      <c r="H122" s="101">
        <v>1640</v>
      </c>
      <c r="I122" s="101">
        <v>1605</v>
      </c>
      <c r="J122" s="100">
        <v>1525</v>
      </c>
      <c r="K122" s="80">
        <v>1470</v>
      </c>
      <c r="L122" s="100">
        <v>1445</v>
      </c>
      <c r="M122" s="102" t="s">
        <v>347</v>
      </c>
      <c r="N122" s="194">
        <v>18053</v>
      </c>
      <c r="O122" s="195">
        <v>17.899999999999999</v>
      </c>
      <c r="P122" s="195">
        <v>17.899999999999999</v>
      </c>
      <c r="Q122" s="195">
        <v>17.899999999999999</v>
      </c>
      <c r="R122" s="195">
        <v>17.899999999999999</v>
      </c>
      <c r="S122" s="195">
        <v>17.899999999999999</v>
      </c>
      <c r="T122" s="195">
        <v>17.899999999999999</v>
      </c>
      <c r="U122" s="195">
        <v>17.899999999999999</v>
      </c>
      <c r="V122" s="195">
        <v>17.899999999999999</v>
      </c>
      <c r="W122" s="195">
        <v>17.7</v>
      </c>
      <c r="X122"/>
      <c r="Y122"/>
      <c r="Z122"/>
      <c r="AA122"/>
      <c r="AB122"/>
      <c r="AC122"/>
      <c r="AD122"/>
      <c r="AE122"/>
      <c r="AF122"/>
      <c r="AG122"/>
      <c r="AH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row>
    <row r="123" spans="1:94" s="101" customFormat="1" x14ac:dyDescent="0.25">
      <c r="A123" s="101" t="s">
        <v>602</v>
      </c>
      <c r="B123" s="117" t="s">
        <v>171</v>
      </c>
      <c r="C123" s="86">
        <f t="shared" si="4"/>
        <v>-3.06722511317003E-4</v>
      </c>
      <c r="D123" t="s">
        <v>509</v>
      </c>
      <c r="E123" s="86">
        <f t="shared" si="5"/>
        <v>2.2288261515601784E-2</v>
      </c>
      <c r="F123" s="194">
        <v>15758</v>
      </c>
      <c r="G123" s="194">
        <v>1440</v>
      </c>
      <c r="H123" s="101">
        <v>1405</v>
      </c>
      <c r="I123" s="101">
        <v>1415</v>
      </c>
      <c r="J123" s="100">
        <v>1335</v>
      </c>
      <c r="K123" s="80">
        <v>1285</v>
      </c>
      <c r="L123" s="100">
        <v>1290</v>
      </c>
      <c r="M123" s="102" t="s">
        <v>171</v>
      </c>
      <c r="N123" s="194">
        <v>15758</v>
      </c>
      <c r="O123" s="195">
        <v>15.9</v>
      </c>
      <c r="P123" s="195">
        <v>16</v>
      </c>
      <c r="Q123" s="195">
        <v>16</v>
      </c>
      <c r="R123" s="195">
        <v>15.9</v>
      </c>
      <c r="S123" s="195">
        <v>15.9</v>
      </c>
      <c r="T123" s="195">
        <v>15.9</v>
      </c>
      <c r="U123" s="195">
        <v>15.8</v>
      </c>
      <c r="V123" s="195">
        <v>15.8</v>
      </c>
      <c r="W123" s="195">
        <v>15.7</v>
      </c>
      <c r="X123"/>
      <c r="Y123"/>
      <c r="Z123"/>
      <c r="AA123"/>
      <c r="AB123"/>
      <c r="AC123"/>
      <c r="AD123"/>
      <c r="AE123"/>
      <c r="AF123"/>
      <c r="AG123"/>
      <c r="AH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row>
    <row r="124" spans="1:94" x14ac:dyDescent="0.25">
      <c r="A124" t="s">
        <v>604</v>
      </c>
      <c r="B124" s="117" t="s">
        <v>229</v>
      </c>
      <c r="C124" s="86">
        <f t="shared" si="4"/>
        <v>1.5749109832922487E-3</v>
      </c>
      <c r="D124" t="s">
        <v>537</v>
      </c>
      <c r="E124" s="86">
        <f t="shared" si="5"/>
        <v>2.6225769669327253E-2</v>
      </c>
      <c r="F124" s="194">
        <v>12170</v>
      </c>
      <c r="G124" s="194">
        <v>950</v>
      </c>
      <c r="H124" s="80">
        <v>925</v>
      </c>
      <c r="I124" s="80">
        <v>905</v>
      </c>
      <c r="J124" s="80">
        <v>865</v>
      </c>
      <c r="K124" s="80">
        <v>855</v>
      </c>
      <c r="L124" s="80">
        <v>835</v>
      </c>
      <c r="M124" s="99" t="s">
        <v>229</v>
      </c>
      <c r="N124" s="194">
        <v>12170</v>
      </c>
      <c r="O124" s="195">
        <v>12</v>
      </c>
      <c r="P124" s="195">
        <v>12</v>
      </c>
      <c r="Q124" s="195">
        <v>12</v>
      </c>
      <c r="R124" s="195">
        <v>12.1</v>
      </c>
      <c r="S124" s="195">
        <v>12.1</v>
      </c>
      <c r="T124" s="195">
        <v>12.2</v>
      </c>
      <c r="U124" s="195">
        <v>12.2</v>
      </c>
      <c r="V124" s="195">
        <v>12.3</v>
      </c>
      <c r="W124" s="195">
        <v>12.4</v>
      </c>
      <c r="X124" s="101"/>
      <c r="Y124" s="101"/>
      <c r="Z124" s="101"/>
      <c r="AA124" s="101"/>
      <c r="AD124" s="101"/>
      <c r="AE124" s="101"/>
      <c r="AF124" s="101"/>
      <c r="AG124" s="101"/>
      <c r="AH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row>
    <row r="125" spans="1:94" x14ac:dyDescent="0.25">
      <c r="A125" t="s">
        <v>600</v>
      </c>
      <c r="B125" s="117" t="s">
        <v>303</v>
      </c>
      <c r="C125" s="86">
        <f t="shared" si="4"/>
        <v>1.1512891885220086E-3</v>
      </c>
      <c r="D125" t="s">
        <v>141</v>
      </c>
      <c r="E125" s="86">
        <f t="shared" si="5"/>
        <v>2.9485049833887042E-2</v>
      </c>
      <c r="F125" s="194">
        <v>39159</v>
      </c>
      <c r="G125" s="194">
        <v>2620</v>
      </c>
      <c r="H125" s="80">
        <v>2515</v>
      </c>
      <c r="I125" s="80">
        <v>2495</v>
      </c>
      <c r="J125" s="80">
        <v>2430</v>
      </c>
      <c r="K125" s="80">
        <v>2335</v>
      </c>
      <c r="L125" s="80">
        <v>2265</v>
      </c>
      <c r="M125" s="99" t="s">
        <v>303</v>
      </c>
      <c r="N125" s="194">
        <v>39159</v>
      </c>
      <c r="O125" s="195">
        <v>39.200000000000003</v>
      </c>
      <c r="P125" s="195">
        <v>39.200000000000003</v>
      </c>
      <c r="Q125" s="195">
        <v>39.200000000000003</v>
      </c>
      <c r="R125" s="195">
        <v>39.200000000000003</v>
      </c>
      <c r="S125" s="195">
        <v>39.200000000000003</v>
      </c>
      <c r="T125" s="195">
        <v>39.200000000000003</v>
      </c>
      <c r="U125" s="195">
        <v>39.299999999999997</v>
      </c>
      <c r="V125" s="195">
        <v>39.4</v>
      </c>
      <c r="W125" s="195">
        <v>39.700000000000003</v>
      </c>
    </row>
    <row r="126" spans="1:94" x14ac:dyDescent="0.25">
      <c r="A126" t="s">
        <v>600</v>
      </c>
      <c r="B126" s="117" t="s">
        <v>304</v>
      </c>
      <c r="C126" s="86">
        <f t="shared" si="4"/>
        <v>-5.4378375736246554E-4</v>
      </c>
      <c r="D126" t="s">
        <v>537</v>
      </c>
      <c r="E126" s="86">
        <f t="shared" si="5"/>
        <v>3.4238928172683293E-2</v>
      </c>
      <c r="F126" s="194">
        <v>27278</v>
      </c>
      <c r="G126" s="194">
        <v>2995</v>
      </c>
      <c r="H126" s="80">
        <v>2855</v>
      </c>
      <c r="I126" s="80">
        <v>2765</v>
      </c>
      <c r="J126" s="80">
        <v>2690</v>
      </c>
      <c r="K126" s="80">
        <v>2590</v>
      </c>
      <c r="L126" s="80">
        <v>2535</v>
      </c>
      <c r="M126" s="99" t="s">
        <v>304</v>
      </c>
      <c r="N126" s="194">
        <v>27278</v>
      </c>
      <c r="O126" s="195">
        <v>27.5</v>
      </c>
      <c r="P126" s="195">
        <v>27.6</v>
      </c>
      <c r="Q126" s="195">
        <v>27.7</v>
      </c>
      <c r="R126" s="195">
        <v>27.5</v>
      </c>
      <c r="S126" s="195">
        <v>27.3</v>
      </c>
      <c r="T126" s="195">
        <v>27.3</v>
      </c>
      <c r="U126" s="195">
        <v>27.4</v>
      </c>
      <c r="V126" s="195">
        <v>27.5</v>
      </c>
      <c r="W126" s="195">
        <v>27.1</v>
      </c>
    </row>
    <row r="127" spans="1:94" x14ac:dyDescent="0.25">
      <c r="A127" t="s">
        <v>601</v>
      </c>
      <c r="B127" s="117" t="s">
        <v>230</v>
      </c>
      <c r="C127" s="86">
        <f t="shared" si="4"/>
        <v>4.7217280356533142E-3</v>
      </c>
      <c r="D127" t="s">
        <v>537</v>
      </c>
      <c r="E127" s="86">
        <f t="shared" si="5"/>
        <v>3.5742035742035744E-2</v>
      </c>
      <c r="F127" s="194">
        <v>18549</v>
      </c>
      <c r="G127" s="194">
        <v>1430</v>
      </c>
      <c r="H127" s="80">
        <v>1380</v>
      </c>
      <c r="I127" s="80">
        <v>1340</v>
      </c>
      <c r="J127" s="80">
        <v>1285</v>
      </c>
      <c r="K127" s="80">
        <v>1230</v>
      </c>
      <c r="L127" s="80">
        <v>1200</v>
      </c>
      <c r="M127" s="99" t="s">
        <v>230</v>
      </c>
      <c r="N127" s="194">
        <v>18549</v>
      </c>
      <c r="O127" s="195">
        <v>18.899999999999999</v>
      </c>
      <c r="P127" s="195">
        <v>19</v>
      </c>
      <c r="Q127" s="195">
        <v>19.100000000000001</v>
      </c>
      <c r="R127" s="195">
        <v>19.2</v>
      </c>
      <c r="S127" s="195">
        <v>19.2</v>
      </c>
      <c r="T127" s="195">
        <v>19.3</v>
      </c>
      <c r="U127" s="195">
        <v>19.399999999999999</v>
      </c>
      <c r="V127" s="195">
        <v>19.5</v>
      </c>
      <c r="W127" s="195">
        <v>19.600000000000001</v>
      </c>
    </row>
    <row r="128" spans="1:94" x14ac:dyDescent="0.25">
      <c r="A128" t="s">
        <v>602</v>
      </c>
      <c r="B128" s="117" t="s">
        <v>172</v>
      </c>
      <c r="C128" s="86">
        <f t="shared" si="4"/>
        <v>4.7228634349544959E-3</v>
      </c>
      <c r="D128" t="s">
        <v>509</v>
      </c>
      <c r="E128" s="86">
        <f t="shared" si="5"/>
        <v>3.5945363048166784E-2</v>
      </c>
      <c r="F128" s="194">
        <v>50252</v>
      </c>
      <c r="G128" s="194">
        <v>4585</v>
      </c>
      <c r="H128" s="80">
        <v>4450</v>
      </c>
      <c r="I128" s="80">
        <v>4400</v>
      </c>
      <c r="J128" s="80">
        <v>4220</v>
      </c>
      <c r="K128" s="80">
        <v>3960</v>
      </c>
      <c r="L128" s="80">
        <v>3835</v>
      </c>
      <c r="M128" s="99" t="s">
        <v>172</v>
      </c>
      <c r="N128" s="194">
        <v>50252</v>
      </c>
      <c r="O128" s="195">
        <v>51.4</v>
      </c>
      <c r="P128" s="195">
        <v>51.7</v>
      </c>
      <c r="Q128" s="195">
        <v>51.8</v>
      </c>
      <c r="R128" s="195">
        <v>52</v>
      </c>
      <c r="S128" s="195">
        <v>52.1</v>
      </c>
      <c r="T128" s="195">
        <v>52.3</v>
      </c>
      <c r="U128" s="195">
        <v>52.4</v>
      </c>
      <c r="V128" s="195">
        <v>52.5</v>
      </c>
      <c r="W128" s="195">
        <v>53.1</v>
      </c>
    </row>
    <row r="129" spans="1:23" x14ac:dyDescent="0.25">
      <c r="A129" t="s">
        <v>600</v>
      </c>
      <c r="B129" s="117" t="s">
        <v>305</v>
      </c>
      <c r="C129" s="86">
        <f t="shared" si="4"/>
        <v>1.6901913102727215E-3</v>
      </c>
      <c r="D129" t="s">
        <v>509</v>
      </c>
      <c r="E129" s="86">
        <f t="shared" si="5"/>
        <v>3.3049040511727079E-2</v>
      </c>
      <c r="F129" s="194">
        <v>56749</v>
      </c>
      <c r="G129" s="194">
        <v>4185</v>
      </c>
      <c r="H129" s="80">
        <v>3980</v>
      </c>
      <c r="I129" s="80">
        <v>3880</v>
      </c>
      <c r="J129" s="80">
        <v>3730</v>
      </c>
      <c r="K129" s="80">
        <v>3605</v>
      </c>
      <c r="L129" s="80">
        <v>3565</v>
      </c>
      <c r="M129" s="99" t="s">
        <v>305</v>
      </c>
      <c r="N129" s="194">
        <v>56749</v>
      </c>
      <c r="O129" s="195">
        <v>54.9</v>
      </c>
      <c r="P129" s="195">
        <v>55.2</v>
      </c>
      <c r="Q129" s="195">
        <v>55.5</v>
      </c>
      <c r="R129" s="195">
        <v>56</v>
      </c>
      <c r="S129" s="195">
        <v>56.5</v>
      </c>
      <c r="T129" s="195">
        <v>56.7</v>
      </c>
      <c r="U129" s="195">
        <v>57</v>
      </c>
      <c r="V129" s="195">
        <v>57.2</v>
      </c>
      <c r="W129" s="195">
        <v>57.9</v>
      </c>
    </row>
    <row r="130" spans="1:23" x14ac:dyDescent="0.25">
      <c r="A130" t="s">
        <v>608</v>
      </c>
      <c r="B130" s="117" t="s">
        <v>469</v>
      </c>
      <c r="C130" s="86">
        <f t="shared" si="4"/>
        <v>-1.7525472400740177E-3</v>
      </c>
      <c r="D130" t="s">
        <v>509</v>
      </c>
      <c r="E130" s="86">
        <f t="shared" si="5"/>
        <v>1.8009103502869581E-2</v>
      </c>
      <c r="F130" s="194">
        <v>86826</v>
      </c>
      <c r="G130" s="194">
        <v>5415</v>
      </c>
      <c r="H130" s="80">
        <v>5265</v>
      </c>
      <c r="I130" s="80">
        <v>5120</v>
      </c>
      <c r="J130" s="80">
        <v>5010</v>
      </c>
      <c r="K130" s="80">
        <v>4910</v>
      </c>
      <c r="L130" s="80">
        <v>4960</v>
      </c>
      <c r="M130" s="99" t="s">
        <v>469</v>
      </c>
      <c r="N130" s="194">
        <v>86826</v>
      </c>
      <c r="O130" s="195">
        <v>86.9</v>
      </c>
      <c r="P130" s="195">
        <v>86.7</v>
      </c>
      <c r="Q130" s="195">
        <v>86.4</v>
      </c>
      <c r="R130" s="195">
        <v>86.2</v>
      </c>
      <c r="S130" s="195">
        <v>86</v>
      </c>
      <c r="T130" s="195">
        <v>85.8</v>
      </c>
      <c r="U130" s="195">
        <v>85.6</v>
      </c>
      <c r="V130" s="195">
        <v>85.5</v>
      </c>
      <c r="W130" s="195">
        <v>85</v>
      </c>
    </row>
    <row r="131" spans="1:23" x14ac:dyDescent="0.25">
      <c r="A131" t="s">
        <v>599</v>
      </c>
      <c r="B131" s="117" t="s">
        <v>431</v>
      </c>
      <c r="C131" s="86">
        <f t="shared" si="4"/>
        <v>7.4903434596513205E-3</v>
      </c>
      <c r="D131" t="s">
        <v>537</v>
      </c>
      <c r="E131" s="86">
        <f t="shared" si="5"/>
        <v>2.7638190954773871E-2</v>
      </c>
      <c r="F131" s="194">
        <v>15965</v>
      </c>
      <c r="G131" s="194">
        <v>1730</v>
      </c>
      <c r="H131" s="80">
        <v>1680</v>
      </c>
      <c r="I131" s="80">
        <v>1620</v>
      </c>
      <c r="J131" s="80">
        <v>1590</v>
      </c>
      <c r="K131" s="80">
        <v>1560</v>
      </c>
      <c r="L131" s="80">
        <v>1510</v>
      </c>
      <c r="M131" s="99" t="s">
        <v>431</v>
      </c>
      <c r="N131" s="194">
        <v>15965</v>
      </c>
      <c r="O131" s="195">
        <v>16.2</v>
      </c>
      <c r="P131" s="195">
        <v>16.399999999999999</v>
      </c>
      <c r="Q131" s="195">
        <v>16.5</v>
      </c>
      <c r="R131" s="195">
        <v>16.600000000000001</v>
      </c>
      <c r="S131" s="195">
        <v>16.7</v>
      </c>
      <c r="T131" s="195">
        <v>16.8</v>
      </c>
      <c r="U131" s="195">
        <v>17</v>
      </c>
      <c r="V131" s="195">
        <v>17.100000000000001</v>
      </c>
      <c r="W131" s="195">
        <v>17.399999999999999</v>
      </c>
    </row>
    <row r="132" spans="1:23" x14ac:dyDescent="0.25">
      <c r="A132" t="s">
        <v>600</v>
      </c>
      <c r="B132" s="117" t="s">
        <v>306</v>
      </c>
      <c r="C132" s="86">
        <f t="shared" si="4"/>
        <v>1.4564417352259969E-4</v>
      </c>
      <c r="D132" t="s">
        <v>537</v>
      </c>
      <c r="E132" s="86">
        <f t="shared" si="5"/>
        <v>3.5772357723577237E-2</v>
      </c>
      <c r="F132" s="194">
        <v>23459</v>
      </c>
      <c r="G132" s="194">
        <v>2045</v>
      </c>
      <c r="H132" s="80">
        <v>1955</v>
      </c>
      <c r="I132" s="80">
        <v>1925</v>
      </c>
      <c r="J132" s="80">
        <v>1865</v>
      </c>
      <c r="K132" s="80">
        <v>1765</v>
      </c>
      <c r="L132" s="80">
        <v>1715</v>
      </c>
      <c r="M132" s="99" t="s">
        <v>306</v>
      </c>
      <c r="N132" s="194">
        <v>23459</v>
      </c>
      <c r="O132" s="195">
        <v>23.1</v>
      </c>
      <c r="P132" s="195">
        <v>23.1</v>
      </c>
      <c r="Q132" s="195">
        <v>23.1</v>
      </c>
      <c r="R132" s="195">
        <v>23.2</v>
      </c>
      <c r="S132" s="195">
        <v>23.2</v>
      </c>
      <c r="T132" s="195">
        <v>23.3</v>
      </c>
      <c r="U132" s="195">
        <v>23.4</v>
      </c>
      <c r="V132" s="195">
        <v>23.4</v>
      </c>
      <c r="W132" s="195">
        <v>23.5</v>
      </c>
    </row>
    <row r="133" spans="1:23" x14ac:dyDescent="0.25">
      <c r="A133" t="s">
        <v>604</v>
      </c>
      <c r="B133" s="117" t="s">
        <v>193</v>
      </c>
      <c r="C133" s="86">
        <f t="shared" si="4"/>
        <v>-7.260136267173015E-4</v>
      </c>
      <c r="D133" t="s">
        <v>141</v>
      </c>
      <c r="E133" s="86">
        <f t="shared" si="5"/>
        <v>2.8420625253755584E-2</v>
      </c>
      <c r="F133" s="194">
        <v>35812</v>
      </c>
      <c r="G133" s="194">
        <v>2690</v>
      </c>
      <c r="H133" s="80">
        <v>2585</v>
      </c>
      <c r="I133" s="80">
        <v>2550</v>
      </c>
      <c r="J133" s="80">
        <v>2460</v>
      </c>
      <c r="K133" s="80">
        <v>2380</v>
      </c>
      <c r="L133" s="80">
        <v>2340</v>
      </c>
      <c r="M133" s="99" t="s">
        <v>193</v>
      </c>
      <c r="N133" s="194">
        <v>35812</v>
      </c>
      <c r="O133" s="195">
        <v>35.6</v>
      </c>
      <c r="P133" s="195">
        <v>35.6</v>
      </c>
      <c r="Q133" s="195">
        <v>35.6</v>
      </c>
      <c r="R133" s="195">
        <v>35.700000000000003</v>
      </c>
      <c r="S133" s="195">
        <v>35.6</v>
      </c>
      <c r="T133" s="195">
        <v>35.6</v>
      </c>
      <c r="U133" s="195">
        <v>35.6</v>
      </c>
      <c r="V133" s="195">
        <v>35.6</v>
      </c>
      <c r="W133" s="195">
        <v>35.5</v>
      </c>
    </row>
    <row r="134" spans="1:23" x14ac:dyDescent="0.25">
      <c r="A134" t="s">
        <v>603</v>
      </c>
      <c r="B134" s="117" t="s">
        <v>348</v>
      </c>
      <c r="C134" s="86">
        <f t="shared" si="4"/>
        <v>-5.0156922487783347E-4</v>
      </c>
      <c r="D134" t="s">
        <v>141</v>
      </c>
      <c r="E134" s="86">
        <f t="shared" si="5"/>
        <v>3.0431107354184278E-2</v>
      </c>
      <c r="F134" s="194">
        <v>40041</v>
      </c>
      <c r="G134" s="194">
        <v>2595</v>
      </c>
      <c r="H134" s="80">
        <v>2460</v>
      </c>
      <c r="I134" s="80">
        <v>2445</v>
      </c>
      <c r="J134" s="80">
        <v>2395</v>
      </c>
      <c r="K134" s="80">
        <v>2295</v>
      </c>
      <c r="L134" s="80">
        <v>2235</v>
      </c>
      <c r="M134" s="99" t="s">
        <v>348</v>
      </c>
      <c r="N134" s="194">
        <v>40041</v>
      </c>
      <c r="O134" s="195">
        <v>39.1</v>
      </c>
      <c r="P134" s="195">
        <v>39</v>
      </c>
      <c r="Q134" s="195">
        <v>39.200000000000003</v>
      </c>
      <c r="R134" s="195">
        <v>39.4</v>
      </c>
      <c r="S134" s="195">
        <v>39.6</v>
      </c>
      <c r="T134" s="195">
        <v>39.700000000000003</v>
      </c>
      <c r="U134" s="195">
        <v>39.700000000000003</v>
      </c>
      <c r="V134" s="195">
        <v>39.700000000000003</v>
      </c>
      <c r="W134" s="195">
        <v>39.799999999999997</v>
      </c>
    </row>
    <row r="135" spans="1:23" x14ac:dyDescent="0.25">
      <c r="A135" t="s">
        <v>599</v>
      </c>
      <c r="B135" s="117" t="s">
        <v>432</v>
      </c>
      <c r="C135" s="86">
        <f t="shared" si="4"/>
        <v>5.5215673421824081E-3</v>
      </c>
      <c r="D135" t="s">
        <v>509</v>
      </c>
      <c r="E135" s="86">
        <f t="shared" si="5"/>
        <v>1.9744116253356498E-2</v>
      </c>
      <c r="F135" s="194">
        <v>91535</v>
      </c>
      <c r="G135" s="194">
        <v>6800</v>
      </c>
      <c r="H135" s="80">
        <v>6580</v>
      </c>
      <c r="I135" s="80">
        <v>6505</v>
      </c>
      <c r="J135" s="80">
        <v>6295</v>
      </c>
      <c r="K135" s="80">
        <v>6100</v>
      </c>
      <c r="L135" s="80">
        <v>6175</v>
      </c>
      <c r="M135" s="99" t="s">
        <v>432</v>
      </c>
      <c r="N135" s="194">
        <v>91535</v>
      </c>
      <c r="O135" s="195">
        <v>92.3</v>
      </c>
      <c r="P135" s="195">
        <v>93</v>
      </c>
      <c r="Q135" s="195">
        <v>93.5</v>
      </c>
      <c r="R135" s="195">
        <v>94</v>
      </c>
      <c r="S135" s="195">
        <v>94.5</v>
      </c>
      <c r="T135" s="195">
        <v>94.9</v>
      </c>
      <c r="U135" s="195">
        <v>95.4</v>
      </c>
      <c r="V135" s="195">
        <v>95.9</v>
      </c>
      <c r="W135" s="195">
        <v>97.6</v>
      </c>
    </row>
    <row r="136" spans="1:23" x14ac:dyDescent="0.25">
      <c r="A136" t="s">
        <v>603</v>
      </c>
      <c r="B136" s="117" t="s">
        <v>349</v>
      </c>
      <c r="C136" s="86">
        <f t="shared" si="4"/>
        <v>4.6777770600521162E-3</v>
      </c>
      <c r="D136" t="s">
        <v>537</v>
      </c>
      <c r="E136" s="86">
        <f t="shared" si="5"/>
        <v>4.1102514506769827E-2</v>
      </c>
      <c r="F136" s="194">
        <v>30962</v>
      </c>
      <c r="G136" s="194">
        <v>2350</v>
      </c>
      <c r="H136" s="80">
        <v>2195</v>
      </c>
      <c r="I136" s="80">
        <v>2180</v>
      </c>
      <c r="J136" s="80">
        <v>2080</v>
      </c>
      <c r="K136" s="80">
        <v>1960</v>
      </c>
      <c r="L136" s="80">
        <v>1925</v>
      </c>
      <c r="M136" s="99" t="s">
        <v>349</v>
      </c>
      <c r="N136" s="194">
        <v>30962</v>
      </c>
      <c r="O136" s="195">
        <v>30.6</v>
      </c>
      <c r="P136" s="195">
        <v>30.5</v>
      </c>
      <c r="Q136" s="195">
        <v>30.5</v>
      </c>
      <c r="R136" s="195">
        <v>30.8</v>
      </c>
      <c r="S136" s="195">
        <v>31.1</v>
      </c>
      <c r="T136" s="195">
        <v>31.4</v>
      </c>
      <c r="U136" s="195">
        <v>31.6</v>
      </c>
      <c r="V136" s="195">
        <v>31.8</v>
      </c>
      <c r="W136" s="195">
        <v>32.700000000000003</v>
      </c>
    </row>
    <row r="137" spans="1:23" x14ac:dyDescent="0.25">
      <c r="A137" t="s">
        <v>604</v>
      </c>
      <c r="B137" s="117" t="s">
        <v>512</v>
      </c>
      <c r="C137" s="86">
        <f t="shared" si="4"/>
        <v>3.512686998925531E-4</v>
      </c>
      <c r="D137" t="s">
        <v>509</v>
      </c>
      <c r="E137" s="86">
        <f t="shared" si="5"/>
        <v>2.7432271255750554E-2</v>
      </c>
      <c r="F137" s="194">
        <v>80660</v>
      </c>
      <c r="G137" s="194">
        <v>6400</v>
      </c>
      <c r="H137" s="80">
        <v>6140</v>
      </c>
      <c r="I137" s="80">
        <v>6020</v>
      </c>
      <c r="J137" s="80">
        <v>5880</v>
      </c>
      <c r="K137" s="80">
        <v>5710</v>
      </c>
      <c r="L137" s="80">
        <v>5595</v>
      </c>
      <c r="M137" s="99" t="s">
        <v>512</v>
      </c>
      <c r="N137" s="194">
        <v>80660</v>
      </c>
      <c r="O137" s="195">
        <v>81</v>
      </c>
      <c r="P137" s="195">
        <v>81.099999999999994</v>
      </c>
      <c r="Q137" s="195">
        <v>81.099999999999994</v>
      </c>
      <c r="R137" s="195">
        <v>81.099999999999994</v>
      </c>
      <c r="S137" s="195">
        <v>81.2</v>
      </c>
      <c r="T137" s="195">
        <v>81.099999999999994</v>
      </c>
      <c r="U137" s="195">
        <v>81.099999999999994</v>
      </c>
      <c r="V137" s="195">
        <v>81.099999999999994</v>
      </c>
      <c r="W137" s="195">
        <v>81</v>
      </c>
    </row>
    <row r="138" spans="1:23" x14ac:dyDescent="0.25">
      <c r="A138" t="s">
        <v>607</v>
      </c>
      <c r="B138" s="117" t="s">
        <v>747</v>
      </c>
      <c r="C138" s="86">
        <f t="shared" si="4"/>
        <v>-1.0687650874566638E-3</v>
      </c>
      <c r="D138" t="s">
        <v>141</v>
      </c>
      <c r="E138" s="86">
        <f t="shared" si="5"/>
        <v>2.0969855832241154E-2</v>
      </c>
      <c r="F138" s="194">
        <v>49434</v>
      </c>
      <c r="G138" s="194">
        <v>4070</v>
      </c>
      <c r="H138" s="80">
        <v>3950</v>
      </c>
      <c r="I138" s="80">
        <v>3955</v>
      </c>
      <c r="J138" s="80">
        <v>3815</v>
      </c>
      <c r="K138" s="80">
        <v>3685</v>
      </c>
      <c r="L138" s="80">
        <v>3670</v>
      </c>
      <c r="M138" s="99" t="s">
        <v>747</v>
      </c>
      <c r="N138" s="194">
        <v>49434</v>
      </c>
      <c r="O138" s="195">
        <v>49.900000000000006</v>
      </c>
      <c r="P138" s="195">
        <v>49.8</v>
      </c>
      <c r="Q138" s="195">
        <v>49.600000000000009</v>
      </c>
      <c r="R138" s="195">
        <v>49.400000000000006</v>
      </c>
      <c r="S138" s="195">
        <v>49.3</v>
      </c>
      <c r="T138" s="195">
        <v>49.3</v>
      </c>
      <c r="U138" s="195">
        <v>49.099999999999994</v>
      </c>
      <c r="V138" s="195">
        <v>49.2</v>
      </c>
      <c r="W138" s="195">
        <v>48.800000000000004</v>
      </c>
    </row>
    <row r="139" spans="1:23" x14ac:dyDescent="0.25">
      <c r="A139" t="s">
        <v>601</v>
      </c>
      <c r="B139" s="117" t="s">
        <v>231</v>
      </c>
      <c r="C139" s="86">
        <f t="shared" si="4"/>
        <v>-1.4307670529232137E-3</v>
      </c>
      <c r="D139" t="s">
        <v>537</v>
      </c>
      <c r="E139" s="86">
        <f t="shared" si="5"/>
        <v>3.3846153846153845E-2</v>
      </c>
      <c r="F139" s="194">
        <v>16483</v>
      </c>
      <c r="G139" s="194">
        <v>1430</v>
      </c>
      <c r="H139" s="80">
        <v>1395</v>
      </c>
      <c r="I139" s="80">
        <v>1340</v>
      </c>
      <c r="J139" s="80">
        <v>1305</v>
      </c>
      <c r="K139" s="80">
        <v>1250</v>
      </c>
      <c r="L139" s="80">
        <v>1210</v>
      </c>
      <c r="M139" s="99" t="s">
        <v>231</v>
      </c>
      <c r="N139" s="194">
        <v>16483</v>
      </c>
      <c r="O139" s="195">
        <v>16.399999999999999</v>
      </c>
      <c r="P139" s="195">
        <v>16.3</v>
      </c>
      <c r="Q139" s="195">
        <v>16.3</v>
      </c>
      <c r="R139" s="195">
        <v>16.3</v>
      </c>
      <c r="S139" s="195">
        <v>16.3</v>
      </c>
      <c r="T139" s="195">
        <v>16.3</v>
      </c>
      <c r="U139" s="195">
        <v>16.3</v>
      </c>
      <c r="V139" s="195">
        <v>16.2</v>
      </c>
      <c r="W139" s="195">
        <v>16.2</v>
      </c>
    </row>
    <row r="140" spans="1:23" x14ac:dyDescent="0.25">
      <c r="A140" t="s">
        <v>599</v>
      </c>
      <c r="B140" s="117" t="s">
        <v>433</v>
      </c>
      <c r="C140" s="86">
        <f t="shared" si="4"/>
        <v>1.4982504666681781E-3</v>
      </c>
      <c r="D140" t="s">
        <v>537</v>
      </c>
      <c r="E140" s="86">
        <f t="shared" si="5"/>
        <v>2.8022833419823558E-2</v>
      </c>
      <c r="F140" s="194">
        <v>44107</v>
      </c>
      <c r="G140" s="194">
        <v>4210</v>
      </c>
      <c r="H140" s="80">
        <v>4045</v>
      </c>
      <c r="I140" s="80">
        <v>4005</v>
      </c>
      <c r="J140" s="80">
        <v>3825</v>
      </c>
      <c r="K140" s="80">
        <v>3725</v>
      </c>
      <c r="L140" s="80">
        <v>3670</v>
      </c>
      <c r="M140" s="99" t="s">
        <v>433</v>
      </c>
      <c r="N140" s="194">
        <v>44107</v>
      </c>
      <c r="O140" s="195">
        <v>43.5</v>
      </c>
      <c r="P140" s="195">
        <v>43.6</v>
      </c>
      <c r="Q140" s="195">
        <v>43.7</v>
      </c>
      <c r="R140" s="195">
        <v>43.8</v>
      </c>
      <c r="S140" s="195">
        <v>43.9</v>
      </c>
      <c r="T140" s="195">
        <v>44</v>
      </c>
      <c r="U140" s="195">
        <v>44.1</v>
      </c>
      <c r="V140" s="195">
        <v>44.3</v>
      </c>
      <c r="W140" s="195">
        <v>44.9</v>
      </c>
    </row>
    <row r="141" spans="1:23" x14ac:dyDescent="0.25">
      <c r="A141" t="s">
        <v>603</v>
      </c>
      <c r="B141" s="117" t="s">
        <v>350</v>
      </c>
      <c r="C141" s="86">
        <f t="shared" si="4"/>
        <v>1.6580916389685682E-3</v>
      </c>
      <c r="D141" t="s">
        <v>141</v>
      </c>
      <c r="E141" s="86">
        <f t="shared" si="5"/>
        <v>3.2478632478632481E-2</v>
      </c>
      <c r="F141" s="194">
        <v>21963</v>
      </c>
      <c r="G141" s="194">
        <v>1950</v>
      </c>
      <c r="H141" s="80">
        <v>1860</v>
      </c>
      <c r="I141" s="80">
        <v>1815</v>
      </c>
      <c r="J141" s="80">
        <v>1740</v>
      </c>
      <c r="K141" s="80">
        <v>1695</v>
      </c>
      <c r="L141" s="80">
        <v>1665</v>
      </c>
      <c r="M141" s="99" t="s">
        <v>350</v>
      </c>
      <c r="N141" s="194">
        <v>21963</v>
      </c>
      <c r="O141" s="195">
        <v>21.9</v>
      </c>
      <c r="P141" s="195">
        <v>22</v>
      </c>
      <c r="Q141" s="195">
        <v>22.1</v>
      </c>
      <c r="R141" s="195">
        <v>22.2</v>
      </c>
      <c r="S141" s="195">
        <v>22.3</v>
      </c>
      <c r="T141" s="195">
        <v>22.4</v>
      </c>
      <c r="U141" s="195">
        <v>22.5</v>
      </c>
      <c r="V141" s="195">
        <v>22.6</v>
      </c>
      <c r="W141" s="195">
        <v>22.4</v>
      </c>
    </row>
    <row r="142" spans="1:23" x14ac:dyDescent="0.25">
      <c r="A142" t="s">
        <v>599</v>
      </c>
      <c r="B142" s="117" t="s">
        <v>434</v>
      </c>
      <c r="C142" s="86">
        <f t="shared" si="4"/>
        <v>-3.4246575342465752E-3</v>
      </c>
      <c r="D142" t="s">
        <v>537</v>
      </c>
      <c r="E142" s="86">
        <f t="shared" si="5"/>
        <v>1.6625615763546799E-2</v>
      </c>
      <c r="F142" s="194">
        <v>15330</v>
      </c>
      <c r="G142" s="194">
        <v>1715</v>
      </c>
      <c r="H142" s="80">
        <v>1660</v>
      </c>
      <c r="I142" s="80">
        <v>1650</v>
      </c>
      <c r="J142" s="80">
        <v>1640</v>
      </c>
      <c r="K142" s="80">
        <v>1590</v>
      </c>
      <c r="L142" s="80">
        <v>1580</v>
      </c>
      <c r="M142" s="99" t="s">
        <v>434</v>
      </c>
      <c r="N142" s="194">
        <v>15330</v>
      </c>
      <c r="O142" s="195">
        <v>15.2</v>
      </c>
      <c r="P142" s="195">
        <v>15.2</v>
      </c>
      <c r="Q142" s="195">
        <v>15.1</v>
      </c>
      <c r="R142" s="195">
        <v>15.1</v>
      </c>
      <c r="S142" s="195">
        <v>15.1</v>
      </c>
      <c r="T142" s="195">
        <v>15.1</v>
      </c>
      <c r="U142" s="195">
        <v>15</v>
      </c>
      <c r="V142" s="195">
        <v>14.9</v>
      </c>
      <c r="W142" s="195">
        <v>14.7</v>
      </c>
    </row>
    <row r="143" spans="1:23" x14ac:dyDescent="0.25">
      <c r="A143" t="s">
        <v>600</v>
      </c>
      <c r="B143" s="117" t="s">
        <v>307</v>
      </c>
      <c r="C143" s="86">
        <f t="shared" si="4"/>
        <v>3.2354745485857037E-3</v>
      </c>
      <c r="D143" t="s">
        <v>509</v>
      </c>
      <c r="E143" s="86">
        <f t="shared" si="5"/>
        <v>3.3647663951993145E-2</v>
      </c>
      <c r="F143" s="194">
        <v>90198</v>
      </c>
      <c r="G143" s="194">
        <v>10390</v>
      </c>
      <c r="H143" s="80">
        <v>9900</v>
      </c>
      <c r="I143" s="80">
        <v>9700</v>
      </c>
      <c r="J143" s="80">
        <v>9315</v>
      </c>
      <c r="K143" s="80">
        <v>8925</v>
      </c>
      <c r="L143" s="80">
        <v>8820</v>
      </c>
      <c r="M143" s="99" t="s">
        <v>307</v>
      </c>
      <c r="N143" s="194">
        <v>90198</v>
      </c>
      <c r="O143" s="195">
        <v>88.9</v>
      </c>
      <c r="P143" s="195">
        <v>89.4</v>
      </c>
      <c r="Q143" s="195">
        <v>89.8</v>
      </c>
      <c r="R143" s="195">
        <v>90.3</v>
      </c>
      <c r="S143" s="195">
        <v>90.8</v>
      </c>
      <c r="T143" s="195">
        <v>91.3</v>
      </c>
      <c r="U143" s="195">
        <v>91.7</v>
      </c>
      <c r="V143" s="195">
        <v>92.2</v>
      </c>
      <c r="W143" s="195">
        <v>93.7</v>
      </c>
    </row>
    <row r="144" spans="1:23" x14ac:dyDescent="0.25">
      <c r="A144" t="s">
        <v>603</v>
      </c>
      <c r="B144" s="117" t="s">
        <v>748</v>
      </c>
      <c r="C144" s="86">
        <f t="shared" si="4"/>
        <v>-3.0220139578187497E-3</v>
      </c>
      <c r="D144" t="s">
        <v>537</v>
      </c>
      <c r="E144" s="86">
        <f t="shared" si="5"/>
        <v>2.4515779493430853E-2</v>
      </c>
      <c r="F144" s="194">
        <v>86642</v>
      </c>
      <c r="G144" s="194">
        <v>7940</v>
      </c>
      <c r="H144" s="80">
        <v>7715</v>
      </c>
      <c r="I144" s="80">
        <v>7555</v>
      </c>
      <c r="J144" s="80">
        <v>7395</v>
      </c>
      <c r="K144" s="80">
        <v>7215</v>
      </c>
      <c r="L144" s="80">
        <v>7035</v>
      </c>
      <c r="M144" s="99" t="s">
        <v>748</v>
      </c>
      <c r="N144" s="194">
        <v>86642</v>
      </c>
      <c r="O144" s="195">
        <v>84.600000000000009</v>
      </c>
      <c r="P144" s="195">
        <v>84.9</v>
      </c>
      <c r="Q144" s="195">
        <v>85.1</v>
      </c>
      <c r="R144" s="195">
        <v>85.199999999999989</v>
      </c>
      <c r="S144" s="195">
        <v>85</v>
      </c>
      <c r="T144" s="195">
        <v>84.8</v>
      </c>
      <c r="U144" s="195">
        <v>84.5</v>
      </c>
      <c r="V144" s="195">
        <v>84.199999999999989</v>
      </c>
      <c r="W144" s="195">
        <v>83.500000000000014</v>
      </c>
    </row>
    <row r="145" spans="1:23" x14ac:dyDescent="0.25">
      <c r="A145" t="s">
        <v>604</v>
      </c>
      <c r="B145" s="117" t="s">
        <v>194</v>
      </c>
      <c r="C145" s="86">
        <f t="shared" si="4"/>
        <v>-2.0173982716190694E-3</v>
      </c>
      <c r="D145" t="s">
        <v>537</v>
      </c>
      <c r="E145" s="86">
        <f t="shared" si="5"/>
        <v>2.6851578636766009E-2</v>
      </c>
      <c r="F145" s="194">
        <v>34946</v>
      </c>
      <c r="G145" s="194">
        <v>3660</v>
      </c>
      <c r="H145" s="80">
        <v>3565</v>
      </c>
      <c r="I145" s="80">
        <v>3495</v>
      </c>
      <c r="J145" s="80">
        <v>3380</v>
      </c>
      <c r="K145" s="80">
        <v>3300</v>
      </c>
      <c r="L145" s="80">
        <v>3205</v>
      </c>
      <c r="M145" s="99" t="s">
        <v>194</v>
      </c>
      <c r="N145" s="194">
        <v>34946</v>
      </c>
      <c r="O145" s="195">
        <v>34.700000000000003</v>
      </c>
      <c r="P145" s="195">
        <v>34.6</v>
      </c>
      <c r="Q145" s="195">
        <v>34.6</v>
      </c>
      <c r="R145" s="195">
        <v>34.5</v>
      </c>
      <c r="S145" s="195">
        <v>34.4</v>
      </c>
      <c r="T145" s="195">
        <v>34.299999999999997</v>
      </c>
      <c r="U145" s="195">
        <v>34.200000000000003</v>
      </c>
      <c r="V145" s="195">
        <v>34.200000000000003</v>
      </c>
      <c r="W145" s="195">
        <v>34.1</v>
      </c>
    </row>
    <row r="146" spans="1:23" x14ac:dyDescent="0.25">
      <c r="A146" t="s">
        <v>600</v>
      </c>
      <c r="B146" s="117" t="s">
        <v>308</v>
      </c>
      <c r="C146" s="86">
        <f t="shared" si="4"/>
        <v>-8.7513772087639298E-4</v>
      </c>
      <c r="D146" t="s">
        <v>537</v>
      </c>
      <c r="E146" s="86">
        <f t="shared" si="5"/>
        <v>2.2054054054054053E-2</v>
      </c>
      <c r="F146" s="194">
        <v>47802</v>
      </c>
      <c r="G146" s="194">
        <v>4980</v>
      </c>
      <c r="H146" s="80">
        <v>4820</v>
      </c>
      <c r="I146" s="80">
        <v>4735</v>
      </c>
      <c r="J146" s="80">
        <v>4610</v>
      </c>
      <c r="K146" s="80">
        <v>4490</v>
      </c>
      <c r="L146" s="80">
        <v>4470</v>
      </c>
      <c r="M146" s="99" t="s">
        <v>308</v>
      </c>
      <c r="N146" s="194">
        <v>47802</v>
      </c>
      <c r="O146" s="195">
        <v>47.6</v>
      </c>
      <c r="P146" s="195">
        <v>47.6</v>
      </c>
      <c r="Q146" s="195">
        <v>47.7</v>
      </c>
      <c r="R146" s="195">
        <v>47.8</v>
      </c>
      <c r="S146" s="195">
        <v>47.8</v>
      </c>
      <c r="T146" s="195">
        <v>47.7</v>
      </c>
      <c r="U146" s="195">
        <v>47.7</v>
      </c>
      <c r="V146" s="195">
        <v>47.6</v>
      </c>
      <c r="W146" s="195">
        <v>47.3</v>
      </c>
    </row>
    <row r="147" spans="1:23" x14ac:dyDescent="0.25">
      <c r="A147" t="s">
        <v>598</v>
      </c>
      <c r="B147" s="117" t="s">
        <v>134</v>
      </c>
      <c r="C147" s="86">
        <f t="shared" si="4"/>
        <v>1.6792988253888431E-3</v>
      </c>
      <c r="D147" t="s">
        <v>509</v>
      </c>
      <c r="E147" s="86">
        <f t="shared" si="5"/>
        <v>2.3382696804364771E-2</v>
      </c>
      <c r="F147" s="194">
        <v>55678</v>
      </c>
      <c r="G147" s="194">
        <v>4135</v>
      </c>
      <c r="H147" s="80">
        <v>4025</v>
      </c>
      <c r="I147" s="80">
        <v>3935</v>
      </c>
      <c r="J147" s="80">
        <v>3880</v>
      </c>
      <c r="K147" s="80">
        <v>3720</v>
      </c>
      <c r="L147" s="80">
        <v>3685</v>
      </c>
      <c r="M147" s="99" t="s">
        <v>134</v>
      </c>
      <c r="N147" s="194">
        <v>55678</v>
      </c>
      <c r="O147" s="195">
        <v>56</v>
      </c>
      <c r="P147" s="195">
        <v>56.1</v>
      </c>
      <c r="Q147" s="195">
        <v>56.2</v>
      </c>
      <c r="R147" s="195">
        <v>56.3</v>
      </c>
      <c r="S147" s="195">
        <v>56.3</v>
      </c>
      <c r="T147" s="195">
        <v>56.4</v>
      </c>
      <c r="U147" s="195">
        <v>56.4</v>
      </c>
      <c r="V147" s="195">
        <v>56.5</v>
      </c>
      <c r="W147" s="195">
        <v>56.8</v>
      </c>
    </row>
    <row r="148" spans="1:23" x14ac:dyDescent="0.25">
      <c r="A148" t="s">
        <v>600</v>
      </c>
      <c r="B148" s="117" t="s">
        <v>309</v>
      </c>
      <c r="C148" s="86">
        <f t="shared" si="4"/>
        <v>2.4679272149732328E-3</v>
      </c>
      <c r="D148" t="s">
        <v>509</v>
      </c>
      <c r="E148" s="86">
        <f t="shared" si="5"/>
        <v>2.9530447542186353E-2</v>
      </c>
      <c r="F148" s="194">
        <v>73037</v>
      </c>
      <c r="G148" s="194">
        <v>5970</v>
      </c>
      <c r="H148" s="80">
        <v>5700</v>
      </c>
      <c r="I148" s="80">
        <v>5680</v>
      </c>
      <c r="J148" s="80">
        <v>5460</v>
      </c>
      <c r="K148" s="80">
        <v>5255</v>
      </c>
      <c r="L148" s="80">
        <v>5165</v>
      </c>
      <c r="M148" s="99" t="s">
        <v>309</v>
      </c>
      <c r="N148" s="194">
        <v>73037</v>
      </c>
      <c r="O148" s="195">
        <v>72.400000000000006</v>
      </c>
      <c r="P148" s="195">
        <v>72.7</v>
      </c>
      <c r="Q148" s="195">
        <v>73.3</v>
      </c>
      <c r="R148" s="195">
        <v>73.7</v>
      </c>
      <c r="S148" s="195">
        <v>74.099999999999994</v>
      </c>
      <c r="T148" s="195">
        <v>74.5</v>
      </c>
      <c r="U148" s="195">
        <v>74.7</v>
      </c>
      <c r="V148" s="195">
        <v>74.8</v>
      </c>
      <c r="W148" s="195">
        <v>75.2</v>
      </c>
    </row>
    <row r="149" spans="1:23" x14ac:dyDescent="0.25">
      <c r="A149" t="s">
        <v>608</v>
      </c>
      <c r="B149" s="117" t="s">
        <v>470</v>
      </c>
      <c r="C149" s="86">
        <f t="shared" si="4"/>
        <v>-4.9121604047951198E-3</v>
      </c>
      <c r="D149" t="s">
        <v>537</v>
      </c>
      <c r="E149" s="86">
        <f t="shared" si="5"/>
        <v>2.3444544634806132E-2</v>
      </c>
      <c r="F149" s="194">
        <v>42293</v>
      </c>
      <c r="G149" s="194">
        <v>3570</v>
      </c>
      <c r="H149" s="80">
        <v>3445</v>
      </c>
      <c r="I149" s="80">
        <v>3425</v>
      </c>
      <c r="J149" s="80">
        <v>3330</v>
      </c>
      <c r="K149" s="80">
        <v>3255</v>
      </c>
      <c r="L149" s="80">
        <v>3180</v>
      </c>
      <c r="M149" s="99" t="s">
        <v>470</v>
      </c>
      <c r="N149" s="194">
        <v>42293</v>
      </c>
      <c r="O149" s="195">
        <v>41.8</v>
      </c>
      <c r="P149" s="195">
        <v>41.7</v>
      </c>
      <c r="Q149" s="195">
        <v>41.6</v>
      </c>
      <c r="R149" s="195">
        <v>41.4</v>
      </c>
      <c r="S149" s="195">
        <v>41.2</v>
      </c>
      <c r="T149" s="195">
        <v>41</v>
      </c>
      <c r="U149" s="195">
        <v>40.799999999999997</v>
      </c>
      <c r="V149" s="195">
        <v>40.6</v>
      </c>
      <c r="W149" s="195">
        <v>39.799999999999997</v>
      </c>
    </row>
    <row r="150" spans="1:23" x14ac:dyDescent="0.25">
      <c r="A150" t="s">
        <v>606</v>
      </c>
      <c r="B150" s="117" t="s">
        <v>269</v>
      </c>
      <c r="C150" s="86">
        <f t="shared" si="4"/>
        <v>3.3064807021762654E-4</v>
      </c>
      <c r="D150" t="s">
        <v>537</v>
      </c>
      <c r="E150" s="86">
        <f t="shared" si="5"/>
        <v>2.9223093371347115E-2</v>
      </c>
      <c r="F150" s="194">
        <v>49902</v>
      </c>
      <c r="G150" s="194">
        <v>4585</v>
      </c>
      <c r="H150" s="80">
        <v>4430</v>
      </c>
      <c r="I150" s="80">
        <v>4365</v>
      </c>
      <c r="J150" s="80">
        <v>4215</v>
      </c>
      <c r="K150" s="80">
        <v>4065</v>
      </c>
      <c r="L150" s="80">
        <v>3970</v>
      </c>
      <c r="M150" s="99" t="s">
        <v>269</v>
      </c>
      <c r="N150" s="194">
        <v>49902</v>
      </c>
      <c r="O150" s="195">
        <v>49.4</v>
      </c>
      <c r="P150" s="195">
        <v>49.6</v>
      </c>
      <c r="Q150" s="195">
        <v>49.8</v>
      </c>
      <c r="R150" s="195">
        <v>49.8</v>
      </c>
      <c r="S150" s="195">
        <v>49.8</v>
      </c>
      <c r="T150" s="195">
        <v>49.9</v>
      </c>
      <c r="U150" s="195">
        <v>49.9</v>
      </c>
      <c r="V150" s="195">
        <v>49.9</v>
      </c>
      <c r="W150" s="195">
        <v>50.1</v>
      </c>
    </row>
    <row r="151" spans="1:23" x14ac:dyDescent="0.25">
      <c r="A151" t="s">
        <v>600</v>
      </c>
      <c r="B151" s="117" t="s">
        <v>310</v>
      </c>
      <c r="C151" s="86">
        <f t="shared" si="4"/>
        <v>-5.6524547803617567E-4</v>
      </c>
      <c r="D151" t="s">
        <v>141</v>
      </c>
      <c r="E151" s="86">
        <f t="shared" si="5"/>
        <v>2.1082042164084328E-2</v>
      </c>
      <c r="F151" s="194">
        <v>41280</v>
      </c>
      <c r="G151" s="194">
        <v>4200</v>
      </c>
      <c r="H151" s="80">
        <v>4080</v>
      </c>
      <c r="I151" s="80">
        <v>4055</v>
      </c>
      <c r="J151" s="80">
        <v>3950</v>
      </c>
      <c r="K151" s="80">
        <v>3815</v>
      </c>
      <c r="L151" s="80">
        <v>3785</v>
      </c>
      <c r="M151" s="99" t="s">
        <v>310</v>
      </c>
      <c r="N151" s="194">
        <v>41280</v>
      </c>
      <c r="O151" s="195">
        <v>41.4</v>
      </c>
      <c r="P151" s="195">
        <v>41.4</v>
      </c>
      <c r="Q151" s="195">
        <v>41.4</v>
      </c>
      <c r="R151" s="195">
        <v>41.4</v>
      </c>
      <c r="S151" s="195">
        <v>41.4</v>
      </c>
      <c r="T151" s="195">
        <v>41.4</v>
      </c>
      <c r="U151" s="195">
        <v>41.3</v>
      </c>
      <c r="V151" s="195">
        <v>41.2</v>
      </c>
      <c r="W151" s="195">
        <v>41</v>
      </c>
    </row>
    <row r="152" spans="1:23" x14ac:dyDescent="0.25">
      <c r="A152" t="s">
        <v>610</v>
      </c>
      <c r="B152" s="117" t="s">
        <v>391</v>
      </c>
      <c r="C152" s="86">
        <f t="shared" si="4"/>
        <v>-2.79463236808003E-3</v>
      </c>
      <c r="D152" t="s">
        <v>141</v>
      </c>
      <c r="E152" s="86">
        <f t="shared" si="5"/>
        <v>2.4502297090352222E-2</v>
      </c>
      <c r="F152" s="194">
        <v>27523</v>
      </c>
      <c r="G152" s="194">
        <v>2110</v>
      </c>
      <c r="H152" s="80">
        <v>2055</v>
      </c>
      <c r="I152" s="80">
        <v>2020</v>
      </c>
      <c r="J152" s="80">
        <v>1940</v>
      </c>
      <c r="K152" s="80">
        <v>1910</v>
      </c>
      <c r="L152" s="80">
        <v>1870</v>
      </c>
      <c r="M152" s="99" t="s">
        <v>391</v>
      </c>
      <c r="N152" s="194">
        <v>27523</v>
      </c>
      <c r="O152" s="195">
        <v>27.1</v>
      </c>
      <c r="P152" s="195">
        <v>27.1</v>
      </c>
      <c r="Q152" s="195">
        <v>27</v>
      </c>
      <c r="R152" s="195">
        <v>27</v>
      </c>
      <c r="S152" s="195">
        <v>26.9</v>
      </c>
      <c r="T152" s="195">
        <v>26.9</v>
      </c>
      <c r="U152" s="195">
        <v>26.8</v>
      </c>
      <c r="V152" s="195">
        <v>26.8</v>
      </c>
      <c r="W152" s="195">
        <v>26.6</v>
      </c>
    </row>
    <row r="153" spans="1:23" x14ac:dyDescent="0.25">
      <c r="A153" t="s">
        <v>606</v>
      </c>
      <c r="B153" s="117" t="s">
        <v>270</v>
      </c>
      <c r="C153" s="86">
        <f t="shared" si="4"/>
        <v>-8.4450559100755218E-3</v>
      </c>
      <c r="D153" t="s">
        <v>537</v>
      </c>
      <c r="E153" s="86">
        <f t="shared" si="5"/>
        <v>2.6818515797207936E-2</v>
      </c>
      <c r="F153" s="194">
        <v>34162</v>
      </c>
      <c r="G153" s="194">
        <v>2950</v>
      </c>
      <c r="H153" s="80">
        <v>2840</v>
      </c>
      <c r="I153" s="80">
        <v>2815</v>
      </c>
      <c r="J153" s="80">
        <v>2740</v>
      </c>
      <c r="K153" s="80">
        <v>2630</v>
      </c>
      <c r="L153" s="80">
        <v>2585</v>
      </c>
      <c r="M153" s="99" t="s">
        <v>270</v>
      </c>
      <c r="N153" s="194">
        <v>34162</v>
      </c>
      <c r="O153" s="195">
        <v>33.4</v>
      </c>
      <c r="P153" s="195">
        <v>33.200000000000003</v>
      </c>
      <c r="Q153" s="195">
        <v>32.799999999999997</v>
      </c>
      <c r="R153" s="195">
        <v>32.5</v>
      </c>
      <c r="S153" s="195">
        <v>32.200000000000003</v>
      </c>
      <c r="T153" s="195">
        <v>32</v>
      </c>
      <c r="U153" s="195">
        <v>31.8</v>
      </c>
      <c r="V153" s="195">
        <v>31.5</v>
      </c>
      <c r="W153" s="195">
        <v>30.7</v>
      </c>
    </row>
    <row r="154" spans="1:23" x14ac:dyDescent="0.25">
      <c r="A154" t="s">
        <v>603</v>
      </c>
      <c r="B154" s="117" t="s">
        <v>351</v>
      </c>
      <c r="C154" s="86">
        <f t="shared" si="4"/>
        <v>7.5667324373627195E-3</v>
      </c>
      <c r="D154" t="s">
        <v>537</v>
      </c>
      <c r="E154" s="86">
        <f t="shared" si="5"/>
        <v>2.974559686888454E-2</v>
      </c>
      <c r="F154" s="194">
        <v>26861</v>
      </c>
      <c r="G154" s="194">
        <v>2805</v>
      </c>
      <c r="H154" s="80">
        <v>2735</v>
      </c>
      <c r="I154" s="80">
        <v>2615</v>
      </c>
      <c r="J154" s="80">
        <v>2545</v>
      </c>
      <c r="K154" s="80">
        <v>2455</v>
      </c>
      <c r="L154" s="80">
        <v>2425</v>
      </c>
      <c r="M154" s="99" t="s">
        <v>351</v>
      </c>
      <c r="N154" s="194">
        <v>26861</v>
      </c>
      <c r="O154" s="195">
        <v>27.4</v>
      </c>
      <c r="P154" s="195">
        <v>27.7</v>
      </c>
      <c r="Q154" s="195">
        <v>28.1</v>
      </c>
      <c r="R154" s="195">
        <v>28.5</v>
      </c>
      <c r="S154" s="195">
        <v>28.7</v>
      </c>
      <c r="T154" s="195">
        <v>28.9</v>
      </c>
      <c r="U154" s="195">
        <v>29</v>
      </c>
      <c r="V154" s="195">
        <v>29.1</v>
      </c>
      <c r="W154" s="195">
        <v>29.3</v>
      </c>
    </row>
    <row r="155" spans="1:23" x14ac:dyDescent="0.25">
      <c r="A155" t="s">
        <v>604</v>
      </c>
      <c r="B155" s="117" t="s">
        <v>195</v>
      </c>
      <c r="C155" s="86">
        <f t="shared" si="4"/>
        <v>2.6539870228865711E-3</v>
      </c>
      <c r="D155" t="s">
        <v>509</v>
      </c>
      <c r="E155" s="86">
        <f t="shared" si="5"/>
        <v>3.0898876404494381E-2</v>
      </c>
      <c r="F155" s="194">
        <v>53787</v>
      </c>
      <c r="G155" s="194">
        <v>4320</v>
      </c>
      <c r="H155" s="80">
        <v>4130</v>
      </c>
      <c r="I155" s="80">
        <v>4050</v>
      </c>
      <c r="J155" s="80">
        <v>3900</v>
      </c>
      <c r="K155" s="80">
        <v>3785</v>
      </c>
      <c r="L155" s="80">
        <v>3715</v>
      </c>
      <c r="M155" s="99" t="s">
        <v>195</v>
      </c>
      <c r="N155" s="194">
        <v>53787</v>
      </c>
      <c r="O155" s="195">
        <v>52.9</v>
      </c>
      <c r="P155" s="195">
        <v>53.1</v>
      </c>
      <c r="Q155" s="195">
        <v>53.3</v>
      </c>
      <c r="R155" s="195">
        <v>53.7</v>
      </c>
      <c r="S155" s="195">
        <v>54</v>
      </c>
      <c r="T155" s="195">
        <v>54.3</v>
      </c>
      <c r="U155" s="195">
        <v>54.6</v>
      </c>
      <c r="V155" s="195">
        <v>54.8</v>
      </c>
      <c r="W155" s="195">
        <v>55.5</v>
      </c>
    </row>
    <row r="156" spans="1:23" x14ac:dyDescent="0.25">
      <c r="A156" t="s">
        <v>610</v>
      </c>
      <c r="B156" s="117" t="s">
        <v>392</v>
      </c>
      <c r="C156" s="86">
        <f t="shared" si="4"/>
        <v>-2.6293866500052064E-3</v>
      </c>
      <c r="D156" t="s">
        <v>537</v>
      </c>
      <c r="E156" s="86">
        <f t="shared" si="5"/>
        <v>3.6062378167641324E-2</v>
      </c>
      <c r="F156" s="194">
        <v>12804</v>
      </c>
      <c r="G156" s="194">
        <v>1135</v>
      </c>
      <c r="H156" s="80">
        <v>1110</v>
      </c>
      <c r="I156" s="80">
        <v>1055</v>
      </c>
      <c r="J156" s="80">
        <v>1025</v>
      </c>
      <c r="K156" s="80">
        <v>990</v>
      </c>
      <c r="L156" s="80">
        <v>950</v>
      </c>
      <c r="M156" s="99" t="s">
        <v>392</v>
      </c>
      <c r="N156" s="194">
        <v>12804</v>
      </c>
      <c r="O156" s="195">
        <v>12.7</v>
      </c>
      <c r="P156" s="195">
        <v>12.7</v>
      </c>
      <c r="Q156" s="195">
        <v>12.7</v>
      </c>
      <c r="R156" s="195">
        <v>12.7</v>
      </c>
      <c r="S156" s="195">
        <v>12.6</v>
      </c>
      <c r="T156" s="195">
        <v>12.6</v>
      </c>
      <c r="U156" s="195">
        <v>12.6</v>
      </c>
      <c r="V156" s="195">
        <v>12.6</v>
      </c>
      <c r="W156" s="195">
        <v>12.4</v>
      </c>
    </row>
    <row r="157" spans="1:23" x14ac:dyDescent="0.25">
      <c r="A157" t="s">
        <v>603</v>
      </c>
      <c r="B157" s="117" t="s">
        <v>352</v>
      </c>
      <c r="C157" s="86">
        <f t="shared" si="4"/>
        <v>6.2367303609341821E-3</v>
      </c>
      <c r="D157" t="s">
        <v>537</v>
      </c>
      <c r="E157" s="86">
        <f t="shared" si="5"/>
        <v>3.4353059177532598E-2</v>
      </c>
      <c r="F157" s="194">
        <v>65312</v>
      </c>
      <c r="G157" s="194">
        <v>4410</v>
      </c>
      <c r="H157" s="80">
        <v>4240</v>
      </c>
      <c r="I157" s="80">
        <v>4135</v>
      </c>
      <c r="J157" s="80">
        <v>4025</v>
      </c>
      <c r="K157" s="80">
        <v>3815</v>
      </c>
      <c r="L157" s="80">
        <v>3725</v>
      </c>
      <c r="M157" s="99" t="s">
        <v>352</v>
      </c>
      <c r="N157" s="194">
        <v>65312</v>
      </c>
      <c r="O157" s="195">
        <v>67</v>
      </c>
      <c r="P157" s="195">
        <v>67.3</v>
      </c>
      <c r="Q157" s="195">
        <v>67.5</v>
      </c>
      <c r="R157" s="195">
        <v>67.8</v>
      </c>
      <c r="S157" s="195">
        <v>67.900000000000006</v>
      </c>
      <c r="T157" s="195">
        <v>68.099999999999994</v>
      </c>
      <c r="U157" s="195">
        <v>68.3</v>
      </c>
      <c r="V157" s="195">
        <v>68.7</v>
      </c>
      <c r="W157" s="195">
        <v>70.2</v>
      </c>
    </row>
    <row r="158" spans="1:23" x14ac:dyDescent="0.25">
      <c r="A158" t="s">
        <v>608</v>
      </c>
      <c r="B158" s="117" t="s">
        <v>471</v>
      </c>
      <c r="C158" s="86">
        <f t="shared" si="4"/>
        <v>-4.8254935039326952E-3</v>
      </c>
      <c r="D158" t="s">
        <v>509</v>
      </c>
      <c r="E158" s="86">
        <f t="shared" si="5"/>
        <v>1.6196013289036543E-2</v>
      </c>
      <c r="F158" s="194">
        <v>45643</v>
      </c>
      <c r="G158" s="194">
        <v>2550</v>
      </c>
      <c r="H158" s="80">
        <v>2520</v>
      </c>
      <c r="I158" s="80">
        <v>2430</v>
      </c>
      <c r="J158" s="80">
        <v>2400</v>
      </c>
      <c r="K158" s="80">
        <v>2335</v>
      </c>
      <c r="L158" s="80">
        <v>2355</v>
      </c>
      <c r="M158" s="99" t="s">
        <v>471</v>
      </c>
      <c r="N158" s="194">
        <v>45643</v>
      </c>
      <c r="O158" s="195">
        <v>44.9</v>
      </c>
      <c r="P158" s="195">
        <v>44.5</v>
      </c>
      <c r="Q158" s="195">
        <v>44.3</v>
      </c>
      <c r="R158" s="195">
        <v>44.2</v>
      </c>
      <c r="S158" s="195">
        <v>44.2</v>
      </c>
      <c r="T158" s="195">
        <v>44.2</v>
      </c>
      <c r="U158" s="195">
        <v>44.1</v>
      </c>
      <c r="V158" s="195">
        <v>43.9</v>
      </c>
      <c r="W158" s="195">
        <v>43</v>
      </c>
    </row>
    <row r="159" spans="1:23" x14ac:dyDescent="0.25">
      <c r="A159" t="s">
        <v>600</v>
      </c>
      <c r="B159" s="117" t="s">
        <v>311</v>
      </c>
      <c r="C159" s="86">
        <f t="shared" si="4"/>
        <v>1.7006802721088435E-3</v>
      </c>
      <c r="D159" t="s">
        <v>537</v>
      </c>
      <c r="E159" s="86">
        <f t="shared" si="5"/>
        <v>3.125E-2</v>
      </c>
      <c r="F159" s="194">
        <v>22736</v>
      </c>
      <c r="G159" s="194">
        <v>2380</v>
      </c>
      <c r="H159" s="80">
        <v>2305</v>
      </c>
      <c r="I159" s="80">
        <v>2265</v>
      </c>
      <c r="J159" s="80">
        <v>2165</v>
      </c>
      <c r="K159" s="80">
        <v>2105</v>
      </c>
      <c r="L159" s="80">
        <v>2040</v>
      </c>
      <c r="M159" s="99" t="s">
        <v>311</v>
      </c>
      <c r="N159" s="194">
        <v>22736</v>
      </c>
      <c r="O159" s="195">
        <v>22.7</v>
      </c>
      <c r="P159" s="195">
        <v>22.8</v>
      </c>
      <c r="Q159" s="195">
        <v>22.9</v>
      </c>
      <c r="R159" s="195">
        <v>22.9</v>
      </c>
      <c r="S159" s="195">
        <v>22.9</v>
      </c>
      <c r="T159" s="195">
        <v>23</v>
      </c>
      <c r="U159" s="195">
        <v>23</v>
      </c>
      <c r="V159" s="195">
        <v>23.1</v>
      </c>
      <c r="W159" s="195">
        <v>23.2</v>
      </c>
    </row>
    <row r="160" spans="1:23" x14ac:dyDescent="0.25">
      <c r="A160" t="s">
        <v>603</v>
      </c>
      <c r="B160" s="117" t="s">
        <v>354</v>
      </c>
      <c r="C160" s="86">
        <f t="shared" si="4"/>
        <v>7.012343996638617E-4</v>
      </c>
      <c r="D160" t="s">
        <v>537</v>
      </c>
      <c r="E160" s="86">
        <f t="shared" si="5"/>
        <v>1.8334985133795837E-2</v>
      </c>
      <c r="F160" s="194">
        <v>29353</v>
      </c>
      <c r="G160" s="194">
        <v>2145</v>
      </c>
      <c r="H160" s="80">
        <v>2095</v>
      </c>
      <c r="I160" s="80">
        <v>2075</v>
      </c>
      <c r="J160" s="80">
        <v>1995</v>
      </c>
      <c r="K160" s="80">
        <v>1965</v>
      </c>
      <c r="L160" s="80">
        <v>1960</v>
      </c>
      <c r="M160" s="99" t="s">
        <v>354</v>
      </c>
      <c r="N160" s="194">
        <v>29353</v>
      </c>
      <c r="O160" s="195">
        <v>29.3</v>
      </c>
      <c r="P160" s="195">
        <v>29.4</v>
      </c>
      <c r="Q160" s="195">
        <v>29.4</v>
      </c>
      <c r="R160" s="195">
        <v>29.4</v>
      </c>
      <c r="S160" s="195">
        <v>29.4</v>
      </c>
      <c r="T160" s="195">
        <v>29.4</v>
      </c>
      <c r="U160" s="195">
        <v>29.4</v>
      </c>
      <c r="V160" s="195">
        <v>29.5</v>
      </c>
      <c r="W160" s="195">
        <v>29.6</v>
      </c>
    </row>
    <row r="161" spans="1:23" x14ac:dyDescent="0.25">
      <c r="A161" t="s">
        <v>603</v>
      </c>
      <c r="B161" s="117" t="s">
        <v>549</v>
      </c>
      <c r="C161" s="86">
        <f t="shared" si="4"/>
        <v>-3.6132969327123818E-4</v>
      </c>
      <c r="D161" t="s">
        <v>537</v>
      </c>
      <c r="E161" s="86">
        <f t="shared" si="5"/>
        <v>3.1800000000000002E-2</v>
      </c>
      <c r="F161" s="194">
        <v>56043</v>
      </c>
      <c r="G161" s="194">
        <v>5490</v>
      </c>
      <c r="H161" s="80">
        <v>5270</v>
      </c>
      <c r="I161" s="80">
        <v>5145</v>
      </c>
      <c r="J161" s="80">
        <v>5030</v>
      </c>
      <c r="K161" s="80">
        <v>4860</v>
      </c>
      <c r="L161" s="80">
        <v>4695</v>
      </c>
      <c r="M161" s="99" t="s">
        <v>549</v>
      </c>
      <c r="N161" s="194">
        <v>56043</v>
      </c>
      <c r="O161" s="195">
        <v>55</v>
      </c>
      <c r="P161" s="195">
        <v>55.1</v>
      </c>
      <c r="Q161" s="195">
        <v>55.3</v>
      </c>
      <c r="R161" s="195">
        <v>55.4</v>
      </c>
      <c r="S161" s="195">
        <v>55.5</v>
      </c>
      <c r="T161" s="195">
        <v>55.6</v>
      </c>
      <c r="U161" s="195">
        <v>55.6</v>
      </c>
      <c r="V161" s="195">
        <v>55.6</v>
      </c>
      <c r="W161" s="195">
        <v>55.8</v>
      </c>
    </row>
    <row r="162" spans="1:23" x14ac:dyDescent="0.25">
      <c r="A162" t="s">
        <v>599</v>
      </c>
      <c r="B162" s="117" t="s">
        <v>435</v>
      </c>
      <c r="C162" s="86">
        <f t="shared" si="4"/>
        <v>3.6043700188054086E-3</v>
      </c>
      <c r="D162" t="s">
        <v>537</v>
      </c>
      <c r="E162" s="86">
        <f t="shared" si="5"/>
        <v>2.7690700104493208E-2</v>
      </c>
      <c r="F162" s="194">
        <v>22334</v>
      </c>
      <c r="G162" s="194">
        <v>2080</v>
      </c>
      <c r="H162" s="80">
        <v>2010</v>
      </c>
      <c r="I162" s="80">
        <v>1970</v>
      </c>
      <c r="J162" s="80">
        <v>1935</v>
      </c>
      <c r="K162" s="80">
        <v>1840</v>
      </c>
      <c r="L162" s="80">
        <v>1815</v>
      </c>
      <c r="M162" s="99" t="s">
        <v>435</v>
      </c>
      <c r="N162" s="194">
        <v>22334</v>
      </c>
      <c r="O162" s="195">
        <v>22.5</v>
      </c>
      <c r="P162" s="195">
        <v>22.6</v>
      </c>
      <c r="Q162" s="195">
        <v>22.7</v>
      </c>
      <c r="R162" s="195">
        <v>22.8</v>
      </c>
      <c r="S162" s="195">
        <v>22.9</v>
      </c>
      <c r="T162" s="195">
        <v>23</v>
      </c>
      <c r="U162" s="195">
        <v>23</v>
      </c>
      <c r="V162" s="195">
        <v>23.1</v>
      </c>
      <c r="W162" s="195">
        <v>23.3</v>
      </c>
    </row>
    <row r="163" spans="1:23" x14ac:dyDescent="0.25">
      <c r="A163" t="s">
        <v>599</v>
      </c>
      <c r="B163" s="117" t="s">
        <v>436</v>
      </c>
      <c r="C163" s="86">
        <f t="shared" si="4"/>
        <v>-2.2708239386716486E-3</v>
      </c>
      <c r="D163" t="s">
        <v>537</v>
      </c>
      <c r="E163" s="86">
        <f t="shared" si="5"/>
        <v>2.3809523809523808E-2</v>
      </c>
      <c r="F163" s="194">
        <v>15523</v>
      </c>
      <c r="G163" s="194">
        <v>1570</v>
      </c>
      <c r="H163" s="80">
        <v>1550</v>
      </c>
      <c r="I163" s="80">
        <v>1535</v>
      </c>
      <c r="J163" s="80">
        <v>1455</v>
      </c>
      <c r="K163" s="80">
        <v>1415</v>
      </c>
      <c r="L163" s="80">
        <v>1395</v>
      </c>
      <c r="M163" s="99" t="s">
        <v>436</v>
      </c>
      <c r="N163" s="194">
        <v>15523</v>
      </c>
      <c r="O163" s="195">
        <v>15.4</v>
      </c>
      <c r="P163" s="195">
        <v>15.4</v>
      </c>
      <c r="Q163" s="195">
        <v>15.4</v>
      </c>
      <c r="R163" s="195">
        <v>15.4</v>
      </c>
      <c r="S163" s="195">
        <v>15.3</v>
      </c>
      <c r="T163" s="195">
        <v>15.3</v>
      </c>
      <c r="U163" s="195">
        <v>15.2</v>
      </c>
      <c r="V163" s="195">
        <v>15.2</v>
      </c>
      <c r="W163" s="195">
        <v>15.1</v>
      </c>
    </row>
    <row r="164" spans="1:23" x14ac:dyDescent="0.25">
      <c r="A164" t="s">
        <v>608</v>
      </c>
      <c r="B164" s="117" t="s">
        <v>472</v>
      </c>
      <c r="C164" s="86">
        <f t="shared" si="4"/>
        <v>-5.7541582437848002E-3</v>
      </c>
      <c r="D164" t="s">
        <v>509</v>
      </c>
      <c r="E164" s="86">
        <f t="shared" si="5"/>
        <v>2.4572649572649572E-2</v>
      </c>
      <c r="F164" s="194">
        <v>37596</v>
      </c>
      <c r="G164" s="194">
        <v>2015</v>
      </c>
      <c r="H164" s="80">
        <v>1960</v>
      </c>
      <c r="I164" s="80">
        <v>1920</v>
      </c>
      <c r="J164" s="80">
        <v>1880</v>
      </c>
      <c r="K164" s="80">
        <v>1815</v>
      </c>
      <c r="L164" s="80">
        <v>1785</v>
      </c>
      <c r="M164" s="99" t="s">
        <v>472</v>
      </c>
      <c r="N164" s="194">
        <v>37596</v>
      </c>
      <c r="O164" s="195">
        <v>36.799999999999997</v>
      </c>
      <c r="P164" s="195">
        <v>36.5</v>
      </c>
      <c r="Q164" s="195">
        <v>36.200000000000003</v>
      </c>
      <c r="R164" s="195">
        <v>35.9</v>
      </c>
      <c r="S164" s="195">
        <v>35.700000000000003</v>
      </c>
      <c r="T164" s="195">
        <v>35.4</v>
      </c>
      <c r="U164" s="195">
        <v>35.299999999999997</v>
      </c>
      <c r="V164" s="195">
        <v>35.299999999999997</v>
      </c>
      <c r="W164" s="195">
        <v>35</v>
      </c>
    </row>
    <row r="165" spans="1:23" x14ac:dyDescent="0.25">
      <c r="A165" t="s">
        <v>600</v>
      </c>
      <c r="B165" s="117" t="s">
        <v>312</v>
      </c>
      <c r="C165" s="86">
        <f t="shared" si="4"/>
        <v>4.363077636690439E-3</v>
      </c>
      <c r="D165" t="s">
        <v>537</v>
      </c>
      <c r="E165" s="86">
        <f t="shared" si="5"/>
        <v>4.8657718120805368E-2</v>
      </c>
      <c r="F165" s="194">
        <v>11498</v>
      </c>
      <c r="G165" s="194">
        <v>1375</v>
      </c>
      <c r="H165" s="80">
        <v>1305</v>
      </c>
      <c r="I165" s="80">
        <v>1265</v>
      </c>
      <c r="J165" s="80">
        <v>1180</v>
      </c>
      <c r="K165" s="80">
        <v>1125</v>
      </c>
      <c r="L165" s="80">
        <v>1085</v>
      </c>
      <c r="M165" s="99" t="s">
        <v>312</v>
      </c>
      <c r="N165" s="194">
        <v>11498</v>
      </c>
      <c r="O165" s="195">
        <v>11.5</v>
      </c>
      <c r="P165" s="195">
        <v>11.7</v>
      </c>
      <c r="Q165" s="195">
        <v>11.8</v>
      </c>
      <c r="R165" s="195">
        <v>11.8</v>
      </c>
      <c r="S165" s="195">
        <v>11.8</v>
      </c>
      <c r="T165" s="195">
        <v>11.7</v>
      </c>
      <c r="U165" s="195">
        <v>11.8</v>
      </c>
      <c r="V165" s="195">
        <v>11.9</v>
      </c>
      <c r="W165" s="195">
        <v>12.1</v>
      </c>
    </row>
    <row r="166" spans="1:23" x14ac:dyDescent="0.25">
      <c r="A166" t="s">
        <v>600</v>
      </c>
      <c r="B166" s="117" t="s">
        <v>313</v>
      </c>
      <c r="C166" s="86">
        <f t="shared" si="4"/>
        <v>-2.3404559422568428E-3</v>
      </c>
      <c r="D166" t="s">
        <v>537</v>
      </c>
      <c r="E166" s="86">
        <f t="shared" si="5"/>
        <v>3.3377837116154871E-2</v>
      </c>
      <c r="F166" s="194">
        <v>27986</v>
      </c>
      <c r="G166" s="194">
        <v>2475</v>
      </c>
      <c r="H166" s="80">
        <v>2400</v>
      </c>
      <c r="I166" s="80">
        <v>2325</v>
      </c>
      <c r="J166" s="80">
        <v>2240</v>
      </c>
      <c r="K166" s="80">
        <v>2170</v>
      </c>
      <c r="L166" s="80">
        <v>2100</v>
      </c>
      <c r="M166" s="99" t="s">
        <v>313</v>
      </c>
      <c r="N166" s="194">
        <v>27986</v>
      </c>
      <c r="O166" s="195">
        <v>27.9</v>
      </c>
      <c r="P166" s="195">
        <v>27.9</v>
      </c>
      <c r="Q166" s="195">
        <v>27.8</v>
      </c>
      <c r="R166" s="195">
        <v>27.6</v>
      </c>
      <c r="S166" s="195">
        <v>27.4</v>
      </c>
      <c r="T166" s="195">
        <v>27.5</v>
      </c>
      <c r="U166" s="195">
        <v>27.6</v>
      </c>
      <c r="V166" s="195">
        <v>27.5</v>
      </c>
      <c r="W166" s="195">
        <v>27.2</v>
      </c>
    </row>
    <row r="167" spans="1:23" x14ac:dyDescent="0.25">
      <c r="A167" t="s">
        <v>603</v>
      </c>
      <c r="B167" s="117" t="s">
        <v>355</v>
      </c>
      <c r="C167" s="86">
        <f t="shared" si="4"/>
        <v>5.2515269054535813E-3</v>
      </c>
      <c r="D167" t="s">
        <v>537</v>
      </c>
      <c r="E167" s="86">
        <f t="shared" si="5"/>
        <v>4.1040674239648224E-2</v>
      </c>
      <c r="F167" s="194">
        <v>61617</v>
      </c>
      <c r="G167" s="194">
        <v>6170</v>
      </c>
      <c r="H167" s="80">
        <v>5900</v>
      </c>
      <c r="I167" s="80">
        <v>5680</v>
      </c>
      <c r="J167" s="80">
        <v>5460</v>
      </c>
      <c r="K167" s="80">
        <v>5200</v>
      </c>
      <c r="L167" s="80">
        <v>5050</v>
      </c>
      <c r="M167" s="99" t="s">
        <v>355</v>
      </c>
      <c r="N167" s="194">
        <v>61617</v>
      </c>
      <c r="O167" s="195">
        <v>61.1</v>
      </c>
      <c r="P167" s="195">
        <v>62</v>
      </c>
      <c r="Q167" s="195">
        <v>63.2</v>
      </c>
      <c r="R167" s="195">
        <v>63.9</v>
      </c>
      <c r="S167" s="195">
        <v>64.599999999999994</v>
      </c>
      <c r="T167" s="195">
        <v>64.900000000000006</v>
      </c>
      <c r="U167" s="195">
        <v>65.099999999999994</v>
      </c>
      <c r="V167" s="195">
        <v>65.3</v>
      </c>
      <c r="W167" s="195">
        <v>65.5</v>
      </c>
    </row>
    <row r="168" spans="1:23" x14ac:dyDescent="0.25">
      <c r="A168" t="s">
        <v>600</v>
      </c>
      <c r="B168" s="117" t="s">
        <v>314</v>
      </c>
      <c r="C168" s="86">
        <f t="shared" si="4"/>
        <v>-4.4501994403762582E-3</v>
      </c>
      <c r="D168" t="s">
        <v>537</v>
      </c>
      <c r="E168" s="86">
        <f t="shared" si="5"/>
        <v>2.3041474654377881E-2</v>
      </c>
      <c r="F168" s="194">
        <v>11198</v>
      </c>
      <c r="G168" s="194">
        <v>1900</v>
      </c>
      <c r="H168" s="80">
        <v>1805</v>
      </c>
      <c r="I168" s="80">
        <v>1770</v>
      </c>
      <c r="J168" s="80">
        <v>1720</v>
      </c>
      <c r="K168" s="80">
        <v>1685</v>
      </c>
      <c r="L168" s="80">
        <v>1700</v>
      </c>
      <c r="M168" s="99" t="s">
        <v>314</v>
      </c>
      <c r="N168" s="194">
        <v>11198</v>
      </c>
      <c r="O168" s="195">
        <v>10.9</v>
      </c>
      <c r="P168" s="195">
        <v>10.9</v>
      </c>
      <c r="Q168" s="195">
        <v>10.8</v>
      </c>
      <c r="R168" s="195">
        <v>10.7</v>
      </c>
      <c r="S168" s="195">
        <v>10.6</v>
      </c>
      <c r="T168" s="195">
        <v>10.6</v>
      </c>
      <c r="U168" s="195">
        <v>10.6</v>
      </c>
      <c r="V168" s="195">
        <v>10.6</v>
      </c>
      <c r="W168" s="195">
        <v>10.6</v>
      </c>
    </row>
    <row r="169" spans="1:23" x14ac:dyDescent="0.25">
      <c r="A169" t="s">
        <v>602</v>
      </c>
      <c r="B169" s="117" t="s">
        <v>173</v>
      </c>
      <c r="C169" s="86">
        <f t="shared" si="4"/>
        <v>4.7963675942622186E-3</v>
      </c>
      <c r="D169" t="s">
        <v>509</v>
      </c>
      <c r="E169" s="86">
        <f t="shared" si="5"/>
        <v>3.5788845809722636E-2</v>
      </c>
      <c r="F169" s="194">
        <v>123114</v>
      </c>
      <c r="G169" s="194">
        <v>9740</v>
      </c>
      <c r="H169" s="80">
        <v>9287</v>
      </c>
      <c r="I169" s="80">
        <v>9044</v>
      </c>
      <c r="J169" s="90">
        <v>8733.5</v>
      </c>
      <c r="K169" s="90">
        <v>8344.5</v>
      </c>
      <c r="L169" s="80">
        <v>8180</v>
      </c>
      <c r="M169" s="99" t="s">
        <v>173</v>
      </c>
      <c r="N169" s="194">
        <v>123114</v>
      </c>
      <c r="O169" s="195">
        <v>124.3</v>
      </c>
      <c r="P169" s="195">
        <v>124.99999999999999</v>
      </c>
      <c r="Q169" s="195">
        <v>125.8</v>
      </c>
      <c r="R169" s="195">
        <v>126.39999999999999</v>
      </c>
      <c r="S169" s="195">
        <v>127</v>
      </c>
      <c r="T169" s="195">
        <v>127.7</v>
      </c>
      <c r="U169" s="195">
        <v>128.10000000000002</v>
      </c>
      <c r="V169" s="195">
        <v>128.70000000000002</v>
      </c>
      <c r="W169" s="195">
        <v>130.19999999999999</v>
      </c>
    </row>
    <row r="170" spans="1:23" x14ac:dyDescent="0.25">
      <c r="A170" t="s">
        <v>603</v>
      </c>
      <c r="B170" s="117" t="s">
        <v>357</v>
      </c>
      <c r="C170" s="86">
        <f t="shared" si="4"/>
        <v>8.0817914960562617E-3</v>
      </c>
      <c r="D170" t="s">
        <v>509</v>
      </c>
      <c r="E170" s="86">
        <f t="shared" si="5"/>
        <v>3.786672731407778E-2</v>
      </c>
      <c r="F170" s="194">
        <v>124797</v>
      </c>
      <c r="G170" s="194">
        <v>9955</v>
      </c>
      <c r="H170" s="80">
        <v>9365</v>
      </c>
      <c r="I170" s="80">
        <v>9105</v>
      </c>
      <c r="J170" s="80">
        <v>8775</v>
      </c>
      <c r="K170" s="80">
        <v>8435</v>
      </c>
      <c r="L170" s="80">
        <v>8290</v>
      </c>
      <c r="M170" s="99" t="s">
        <v>357</v>
      </c>
      <c r="N170" s="194">
        <v>124797</v>
      </c>
      <c r="O170" s="195">
        <v>126.9</v>
      </c>
      <c r="P170" s="195">
        <v>128</v>
      </c>
      <c r="Q170" s="195">
        <v>129</v>
      </c>
      <c r="R170" s="195">
        <v>130</v>
      </c>
      <c r="S170" s="195">
        <v>131.1</v>
      </c>
      <c r="T170" s="195">
        <v>132</v>
      </c>
      <c r="U170" s="195">
        <v>133</v>
      </c>
      <c r="V170" s="195">
        <v>133.80000000000001</v>
      </c>
      <c r="W170" s="195">
        <v>136.9</v>
      </c>
    </row>
    <row r="171" spans="1:23" x14ac:dyDescent="0.25">
      <c r="A171" t="s">
        <v>603</v>
      </c>
      <c r="B171" s="117" t="s">
        <v>358</v>
      </c>
      <c r="C171" s="86">
        <f t="shared" si="4"/>
        <v>6.9992380109628102E-3</v>
      </c>
      <c r="D171" t="s">
        <v>537</v>
      </c>
      <c r="E171" s="86">
        <f t="shared" si="5"/>
        <v>3.8314176245210725E-2</v>
      </c>
      <c r="F171" s="194">
        <v>27122</v>
      </c>
      <c r="G171" s="194">
        <v>2055</v>
      </c>
      <c r="H171" s="80">
        <v>1940</v>
      </c>
      <c r="I171" s="80">
        <v>1915</v>
      </c>
      <c r="J171" s="80">
        <v>1820</v>
      </c>
      <c r="K171" s="80">
        <v>1755</v>
      </c>
      <c r="L171" s="80">
        <v>1705</v>
      </c>
      <c r="M171" s="99" t="s">
        <v>358</v>
      </c>
      <c r="N171" s="194">
        <v>27122</v>
      </c>
      <c r="O171" s="195">
        <v>28.4</v>
      </c>
      <c r="P171" s="195">
        <v>28.6</v>
      </c>
      <c r="Q171" s="195">
        <v>28.8</v>
      </c>
      <c r="R171" s="195">
        <v>29</v>
      </c>
      <c r="S171" s="195">
        <v>29.1</v>
      </c>
      <c r="T171" s="195">
        <v>29.2</v>
      </c>
      <c r="U171" s="195">
        <v>29.3</v>
      </c>
      <c r="V171" s="195">
        <v>29.4</v>
      </c>
      <c r="W171" s="195">
        <v>29.4</v>
      </c>
    </row>
    <row r="172" spans="1:23" x14ac:dyDescent="0.25">
      <c r="A172" t="s">
        <v>603</v>
      </c>
      <c r="B172" s="117" t="s">
        <v>359</v>
      </c>
      <c r="C172" s="86">
        <f t="shared" si="4"/>
        <v>6.8463629732776338E-3</v>
      </c>
      <c r="D172" t="s">
        <v>141</v>
      </c>
      <c r="E172" s="86">
        <f t="shared" si="5"/>
        <v>3.2679738562091505E-2</v>
      </c>
      <c r="F172" s="194">
        <v>75405</v>
      </c>
      <c r="G172" s="194">
        <v>5895</v>
      </c>
      <c r="H172" s="80">
        <v>5755</v>
      </c>
      <c r="I172" s="80">
        <v>5600</v>
      </c>
      <c r="J172" s="80">
        <v>5325</v>
      </c>
      <c r="K172" s="80">
        <v>5075</v>
      </c>
      <c r="L172" s="80">
        <v>5020</v>
      </c>
      <c r="M172" s="99" t="s">
        <v>359</v>
      </c>
      <c r="N172" s="194">
        <v>75405</v>
      </c>
      <c r="O172" s="195">
        <v>76.2</v>
      </c>
      <c r="P172" s="195">
        <v>76.7</v>
      </c>
      <c r="Q172" s="195">
        <v>77.2</v>
      </c>
      <c r="R172" s="195">
        <v>77.7</v>
      </c>
      <c r="S172" s="195">
        <v>78.2</v>
      </c>
      <c r="T172" s="195">
        <v>78.8</v>
      </c>
      <c r="U172" s="195">
        <v>79.400000000000006</v>
      </c>
      <c r="V172" s="195">
        <v>79.900000000000006</v>
      </c>
      <c r="W172" s="195">
        <v>81.599999999999994</v>
      </c>
    </row>
    <row r="173" spans="1:23" x14ac:dyDescent="0.25">
      <c r="A173" t="s">
        <v>605</v>
      </c>
      <c r="B173" s="117" t="s">
        <v>496</v>
      </c>
      <c r="C173" s="86">
        <f t="shared" si="4"/>
        <v>7.7905622902540918E-4</v>
      </c>
      <c r="D173" t="s">
        <v>509</v>
      </c>
      <c r="E173" s="86">
        <f t="shared" si="5"/>
        <v>2.8872752420470264E-2</v>
      </c>
      <c r="F173" s="194">
        <v>77872</v>
      </c>
      <c r="G173" s="194">
        <v>6360</v>
      </c>
      <c r="H173" s="80">
        <v>6115</v>
      </c>
      <c r="I173" s="80">
        <v>5980</v>
      </c>
      <c r="J173" s="80">
        <v>5765</v>
      </c>
      <c r="K173" s="80">
        <v>5535</v>
      </c>
      <c r="L173" s="80">
        <v>5525</v>
      </c>
      <c r="M173" s="99" t="s">
        <v>496</v>
      </c>
      <c r="N173" s="194">
        <v>77872</v>
      </c>
      <c r="O173" s="195">
        <v>78.2</v>
      </c>
      <c r="P173" s="195">
        <v>78.7</v>
      </c>
      <c r="Q173" s="195">
        <v>79.099999999999994</v>
      </c>
      <c r="R173" s="195">
        <v>79.5</v>
      </c>
      <c r="S173" s="195">
        <v>79.7</v>
      </c>
      <c r="T173" s="195">
        <v>79.8</v>
      </c>
      <c r="U173" s="195">
        <v>79.8</v>
      </c>
      <c r="V173" s="195">
        <v>79.8</v>
      </c>
      <c r="W173" s="195">
        <v>78.599999999999994</v>
      </c>
    </row>
    <row r="174" spans="1:23" x14ac:dyDescent="0.25">
      <c r="A174" t="s">
        <v>608</v>
      </c>
      <c r="B174" s="117" t="s">
        <v>473</v>
      </c>
      <c r="C174" s="86">
        <f t="shared" si="4"/>
        <v>-1.8011830338370105E-3</v>
      </c>
      <c r="D174" t="s">
        <v>537</v>
      </c>
      <c r="E174" s="86">
        <f t="shared" si="5"/>
        <v>2.0226259856016456E-2</v>
      </c>
      <c r="F174" s="194">
        <v>35671</v>
      </c>
      <c r="G174" s="194">
        <v>3115</v>
      </c>
      <c r="H174" s="80">
        <v>2985</v>
      </c>
      <c r="I174" s="80">
        <v>2975</v>
      </c>
      <c r="J174" s="80">
        <v>2920</v>
      </c>
      <c r="K174" s="80">
        <v>2885</v>
      </c>
      <c r="L174" s="80">
        <v>2820</v>
      </c>
      <c r="M174" s="99" t="s">
        <v>473</v>
      </c>
      <c r="N174" s="194">
        <v>35671</v>
      </c>
      <c r="O174" s="195">
        <v>36.1</v>
      </c>
      <c r="P174" s="195">
        <v>36</v>
      </c>
      <c r="Q174" s="195">
        <v>35.799999999999997</v>
      </c>
      <c r="R174" s="195">
        <v>35.6</v>
      </c>
      <c r="S174" s="195">
        <v>35.4</v>
      </c>
      <c r="T174" s="195">
        <v>35.200000000000003</v>
      </c>
      <c r="U174" s="195">
        <v>35.1</v>
      </c>
      <c r="V174" s="195">
        <v>35.1</v>
      </c>
      <c r="W174" s="195">
        <v>34.9</v>
      </c>
    </row>
    <row r="175" spans="1:23" x14ac:dyDescent="0.25">
      <c r="A175" t="s">
        <v>606</v>
      </c>
      <c r="B175" s="117" t="s">
        <v>271</v>
      </c>
      <c r="C175" s="86">
        <f t="shared" si="4"/>
        <v>1.5874073087340703E-3</v>
      </c>
      <c r="D175" t="s">
        <v>537</v>
      </c>
      <c r="E175" s="86">
        <f t="shared" si="5"/>
        <v>3.0723117272386663E-2</v>
      </c>
      <c r="F175" s="194">
        <v>30028</v>
      </c>
      <c r="G175" s="194">
        <v>2935</v>
      </c>
      <c r="H175" s="80">
        <v>2845</v>
      </c>
      <c r="I175" s="80">
        <v>2770</v>
      </c>
      <c r="J175" s="80">
        <v>2655</v>
      </c>
      <c r="K175" s="80">
        <v>2550</v>
      </c>
      <c r="L175" s="80">
        <v>2525</v>
      </c>
      <c r="M175" s="99" t="s">
        <v>271</v>
      </c>
      <c r="N175" s="194">
        <v>30028</v>
      </c>
      <c r="O175" s="195">
        <v>29.6</v>
      </c>
      <c r="P175" s="195">
        <v>29.7</v>
      </c>
      <c r="Q175" s="195">
        <v>29.8</v>
      </c>
      <c r="R175" s="195">
        <v>29.9</v>
      </c>
      <c r="S175" s="195">
        <v>29.9</v>
      </c>
      <c r="T175" s="195">
        <v>30</v>
      </c>
      <c r="U175" s="195">
        <v>30.1</v>
      </c>
      <c r="V175" s="195">
        <v>30.2</v>
      </c>
      <c r="W175" s="195">
        <v>30.6</v>
      </c>
    </row>
    <row r="176" spans="1:23" x14ac:dyDescent="0.25">
      <c r="A176" t="s">
        <v>601</v>
      </c>
      <c r="B176" s="117" t="s">
        <v>233</v>
      </c>
      <c r="C176" s="86">
        <f t="shared" si="4"/>
        <v>-1.1944217277148883E-3</v>
      </c>
      <c r="D176" t="s">
        <v>537</v>
      </c>
      <c r="E176" s="86">
        <f t="shared" si="5"/>
        <v>2.7339003645200487E-2</v>
      </c>
      <c r="F176" s="194">
        <v>46466</v>
      </c>
      <c r="G176" s="194">
        <v>3600</v>
      </c>
      <c r="H176" s="80">
        <v>3475</v>
      </c>
      <c r="I176" s="80">
        <v>3370</v>
      </c>
      <c r="J176" s="80">
        <v>3270</v>
      </c>
      <c r="K176" s="80">
        <v>3195</v>
      </c>
      <c r="L176" s="80">
        <v>3150</v>
      </c>
      <c r="M176" s="99" t="s">
        <v>233</v>
      </c>
      <c r="N176" s="194">
        <v>46466</v>
      </c>
      <c r="O176" s="195">
        <v>46.1</v>
      </c>
      <c r="P176" s="195">
        <v>46.1</v>
      </c>
      <c r="Q176" s="195">
        <v>46.3</v>
      </c>
      <c r="R176" s="195">
        <v>46.2</v>
      </c>
      <c r="S176" s="195">
        <v>46.2</v>
      </c>
      <c r="T176" s="195">
        <v>46.1</v>
      </c>
      <c r="U176" s="195">
        <v>46.1</v>
      </c>
      <c r="V176" s="195">
        <v>46.1</v>
      </c>
      <c r="W176" s="195">
        <v>45.8</v>
      </c>
    </row>
    <row r="177" spans="1:23" x14ac:dyDescent="0.25">
      <c r="A177" t="s">
        <v>600</v>
      </c>
      <c r="B177" s="117" t="s">
        <v>360</v>
      </c>
      <c r="C177" s="86">
        <f t="shared" si="4"/>
        <v>5.4551965039973107E-3</v>
      </c>
      <c r="D177" t="s">
        <v>537</v>
      </c>
      <c r="E177" s="86">
        <f t="shared" si="5"/>
        <v>2.3834196891191709E-2</v>
      </c>
      <c r="F177" s="194">
        <v>22807</v>
      </c>
      <c r="G177" s="194">
        <v>2065</v>
      </c>
      <c r="H177" s="80">
        <v>2040</v>
      </c>
      <c r="I177" s="80">
        <v>1975</v>
      </c>
      <c r="J177" s="80">
        <v>1940</v>
      </c>
      <c r="K177" s="80">
        <v>1860</v>
      </c>
      <c r="L177" s="80">
        <v>1835</v>
      </c>
      <c r="M177" s="99" t="s">
        <v>360</v>
      </c>
      <c r="N177" s="194">
        <v>22807</v>
      </c>
      <c r="O177" s="195">
        <v>23.1</v>
      </c>
      <c r="P177" s="195">
        <v>23.4</v>
      </c>
      <c r="Q177" s="195">
        <v>23.6</v>
      </c>
      <c r="R177" s="195">
        <v>23.7</v>
      </c>
      <c r="S177" s="195">
        <v>23.9</v>
      </c>
      <c r="T177" s="195">
        <v>24</v>
      </c>
      <c r="U177" s="195">
        <v>24</v>
      </c>
      <c r="V177" s="195">
        <v>24.1</v>
      </c>
      <c r="W177" s="195">
        <v>24.3</v>
      </c>
    </row>
    <row r="178" spans="1:23" x14ac:dyDescent="0.25">
      <c r="A178" t="s">
        <v>601</v>
      </c>
      <c r="B178" s="117" t="s">
        <v>234</v>
      </c>
      <c r="C178" s="86">
        <f t="shared" si="4"/>
        <v>-2.4801587301587306E-4</v>
      </c>
      <c r="D178" t="s">
        <v>537</v>
      </c>
      <c r="E178" s="86">
        <f t="shared" si="5"/>
        <v>2.9239766081871343E-2</v>
      </c>
      <c r="F178" s="194">
        <v>33600</v>
      </c>
      <c r="G178" s="194">
        <v>3540</v>
      </c>
      <c r="H178" s="80">
        <v>3475</v>
      </c>
      <c r="I178" s="80">
        <v>3345</v>
      </c>
      <c r="J178" s="80">
        <v>3235</v>
      </c>
      <c r="K178" s="80">
        <v>3125</v>
      </c>
      <c r="L178" s="80">
        <v>3065</v>
      </c>
      <c r="M178" s="99" t="s">
        <v>234</v>
      </c>
      <c r="N178" s="194">
        <v>33600</v>
      </c>
      <c r="O178" s="195">
        <v>33.5</v>
      </c>
      <c r="P178" s="195">
        <v>33.5</v>
      </c>
      <c r="Q178" s="195">
        <v>33.5</v>
      </c>
      <c r="R178" s="195">
        <v>33.5</v>
      </c>
      <c r="S178" s="195">
        <v>33.5</v>
      </c>
      <c r="T178" s="195">
        <v>33.5</v>
      </c>
      <c r="U178" s="195">
        <v>33.4</v>
      </c>
      <c r="V178" s="195">
        <v>33.4</v>
      </c>
      <c r="W178" s="195">
        <v>33.5</v>
      </c>
    </row>
    <row r="179" spans="1:23" x14ac:dyDescent="0.25">
      <c r="A179" t="s">
        <v>599</v>
      </c>
      <c r="B179" s="117" t="s">
        <v>437</v>
      </c>
      <c r="C179" s="86">
        <f t="shared" si="4"/>
        <v>-1.1785882655466507E-4</v>
      </c>
      <c r="D179" t="s">
        <v>537</v>
      </c>
      <c r="E179" s="86">
        <f t="shared" si="5"/>
        <v>2.3773394031360646E-2</v>
      </c>
      <c r="F179" s="194">
        <v>23333</v>
      </c>
      <c r="G179" s="194">
        <v>2140</v>
      </c>
      <c r="H179" s="80">
        <v>2070</v>
      </c>
      <c r="I179" s="80">
        <v>2015</v>
      </c>
      <c r="J179" s="80">
        <v>1975</v>
      </c>
      <c r="K179" s="80">
        <v>1920</v>
      </c>
      <c r="L179" s="80">
        <v>1905</v>
      </c>
      <c r="M179" s="99" t="s">
        <v>437</v>
      </c>
      <c r="N179" s="194">
        <v>23333</v>
      </c>
      <c r="O179" s="195">
        <v>23.3</v>
      </c>
      <c r="P179" s="195">
        <v>23.4</v>
      </c>
      <c r="Q179" s="195">
        <v>23.4</v>
      </c>
      <c r="R179" s="195">
        <v>23.5</v>
      </c>
      <c r="S179" s="195">
        <v>23.4</v>
      </c>
      <c r="T179" s="195">
        <v>23.4</v>
      </c>
      <c r="U179" s="195">
        <v>23.4</v>
      </c>
      <c r="V179" s="195">
        <v>23.4</v>
      </c>
      <c r="W179" s="195">
        <v>23.3</v>
      </c>
    </row>
    <row r="180" spans="1:23" x14ac:dyDescent="0.25">
      <c r="A180" t="s">
        <v>601</v>
      </c>
      <c r="B180" s="117" t="s">
        <v>272</v>
      </c>
      <c r="C180" s="86">
        <f t="shared" si="4"/>
        <v>-6.7751145495153226E-3</v>
      </c>
      <c r="D180" t="s">
        <v>537</v>
      </c>
      <c r="E180" s="86">
        <f t="shared" si="5"/>
        <v>2.8945554789800137E-2</v>
      </c>
      <c r="F180" s="194">
        <v>14477</v>
      </c>
      <c r="G180" s="194">
        <v>1595</v>
      </c>
      <c r="H180" s="80">
        <v>1540</v>
      </c>
      <c r="I180" s="80">
        <v>1495</v>
      </c>
      <c r="J180" s="80">
        <v>1440</v>
      </c>
      <c r="K180" s="80">
        <v>1395</v>
      </c>
      <c r="L180" s="80">
        <v>1385</v>
      </c>
      <c r="M180" s="99" t="s">
        <v>272</v>
      </c>
      <c r="N180" s="194">
        <v>14477</v>
      </c>
      <c r="O180" s="195">
        <v>14.3</v>
      </c>
      <c r="P180" s="195">
        <v>14.3</v>
      </c>
      <c r="Q180" s="195">
        <v>14.3</v>
      </c>
      <c r="R180" s="195">
        <v>14.2</v>
      </c>
      <c r="S180" s="195">
        <v>14.1</v>
      </c>
      <c r="T180" s="195">
        <v>14</v>
      </c>
      <c r="U180" s="195">
        <v>13.8</v>
      </c>
      <c r="V180" s="195">
        <v>13.7</v>
      </c>
      <c r="W180" s="195">
        <v>13.3</v>
      </c>
    </row>
    <row r="181" spans="1:23" x14ac:dyDescent="0.25">
      <c r="A181" t="s">
        <v>607</v>
      </c>
      <c r="B181" s="117" t="s">
        <v>153</v>
      </c>
      <c r="C181" s="86">
        <f t="shared" ref="C181:C239" si="6">(SUM(W181*1000,-N181)/12)/N181</f>
        <v>5.0518179612491767E-3</v>
      </c>
      <c r="D181" t="s">
        <v>141</v>
      </c>
      <c r="E181" s="86">
        <f t="shared" ref="E181:E239" si="7">SUM(G181,-L181)/(SUM(H181,I181,J181,K181,L181))</f>
        <v>0</v>
      </c>
      <c r="F181" s="194">
        <v>9617</v>
      </c>
      <c r="G181" s="194">
        <v>850</v>
      </c>
      <c r="H181" s="80">
        <v>855</v>
      </c>
      <c r="I181" s="80">
        <v>850</v>
      </c>
      <c r="J181" s="80">
        <v>825</v>
      </c>
      <c r="K181" s="80">
        <v>835</v>
      </c>
      <c r="L181" s="80">
        <v>850</v>
      </c>
      <c r="M181" s="99" t="s">
        <v>153</v>
      </c>
      <c r="N181" s="194">
        <v>9617</v>
      </c>
      <c r="O181" s="195">
        <v>10.199999999999999</v>
      </c>
      <c r="P181" s="195">
        <v>10.1</v>
      </c>
      <c r="Q181" s="195">
        <v>10.199999999999999</v>
      </c>
      <c r="R181" s="195">
        <v>10.199999999999999</v>
      </c>
      <c r="S181" s="195">
        <v>10.199999999999999</v>
      </c>
      <c r="T181" s="195">
        <v>10.199999999999999</v>
      </c>
      <c r="U181" s="195">
        <v>10.199999999999999</v>
      </c>
      <c r="V181" s="195">
        <v>10.199999999999999</v>
      </c>
      <c r="W181" s="195">
        <v>10.199999999999999</v>
      </c>
    </row>
    <row r="182" spans="1:23" x14ac:dyDescent="0.25">
      <c r="A182" t="s">
        <v>604</v>
      </c>
      <c r="B182" s="117" t="s">
        <v>196</v>
      </c>
      <c r="C182" s="86">
        <f t="shared" si="6"/>
        <v>-4.1051266177294298E-3</v>
      </c>
      <c r="D182" t="s">
        <v>141</v>
      </c>
      <c r="E182" s="86">
        <f t="shared" si="7"/>
        <v>3.0895334174022699E-2</v>
      </c>
      <c r="F182" s="194">
        <v>22614</v>
      </c>
      <c r="G182" s="194">
        <v>1755</v>
      </c>
      <c r="H182" s="80">
        <v>1690</v>
      </c>
      <c r="I182" s="80">
        <v>1640</v>
      </c>
      <c r="J182" s="80">
        <v>1585</v>
      </c>
      <c r="K182" s="80">
        <v>1505</v>
      </c>
      <c r="L182" s="80">
        <v>1510</v>
      </c>
      <c r="M182" s="99" t="s">
        <v>196</v>
      </c>
      <c r="N182" s="194">
        <v>22614</v>
      </c>
      <c r="O182" s="195">
        <v>22.4</v>
      </c>
      <c r="P182" s="195">
        <v>22.4</v>
      </c>
      <c r="Q182" s="195">
        <v>22.3</v>
      </c>
      <c r="R182" s="195">
        <v>22.2</v>
      </c>
      <c r="S182" s="195">
        <v>22.1</v>
      </c>
      <c r="T182" s="195">
        <v>22</v>
      </c>
      <c r="U182" s="195">
        <v>21.9</v>
      </c>
      <c r="V182" s="195">
        <v>21.8</v>
      </c>
      <c r="W182" s="195">
        <v>21.5</v>
      </c>
    </row>
    <row r="183" spans="1:23" x14ac:dyDescent="0.25">
      <c r="A183" t="s">
        <v>601</v>
      </c>
      <c r="B183" s="117" t="s">
        <v>235</v>
      </c>
      <c r="C183" s="86">
        <f t="shared" si="6"/>
        <v>-1.0120228312350726E-5</v>
      </c>
      <c r="D183" t="s">
        <v>537</v>
      </c>
      <c r="E183" s="86">
        <f t="shared" si="7"/>
        <v>2.1940349674322936E-2</v>
      </c>
      <c r="F183" s="194">
        <v>24703</v>
      </c>
      <c r="G183" s="194">
        <v>3125</v>
      </c>
      <c r="H183" s="80">
        <v>3035</v>
      </c>
      <c r="I183" s="80">
        <v>2995</v>
      </c>
      <c r="J183" s="80">
        <v>2925</v>
      </c>
      <c r="K183" s="80">
        <v>2825</v>
      </c>
      <c r="L183" s="80">
        <v>2805</v>
      </c>
      <c r="M183" s="99" t="s">
        <v>235</v>
      </c>
      <c r="N183" s="194">
        <v>24703</v>
      </c>
      <c r="O183" s="195">
        <v>24.4</v>
      </c>
      <c r="P183" s="195">
        <v>24.4</v>
      </c>
      <c r="Q183" s="195">
        <v>24.4</v>
      </c>
      <c r="R183" s="195">
        <v>24.4</v>
      </c>
      <c r="S183" s="195">
        <v>24.4</v>
      </c>
      <c r="T183" s="195">
        <v>24.4</v>
      </c>
      <c r="U183" s="195">
        <v>24.5</v>
      </c>
      <c r="V183" s="195">
        <v>24.5</v>
      </c>
      <c r="W183" s="195">
        <v>24.7</v>
      </c>
    </row>
    <row r="184" spans="1:23" x14ac:dyDescent="0.25">
      <c r="A184" t="s">
        <v>608</v>
      </c>
      <c r="B184" s="117" t="s">
        <v>474</v>
      </c>
      <c r="C184" s="86">
        <f t="shared" si="6"/>
        <v>-3.9280996149197514E-3</v>
      </c>
      <c r="D184" t="s">
        <v>141</v>
      </c>
      <c r="E184" s="86">
        <f t="shared" si="7"/>
        <v>1.9736842105263157E-2</v>
      </c>
      <c r="F184" s="194">
        <v>23718</v>
      </c>
      <c r="G184" s="194">
        <v>2105</v>
      </c>
      <c r="H184" s="80">
        <v>2055</v>
      </c>
      <c r="I184" s="80">
        <v>2005</v>
      </c>
      <c r="J184" s="80">
        <v>1975</v>
      </c>
      <c r="K184" s="80">
        <v>1935</v>
      </c>
      <c r="L184" s="80">
        <v>1910</v>
      </c>
      <c r="M184" s="99" t="s">
        <v>474</v>
      </c>
      <c r="N184" s="194">
        <v>23718</v>
      </c>
      <c r="O184" s="195">
        <v>23.5</v>
      </c>
      <c r="P184" s="195">
        <v>23.4</v>
      </c>
      <c r="Q184" s="195">
        <v>23.3</v>
      </c>
      <c r="R184" s="195">
        <v>23.2</v>
      </c>
      <c r="S184" s="195">
        <v>23.1</v>
      </c>
      <c r="T184" s="195">
        <v>23</v>
      </c>
      <c r="U184" s="195">
        <v>22.8</v>
      </c>
      <c r="V184" s="195">
        <v>22.8</v>
      </c>
      <c r="W184" s="195">
        <v>22.6</v>
      </c>
    </row>
    <row r="185" spans="1:23" x14ac:dyDescent="0.25">
      <c r="A185" t="s">
        <v>603</v>
      </c>
      <c r="B185" s="117" t="s">
        <v>361</v>
      </c>
      <c r="C185" s="86">
        <f t="shared" si="6"/>
        <v>3.0856666463327845E-3</v>
      </c>
      <c r="D185" t="s">
        <v>141</v>
      </c>
      <c r="E185" s="86">
        <f t="shared" si="7"/>
        <v>3.5695538057742782E-2</v>
      </c>
      <c r="F185" s="194">
        <v>32786</v>
      </c>
      <c r="G185" s="194">
        <v>2120</v>
      </c>
      <c r="H185" s="80">
        <v>2070</v>
      </c>
      <c r="I185" s="80">
        <v>1950</v>
      </c>
      <c r="J185" s="80">
        <v>1925</v>
      </c>
      <c r="K185" s="80">
        <v>1800</v>
      </c>
      <c r="L185" s="80">
        <v>1780</v>
      </c>
      <c r="M185" s="99" t="s">
        <v>361</v>
      </c>
      <c r="N185" s="194">
        <v>32786</v>
      </c>
      <c r="O185" s="195">
        <v>32.700000000000003</v>
      </c>
      <c r="P185" s="195">
        <v>32.700000000000003</v>
      </c>
      <c r="Q185" s="195">
        <v>32.700000000000003</v>
      </c>
      <c r="R185" s="195">
        <v>32.799999999999997</v>
      </c>
      <c r="S185" s="195">
        <v>33</v>
      </c>
      <c r="T185" s="195">
        <v>33.200000000000003</v>
      </c>
      <c r="U185" s="195">
        <v>33.299999999999997</v>
      </c>
      <c r="V185" s="195">
        <v>33.4</v>
      </c>
      <c r="W185" s="195">
        <v>34</v>
      </c>
    </row>
    <row r="186" spans="1:23" x14ac:dyDescent="0.25">
      <c r="A186" t="s">
        <v>608</v>
      </c>
      <c r="B186" s="117" t="s">
        <v>475</v>
      </c>
      <c r="C186" s="86">
        <f t="shared" si="6"/>
        <v>4.9860360841836385E-3</v>
      </c>
      <c r="D186" t="s">
        <v>509</v>
      </c>
      <c r="E186" s="86">
        <f t="shared" si="7"/>
        <v>2.3803994426381793E-2</v>
      </c>
      <c r="F186" s="194">
        <v>121623</v>
      </c>
      <c r="G186" s="194">
        <v>9320</v>
      </c>
      <c r="H186" s="80">
        <v>9035</v>
      </c>
      <c r="I186" s="80">
        <v>8800</v>
      </c>
      <c r="J186" s="80">
        <v>8540</v>
      </c>
      <c r="K186" s="80">
        <v>8390</v>
      </c>
      <c r="L186" s="80">
        <v>8295</v>
      </c>
      <c r="M186" s="99" t="s">
        <v>475</v>
      </c>
      <c r="N186" s="194">
        <v>121623</v>
      </c>
      <c r="O186" s="195">
        <v>124.3</v>
      </c>
      <c r="P186" s="195">
        <v>124.4</v>
      </c>
      <c r="Q186" s="195">
        <v>124.4</v>
      </c>
      <c r="R186" s="195">
        <v>124.6</v>
      </c>
      <c r="S186" s="195">
        <v>125</v>
      </c>
      <c r="T186" s="195">
        <v>125.5</v>
      </c>
      <c r="U186" s="195">
        <v>126</v>
      </c>
      <c r="V186" s="195">
        <v>126.6</v>
      </c>
      <c r="W186" s="195">
        <v>128.9</v>
      </c>
    </row>
    <row r="187" spans="1:23" x14ac:dyDescent="0.25">
      <c r="A187" t="s">
        <v>600</v>
      </c>
      <c r="B187" s="117" t="s">
        <v>315</v>
      </c>
      <c r="C187" s="86">
        <f t="shared" si="6"/>
        <v>-2.291838601030491E-3</v>
      </c>
      <c r="D187" t="s">
        <v>141</v>
      </c>
      <c r="E187" s="86">
        <f t="shared" si="7"/>
        <v>2.7096472786732072E-2</v>
      </c>
      <c r="F187" s="194">
        <v>44833</v>
      </c>
      <c r="G187" s="194">
        <v>4685</v>
      </c>
      <c r="H187" s="80">
        <v>4515</v>
      </c>
      <c r="I187" s="80">
        <v>4365</v>
      </c>
      <c r="J187" s="80">
        <v>4250</v>
      </c>
      <c r="K187" s="80">
        <v>4170</v>
      </c>
      <c r="L187" s="80">
        <v>4105</v>
      </c>
      <c r="M187" s="99" t="s">
        <v>315</v>
      </c>
      <c r="N187" s="194">
        <v>44833</v>
      </c>
      <c r="O187" s="195">
        <v>44</v>
      </c>
      <c r="P187" s="195">
        <v>44</v>
      </c>
      <c r="Q187" s="195">
        <v>44</v>
      </c>
      <c r="R187" s="195">
        <v>43.9</v>
      </c>
      <c r="S187" s="195">
        <v>43.9</v>
      </c>
      <c r="T187" s="195">
        <v>43.8</v>
      </c>
      <c r="U187" s="195">
        <v>43.8</v>
      </c>
      <c r="V187" s="195">
        <v>43.7</v>
      </c>
      <c r="W187" s="195">
        <v>43.6</v>
      </c>
    </row>
    <row r="188" spans="1:23" x14ac:dyDescent="0.25">
      <c r="A188" t="s">
        <v>608</v>
      </c>
      <c r="B188" s="117" t="s">
        <v>476</v>
      </c>
      <c r="C188" s="86">
        <f t="shared" si="6"/>
        <v>7.794747133118427E-4</v>
      </c>
      <c r="D188" t="s">
        <v>141</v>
      </c>
      <c r="E188" s="86">
        <f t="shared" si="7"/>
        <v>2.8077753779697623E-2</v>
      </c>
      <c r="F188" s="194">
        <v>18923</v>
      </c>
      <c r="G188" s="194">
        <v>1500</v>
      </c>
      <c r="H188" s="80">
        <v>1470</v>
      </c>
      <c r="I188" s="80">
        <v>1425</v>
      </c>
      <c r="J188" s="80">
        <v>1410</v>
      </c>
      <c r="K188" s="80">
        <v>1335</v>
      </c>
      <c r="L188" s="80">
        <v>1305</v>
      </c>
      <c r="M188" s="99" t="s">
        <v>476</v>
      </c>
      <c r="N188" s="194">
        <v>18923</v>
      </c>
      <c r="O188" s="195">
        <v>19.5</v>
      </c>
      <c r="P188" s="195">
        <v>19.600000000000001</v>
      </c>
      <c r="Q188" s="195">
        <v>19.600000000000001</v>
      </c>
      <c r="R188" s="195">
        <v>19.600000000000001</v>
      </c>
      <c r="S188" s="195">
        <v>19.600000000000001</v>
      </c>
      <c r="T188" s="195">
        <v>19.7</v>
      </c>
      <c r="U188" s="195">
        <v>19.7</v>
      </c>
      <c r="V188" s="195">
        <v>19.600000000000001</v>
      </c>
      <c r="W188" s="195">
        <v>19.100000000000001</v>
      </c>
    </row>
    <row r="189" spans="1:23" x14ac:dyDescent="0.25">
      <c r="A189" t="s">
        <v>599</v>
      </c>
      <c r="B189" s="117" t="s">
        <v>698</v>
      </c>
      <c r="C189" s="86">
        <f t="shared" si="6"/>
        <v>2.8632526219846658E-3</v>
      </c>
      <c r="D189" t="s">
        <v>537</v>
      </c>
      <c r="E189" s="86">
        <f t="shared" si="7"/>
        <v>2.6499865482916329E-2</v>
      </c>
      <c r="F189" s="194">
        <v>80823</v>
      </c>
      <c r="G189" s="194">
        <v>8105</v>
      </c>
      <c r="H189" s="80">
        <v>7780</v>
      </c>
      <c r="I189" s="80">
        <v>7620</v>
      </c>
      <c r="J189" s="80">
        <v>7425</v>
      </c>
      <c r="K189" s="80">
        <v>7225</v>
      </c>
      <c r="L189" s="80">
        <v>7120</v>
      </c>
      <c r="M189" s="99" t="s">
        <v>647</v>
      </c>
      <c r="N189" s="194">
        <v>80823</v>
      </c>
      <c r="O189" s="195">
        <v>81.400000000000006</v>
      </c>
      <c r="P189" s="195">
        <v>81.8</v>
      </c>
      <c r="Q189" s="195">
        <v>82</v>
      </c>
      <c r="R189" s="195">
        <v>82.3</v>
      </c>
      <c r="S189" s="195">
        <v>82.6</v>
      </c>
      <c r="T189" s="195">
        <v>82.8</v>
      </c>
      <c r="U189" s="195">
        <v>82.9</v>
      </c>
      <c r="V189" s="195">
        <v>83.1</v>
      </c>
      <c r="W189" s="195">
        <v>83.6</v>
      </c>
    </row>
    <row r="190" spans="1:23" x14ac:dyDescent="0.25">
      <c r="A190" t="s">
        <v>598</v>
      </c>
      <c r="B190" s="117" t="s">
        <v>135</v>
      </c>
      <c r="C190" s="86">
        <f t="shared" si="6"/>
        <v>2.3009561254579572E-3</v>
      </c>
      <c r="D190" t="s">
        <v>509</v>
      </c>
      <c r="E190" s="86">
        <f t="shared" si="7"/>
        <v>2.10016155088853E-2</v>
      </c>
      <c r="F190" s="194">
        <v>33573</v>
      </c>
      <c r="G190" s="194">
        <v>2645</v>
      </c>
      <c r="H190" s="80">
        <v>2555</v>
      </c>
      <c r="I190" s="80">
        <v>2550</v>
      </c>
      <c r="J190" s="80">
        <v>2460</v>
      </c>
      <c r="K190" s="80">
        <v>2430</v>
      </c>
      <c r="L190" s="80">
        <v>2385</v>
      </c>
      <c r="M190" s="99" t="s">
        <v>135</v>
      </c>
      <c r="N190" s="194">
        <v>33573</v>
      </c>
      <c r="O190" s="195">
        <v>33.4</v>
      </c>
      <c r="P190" s="195">
        <v>33.6</v>
      </c>
      <c r="Q190" s="195">
        <v>33.700000000000003</v>
      </c>
      <c r="R190" s="195">
        <v>33.799999999999997</v>
      </c>
      <c r="S190" s="195">
        <v>33.9</v>
      </c>
      <c r="T190" s="195">
        <v>34</v>
      </c>
      <c r="U190" s="195">
        <v>34.1</v>
      </c>
      <c r="V190" s="195">
        <v>34.200000000000003</v>
      </c>
      <c r="W190" s="195">
        <v>34.5</v>
      </c>
    </row>
    <row r="191" spans="1:23" x14ac:dyDescent="0.25">
      <c r="A191" t="s">
        <v>610</v>
      </c>
      <c r="B191" s="117" t="s">
        <v>393</v>
      </c>
      <c r="C191" s="86">
        <f t="shared" si="6"/>
        <v>1.2908187086320068E-3</v>
      </c>
      <c r="D191" t="s">
        <v>509</v>
      </c>
      <c r="E191" s="86">
        <f t="shared" si="7"/>
        <v>2.4891101431238332E-2</v>
      </c>
      <c r="F191" s="194">
        <v>48548</v>
      </c>
      <c r="G191" s="194">
        <v>3465</v>
      </c>
      <c r="H191" s="80">
        <v>3350</v>
      </c>
      <c r="I191" s="80">
        <v>3310</v>
      </c>
      <c r="J191" s="80">
        <v>3210</v>
      </c>
      <c r="K191" s="80">
        <v>3135</v>
      </c>
      <c r="L191" s="80">
        <v>3065</v>
      </c>
      <c r="M191" s="99" t="s">
        <v>393</v>
      </c>
      <c r="N191" s="194">
        <v>48548</v>
      </c>
      <c r="O191" s="195">
        <v>48.6</v>
      </c>
      <c r="P191" s="195">
        <v>48.8</v>
      </c>
      <c r="Q191" s="195">
        <v>48.9</v>
      </c>
      <c r="R191" s="195">
        <v>49.1</v>
      </c>
      <c r="S191" s="195">
        <v>49.2</v>
      </c>
      <c r="T191" s="195">
        <v>49.2</v>
      </c>
      <c r="U191" s="195">
        <v>49.3</v>
      </c>
      <c r="V191" s="195">
        <v>49.3</v>
      </c>
      <c r="W191" s="195">
        <v>49.3</v>
      </c>
    </row>
    <row r="192" spans="1:23" x14ac:dyDescent="0.25">
      <c r="A192" t="s">
        <v>598</v>
      </c>
      <c r="B192" s="117" t="s">
        <v>362</v>
      </c>
      <c r="C192" s="86">
        <f t="shared" si="6"/>
        <v>3.4319536793636063E-3</v>
      </c>
      <c r="D192" t="s">
        <v>537</v>
      </c>
      <c r="E192" s="86">
        <f t="shared" si="7"/>
        <v>4.0170419963481439E-2</v>
      </c>
      <c r="F192" s="194">
        <v>19401</v>
      </c>
      <c r="G192" s="194">
        <v>1865</v>
      </c>
      <c r="H192" s="80">
        <v>1750</v>
      </c>
      <c r="I192" s="80">
        <v>1705</v>
      </c>
      <c r="J192" s="80">
        <v>1645</v>
      </c>
      <c r="K192" s="80">
        <v>1580</v>
      </c>
      <c r="L192" s="80">
        <v>1535</v>
      </c>
      <c r="M192" s="99" t="s">
        <v>362</v>
      </c>
      <c r="N192" s="194">
        <v>19401</v>
      </c>
      <c r="O192" s="195">
        <v>19.8</v>
      </c>
      <c r="P192" s="195">
        <v>19.8</v>
      </c>
      <c r="Q192" s="195">
        <v>19.899999999999999</v>
      </c>
      <c r="R192" s="195">
        <v>20</v>
      </c>
      <c r="S192" s="195">
        <v>20.100000000000001</v>
      </c>
      <c r="T192" s="195">
        <v>20</v>
      </c>
      <c r="U192" s="195">
        <v>20.100000000000001</v>
      </c>
      <c r="V192" s="195">
        <v>20.100000000000001</v>
      </c>
      <c r="W192" s="195">
        <v>20.2</v>
      </c>
    </row>
    <row r="193" spans="1:23" x14ac:dyDescent="0.25">
      <c r="A193" t="s">
        <v>603</v>
      </c>
      <c r="B193" s="117" t="s">
        <v>136</v>
      </c>
      <c r="C193" s="86">
        <f t="shared" si="6"/>
        <v>-2.2077217517104284E-3</v>
      </c>
      <c r="D193" t="s">
        <v>141</v>
      </c>
      <c r="E193" s="86">
        <f t="shared" si="7"/>
        <v>2.3731288791529755E-2</v>
      </c>
      <c r="F193" s="194">
        <v>33179</v>
      </c>
      <c r="G193" s="194">
        <v>2940</v>
      </c>
      <c r="H193" s="80">
        <v>2865</v>
      </c>
      <c r="I193" s="80">
        <v>2815</v>
      </c>
      <c r="J193" s="80">
        <v>2735</v>
      </c>
      <c r="K193" s="80">
        <v>2665</v>
      </c>
      <c r="L193" s="80">
        <v>2615</v>
      </c>
      <c r="M193" s="99" t="s">
        <v>136</v>
      </c>
      <c r="N193" s="194">
        <v>33179</v>
      </c>
      <c r="O193" s="195">
        <v>33.1</v>
      </c>
      <c r="P193" s="195">
        <v>33.1</v>
      </c>
      <c r="Q193" s="195">
        <v>33</v>
      </c>
      <c r="R193" s="195">
        <v>32.9</v>
      </c>
      <c r="S193" s="195">
        <v>32.799999999999997</v>
      </c>
      <c r="T193" s="195">
        <v>32.700000000000003</v>
      </c>
      <c r="U193" s="195">
        <v>32.6</v>
      </c>
      <c r="V193" s="195">
        <v>32.5</v>
      </c>
      <c r="W193" s="195">
        <v>32.299999999999997</v>
      </c>
    </row>
    <row r="194" spans="1:23" x14ac:dyDescent="0.25">
      <c r="A194" t="s">
        <v>607</v>
      </c>
      <c r="B194" s="117" t="s">
        <v>749</v>
      </c>
      <c r="C194" s="86">
        <f t="shared" si="6"/>
        <v>-2.1326858717763634E-4</v>
      </c>
      <c r="D194" t="s">
        <v>509</v>
      </c>
      <c r="E194" s="86">
        <f t="shared" si="7"/>
        <v>2.1227621483375959E-2</v>
      </c>
      <c r="F194" s="194">
        <v>60956</v>
      </c>
      <c r="G194" s="194">
        <v>4145</v>
      </c>
      <c r="H194" s="80">
        <v>4095</v>
      </c>
      <c r="I194" s="80">
        <v>4055</v>
      </c>
      <c r="J194" s="80">
        <v>3895</v>
      </c>
      <c r="K194" s="80">
        <v>3775</v>
      </c>
      <c r="L194" s="80">
        <v>3730</v>
      </c>
      <c r="M194" s="99" t="s">
        <v>749</v>
      </c>
      <c r="N194" s="194">
        <v>60956</v>
      </c>
      <c r="O194" s="195">
        <v>62.7</v>
      </c>
      <c r="P194" s="195">
        <v>62.6</v>
      </c>
      <c r="Q194" s="195">
        <v>62.399999999999991</v>
      </c>
      <c r="R194" s="195">
        <v>62.3</v>
      </c>
      <c r="S194" s="195">
        <v>62.1</v>
      </c>
      <c r="T194" s="195">
        <v>61.9</v>
      </c>
      <c r="U194" s="195">
        <v>61.699999999999996</v>
      </c>
      <c r="V194" s="195">
        <v>61.5</v>
      </c>
      <c r="W194" s="195">
        <v>60.8</v>
      </c>
    </row>
    <row r="195" spans="1:23" x14ac:dyDescent="0.25">
      <c r="A195" t="s">
        <v>608</v>
      </c>
      <c r="B195" s="117" t="s">
        <v>438</v>
      </c>
      <c r="C195" s="86">
        <f t="shared" si="6"/>
        <v>-6.8111549882144057E-4</v>
      </c>
      <c r="D195" t="s">
        <v>537</v>
      </c>
      <c r="E195" s="86">
        <f t="shared" si="7"/>
        <v>1.6666666666666666E-2</v>
      </c>
      <c r="F195" s="194">
        <v>10889</v>
      </c>
      <c r="G195" s="194">
        <v>1055</v>
      </c>
      <c r="H195" s="80">
        <v>1065</v>
      </c>
      <c r="I195" s="80">
        <v>1040</v>
      </c>
      <c r="J195" s="80">
        <v>1035</v>
      </c>
      <c r="K195" s="80">
        <v>990</v>
      </c>
      <c r="L195" s="80">
        <v>970</v>
      </c>
      <c r="M195" s="99" t="s">
        <v>438</v>
      </c>
      <c r="N195" s="194">
        <v>10889</v>
      </c>
      <c r="O195" s="195">
        <v>10.6</v>
      </c>
      <c r="P195" s="195">
        <v>10.6</v>
      </c>
      <c r="Q195" s="195">
        <v>10.6</v>
      </c>
      <c r="R195" s="195">
        <v>10.6</v>
      </c>
      <c r="S195" s="195">
        <v>10.6</v>
      </c>
      <c r="T195" s="195">
        <v>10.6</v>
      </c>
      <c r="U195" s="195">
        <v>10.7</v>
      </c>
      <c r="V195" s="195">
        <v>10.7</v>
      </c>
      <c r="W195" s="195">
        <v>10.8</v>
      </c>
    </row>
    <row r="196" spans="1:23" x14ac:dyDescent="0.25">
      <c r="A196" t="s">
        <v>599</v>
      </c>
      <c r="B196" s="117" t="s">
        <v>439</v>
      </c>
      <c r="C196" s="86">
        <f t="shared" si="6"/>
        <v>-3.9746954161368571E-3</v>
      </c>
      <c r="D196" t="s">
        <v>537</v>
      </c>
      <c r="E196" s="86">
        <f t="shared" si="7"/>
        <v>1.7064846416382253E-2</v>
      </c>
      <c r="F196" s="194">
        <v>36963</v>
      </c>
      <c r="G196" s="194">
        <v>3690</v>
      </c>
      <c r="H196" s="80">
        <v>3585</v>
      </c>
      <c r="I196" s="80">
        <v>3565</v>
      </c>
      <c r="J196" s="80">
        <v>3560</v>
      </c>
      <c r="K196" s="80">
        <v>3480</v>
      </c>
      <c r="L196" s="80">
        <v>3390</v>
      </c>
      <c r="M196" s="99" t="s">
        <v>439</v>
      </c>
      <c r="N196" s="194">
        <v>36963</v>
      </c>
      <c r="O196" s="195">
        <v>36.5</v>
      </c>
      <c r="P196" s="195">
        <v>36.299999999999997</v>
      </c>
      <c r="Q196" s="195">
        <v>36.200000000000003</v>
      </c>
      <c r="R196" s="195">
        <v>36.1</v>
      </c>
      <c r="S196" s="195">
        <v>35.9</v>
      </c>
      <c r="T196" s="195">
        <v>35.799999999999997</v>
      </c>
      <c r="U196" s="195">
        <v>35.700000000000003</v>
      </c>
      <c r="V196" s="195">
        <v>35.6</v>
      </c>
      <c r="W196" s="195">
        <v>35.200000000000003</v>
      </c>
    </row>
    <row r="197" spans="1:23" x14ac:dyDescent="0.25">
      <c r="A197" t="s">
        <v>603</v>
      </c>
      <c r="B197" s="117" t="s">
        <v>750</v>
      </c>
      <c r="C197" s="86">
        <f t="shared" si="6"/>
        <v>8.1488910669918623E-4</v>
      </c>
      <c r="D197" t="s">
        <v>537</v>
      </c>
      <c r="E197" s="86">
        <f t="shared" si="7"/>
        <v>2.4835276229092752E-2</v>
      </c>
      <c r="F197">
        <v>43871</v>
      </c>
      <c r="G197">
        <v>4280</v>
      </c>
      <c r="H197" s="80">
        <v>4110</v>
      </c>
      <c r="I197" s="80">
        <v>4030</v>
      </c>
      <c r="J197" s="80">
        <v>3945</v>
      </c>
      <c r="K197" s="80">
        <v>3855</v>
      </c>
      <c r="L197" s="80">
        <v>3790</v>
      </c>
      <c r="M197" s="99" t="s">
        <v>750</v>
      </c>
      <c r="N197" s="195">
        <v>43871</v>
      </c>
      <c r="O197" s="195">
        <v>44.1</v>
      </c>
      <c r="P197" s="196">
        <v>44.3</v>
      </c>
      <c r="Q197" s="195">
        <v>44.4</v>
      </c>
      <c r="R197" s="195">
        <v>44.5</v>
      </c>
      <c r="S197" s="195">
        <v>44.5</v>
      </c>
      <c r="T197" s="195">
        <v>44.6</v>
      </c>
      <c r="U197" s="195">
        <v>44.6</v>
      </c>
      <c r="V197" s="195">
        <v>44.6</v>
      </c>
      <c r="W197">
        <v>44.3</v>
      </c>
    </row>
    <row r="198" spans="1:23" x14ac:dyDescent="0.25">
      <c r="A198" t="s">
        <v>601</v>
      </c>
      <c r="B198" s="117" t="s">
        <v>236</v>
      </c>
      <c r="C198" s="86">
        <f t="shared" si="6"/>
        <v>-5.1533992080233888E-3</v>
      </c>
      <c r="D198" t="s">
        <v>141</v>
      </c>
      <c r="E198" s="86">
        <f t="shared" si="7"/>
        <v>2.8373954165150966E-2</v>
      </c>
      <c r="F198" s="194">
        <v>36028</v>
      </c>
      <c r="G198" s="194">
        <v>2980</v>
      </c>
      <c r="H198" s="80">
        <v>2885</v>
      </c>
      <c r="I198" s="80">
        <v>2820</v>
      </c>
      <c r="J198" s="80">
        <v>2785</v>
      </c>
      <c r="K198" s="80">
        <v>2665</v>
      </c>
      <c r="L198" s="80">
        <v>2590</v>
      </c>
      <c r="M198" s="99" t="s">
        <v>236</v>
      </c>
      <c r="N198" s="194">
        <v>36028</v>
      </c>
      <c r="O198" s="195">
        <v>35.200000000000003</v>
      </c>
      <c r="P198" s="195">
        <v>35.200000000000003</v>
      </c>
      <c r="Q198" s="195">
        <v>35.1</v>
      </c>
      <c r="R198" s="195">
        <v>35</v>
      </c>
      <c r="S198" s="195">
        <v>34.9</v>
      </c>
      <c r="T198" s="195">
        <v>34.700000000000003</v>
      </c>
      <c r="U198" s="195">
        <v>34.6</v>
      </c>
      <c r="V198" s="195">
        <v>34.4</v>
      </c>
      <c r="W198" s="195">
        <v>33.799999999999997</v>
      </c>
    </row>
    <row r="199" spans="1:23" x14ac:dyDescent="0.25">
      <c r="A199" t="s">
        <v>606</v>
      </c>
      <c r="B199" s="117" t="s">
        <v>506</v>
      </c>
      <c r="C199" s="86">
        <f t="shared" si="6"/>
        <v>-4.7394493664856619E-3</v>
      </c>
      <c r="D199" t="s">
        <v>537</v>
      </c>
      <c r="E199" s="86">
        <f t="shared" si="7"/>
        <v>3.005259203606311E-2</v>
      </c>
      <c r="F199" s="194">
        <v>13996</v>
      </c>
      <c r="G199" s="194">
        <v>1445</v>
      </c>
      <c r="H199" s="80">
        <v>1390</v>
      </c>
      <c r="I199" s="80">
        <v>1380</v>
      </c>
      <c r="J199" s="80">
        <v>1335</v>
      </c>
      <c r="K199" s="80">
        <v>1305</v>
      </c>
      <c r="L199" s="80">
        <v>1245</v>
      </c>
      <c r="M199" s="99" t="s">
        <v>506</v>
      </c>
      <c r="N199" s="194">
        <v>13996</v>
      </c>
      <c r="O199" s="195">
        <v>13.6</v>
      </c>
      <c r="P199" s="195">
        <v>13.6</v>
      </c>
      <c r="Q199" s="195">
        <v>13.6</v>
      </c>
      <c r="R199" s="195">
        <v>13.5</v>
      </c>
      <c r="S199" s="195">
        <v>13.5</v>
      </c>
      <c r="T199" s="195">
        <v>13.5</v>
      </c>
      <c r="U199" s="195">
        <v>13.5</v>
      </c>
      <c r="V199" s="195">
        <v>13.4</v>
      </c>
      <c r="W199" s="195">
        <v>13.2</v>
      </c>
    </row>
    <row r="200" spans="1:23" x14ac:dyDescent="0.25">
      <c r="A200" t="s">
        <v>608</v>
      </c>
      <c r="B200" s="117" t="s">
        <v>477</v>
      </c>
      <c r="C200" s="86">
        <f t="shared" si="6"/>
        <v>-1.1526639344262295E-3</v>
      </c>
      <c r="D200" t="s">
        <v>537</v>
      </c>
      <c r="E200" s="86">
        <f t="shared" si="7"/>
        <v>2.8213166144200628E-2</v>
      </c>
      <c r="F200" s="194">
        <v>7808</v>
      </c>
      <c r="G200" s="194">
        <v>695</v>
      </c>
      <c r="H200" s="80">
        <v>670</v>
      </c>
      <c r="I200" s="80">
        <v>660</v>
      </c>
      <c r="J200" s="80">
        <v>650</v>
      </c>
      <c r="K200" s="80">
        <v>605</v>
      </c>
      <c r="L200" s="80">
        <v>605</v>
      </c>
      <c r="M200" s="99" t="s">
        <v>477</v>
      </c>
      <c r="N200" s="194">
        <v>7808</v>
      </c>
      <c r="O200" s="195">
        <v>7.7</v>
      </c>
      <c r="P200" s="195">
        <v>7.7</v>
      </c>
      <c r="Q200" s="195">
        <v>7.6</v>
      </c>
      <c r="R200" s="195">
        <v>7.6</v>
      </c>
      <c r="S200" s="195">
        <v>7.6</v>
      </c>
      <c r="T200" s="195">
        <v>7.6</v>
      </c>
      <c r="U200" s="195">
        <v>7.6</v>
      </c>
      <c r="V200" s="195">
        <v>7.6</v>
      </c>
      <c r="W200" s="195">
        <v>7.7</v>
      </c>
    </row>
    <row r="201" spans="1:23" x14ac:dyDescent="0.25">
      <c r="A201" t="s">
        <v>601</v>
      </c>
      <c r="B201" s="117" t="s">
        <v>237</v>
      </c>
      <c r="C201" s="86">
        <f t="shared" si="6"/>
        <v>-3.6017859866605655E-3</v>
      </c>
      <c r="D201" t="s">
        <v>537</v>
      </c>
      <c r="E201" s="86">
        <f t="shared" si="7"/>
        <v>2.6244343891402715E-2</v>
      </c>
      <c r="F201" s="194">
        <v>24039</v>
      </c>
      <c r="G201" s="194">
        <v>2380</v>
      </c>
      <c r="H201" s="80">
        <v>2320</v>
      </c>
      <c r="I201" s="80">
        <v>2305</v>
      </c>
      <c r="J201" s="80">
        <v>2190</v>
      </c>
      <c r="K201" s="80">
        <v>2145</v>
      </c>
      <c r="L201" s="80">
        <v>2090</v>
      </c>
      <c r="M201" s="99" t="s">
        <v>237</v>
      </c>
      <c r="N201" s="194">
        <v>24039</v>
      </c>
      <c r="O201" s="195">
        <v>23.1</v>
      </c>
      <c r="P201" s="195">
        <v>23.1</v>
      </c>
      <c r="Q201" s="195">
        <v>23.1</v>
      </c>
      <c r="R201" s="195">
        <v>23.1</v>
      </c>
      <c r="S201" s="195">
        <v>23.1</v>
      </c>
      <c r="T201" s="195">
        <v>23.1</v>
      </c>
      <c r="U201" s="195">
        <v>23.1</v>
      </c>
      <c r="V201" s="195">
        <v>23.1</v>
      </c>
      <c r="W201" s="195">
        <v>23</v>
      </c>
    </row>
    <row r="202" spans="1:23" x14ac:dyDescent="0.25">
      <c r="A202" t="s">
        <v>608</v>
      </c>
      <c r="B202" s="117" t="s">
        <v>478</v>
      </c>
      <c r="C202" s="86">
        <f t="shared" si="6"/>
        <v>4.6554934823091247E-4</v>
      </c>
      <c r="D202" t="s">
        <v>537</v>
      </c>
      <c r="E202" s="86">
        <f t="shared" si="7"/>
        <v>2.6604973973395025E-2</v>
      </c>
      <c r="F202" s="194">
        <v>17005</v>
      </c>
      <c r="G202" s="194">
        <v>1860</v>
      </c>
      <c r="H202" s="80">
        <v>1790</v>
      </c>
      <c r="I202" s="80">
        <v>1775</v>
      </c>
      <c r="J202" s="80">
        <v>1750</v>
      </c>
      <c r="K202" s="80">
        <v>1700</v>
      </c>
      <c r="L202" s="80">
        <v>1630</v>
      </c>
      <c r="M202" s="99" t="s">
        <v>478</v>
      </c>
      <c r="N202" s="194">
        <v>17005</v>
      </c>
      <c r="O202" s="195">
        <v>16.899999999999999</v>
      </c>
      <c r="P202" s="195">
        <v>16.899999999999999</v>
      </c>
      <c r="Q202" s="195">
        <v>16.899999999999999</v>
      </c>
      <c r="R202" s="195">
        <v>17</v>
      </c>
      <c r="S202" s="195">
        <v>17</v>
      </c>
      <c r="T202" s="195">
        <v>17</v>
      </c>
      <c r="U202" s="195">
        <v>17</v>
      </c>
      <c r="V202" s="195">
        <v>17</v>
      </c>
      <c r="W202" s="195">
        <v>17.100000000000001</v>
      </c>
    </row>
    <row r="203" spans="1:23" x14ac:dyDescent="0.25">
      <c r="A203" t="s">
        <v>606</v>
      </c>
      <c r="B203" s="117" t="s">
        <v>273</v>
      </c>
      <c r="C203" s="86">
        <f t="shared" si="6"/>
        <v>2.8348267385615734E-3</v>
      </c>
      <c r="D203" t="s">
        <v>141</v>
      </c>
      <c r="E203" s="86">
        <f t="shared" si="7"/>
        <v>3.239556692242114E-2</v>
      </c>
      <c r="F203" s="194">
        <v>63055</v>
      </c>
      <c r="G203" s="194">
        <v>5195</v>
      </c>
      <c r="H203" s="80">
        <v>4990</v>
      </c>
      <c r="I203" s="80">
        <v>4890</v>
      </c>
      <c r="J203" s="80">
        <v>4720</v>
      </c>
      <c r="K203" s="80">
        <v>4425</v>
      </c>
      <c r="L203" s="80">
        <v>4435</v>
      </c>
      <c r="M203" s="99" t="s">
        <v>273</v>
      </c>
      <c r="N203" s="194">
        <v>63055</v>
      </c>
      <c r="O203" s="195">
        <v>63.5</v>
      </c>
      <c r="P203" s="195">
        <v>63.7</v>
      </c>
      <c r="Q203" s="195">
        <v>63.8</v>
      </c>
      <c r="R203" s="195">
        <v>64</v>
      </c>
      <c r="S203" s="195">
        <v>64.099999999999994</v>
      </c>
      <c r="T203" s="195">
        <v>64.3</v>
      </c>
      <c r="U203" s="195">
        <v>64.400000000000006</v>
      </c>
      <c r="V203" s="195">
        <v>64.5</v>
      </c>
      <c r="W203" s="195">
        <v>65.2</v>
      </c>
    </row>
    <row r="204" spans="1:23" x14ac:dyDescent="0.25">
      <c r="A204" t="s">
        <v>606</v>
      </c>
      <c r="B204" s="117" t="s">
        <v>364</v>
      </c>
      <c r="C204" s="86">
        <f t="shared" si="6"/>
        <v>-3.9866838937970689E-4</v>
      </c>
      <c r="D204" t="s">
        <v>537</v>
      </c>
      <c r="E204" s="86">
        <f t="shared" si="7"/>
        <v>3.9223010833022043E-2</v>
      </c>
      <c r="F204" s="194">
        <v>28637</v>
      </c>
      <c r="G204" s="194">
        <v>3030</v>
      </c>
      <c r="H204" s="80">
        <v>2915</v>
      </c>
      <c r="I204" s="80">
        <v>2800</v>
      </c>
      <c r="J204" s="80">
        <v>2640</v>
      </c>
      <c r="K204" s="80">
        <v>2525</v>
      </c>
      <c r="L204" s="80">
        <v>2505</v>
      </c>
      <c r="M204" s="99" t="s">
        <v>364</v>
      </c>
      <c r="N204" s="194">
        <v>28637</v>
      </c>
      <c r="O204" s="195">
        <v>27.7</v>
      </c>
      <c r="P204" s="195">
        <v>27.9</v>
      </c>
      <c r="Q204" s="195">
        <v>28.1</v>
      </c>
      <c r="R204" s="195">
        <v>28.2</v>
      </c>
      <c r="S204" s="195">
        <v>28.3</v>
      </c>
      <c r="T204" s="195">
        <v>28.5</v>
      </c>
      <c r="U204" s="195">
        <v>28.5</v>
      </c>
      <c r="V204" s="195">
        <v>28.5</v>
      </c>
      <c r="W204" s="195">
        <v>28.5</v>
      </c>
    </row>
    <row r="205" spans="1:23" x14ac:dyDescent="0.25">
      <c r="A205" t="s">
        <v>601</v>
      </c>
      <c r="B205" s="117" t="s">
        <v>239</v>
      </c>
      <c r="C205" s="86">
        <f t="shared" si="6"/>
        <v>-6.7331051451013262E-4</v>
      </c>
      <c r="D205" t="s">
        <v>537</v>
      </c>
      <c r="E205" s="86">
        <f t="shared" si="7"/>
        <v>3.0757689422355589E-2</v>
      </c>
      <c r="F205" s="194">
        <v>42947</v>
      </c>
      <c r="G205" s="194">
        <v>4395</v>
      </c>
      <c r="H205" s="80">
        <v>4235</v>
      </c>
      <c r="I205" s="80">
        <v>4115</v>
      </c>
      <c r="J205" s="80">
        <v>3995</v>
      </c>
      <c r="K205" s="80">
        <v>3870</v>
      </c>
      <c r="L205" s="80">
        <v>3780</v>
      </c>
      <c r="M205" s="99" t="s">
        <v>239</v>
      </c>
      <c r="N205" s="194">
        <v>42947</v>
      </c>
      <c r="O205" s="195">
        <v>41.4</v>
      </c>
      <c r="P205" s="195">
        <v>41.6</v>
      </c>
      <c r="Q205" s="195">
        <v>41.9</v>
      </c>
      <c r="R205" s="195">
        <v>42.1</v>
      </c>
      <c r="S205" s="195">
        <v>42.3</v>
      </c>
      <c r="T205" s="195">
        <v>42.3</v>
      </c>
      <c r="U205" s="195">
        <v>42.5</v>
      </c>
      <c r="V205" s="195">
        <v>42.5</v>
      </c>
      <c r="W205" s="195">
        <v>42.6</v>
      </c>
    </row>
    <row r="206" spans="1:23" x14ac:dyDescent="0.25">
      <c r="A206" t="s">
        <v>601</v>
      </c>
      <c r="B206" s="117" t="s">
        <v>240</v>
      </c>
      <c r="C206" s="86">
        <f t="shared" si="6"/>
        <v>8.9569173830125574E-3</v>
      </c>
      <c r="D206" t="s">
        <v>509</v>
      </c>
      <c r="E206" s="86">
        <f t="shared" si="7"/>
        <v>4.3809360828270728E-2</v>
      </c>
      <c r="F206" s="194">
        <v>176707</v>
      </c>
      <c r="G206" s="194">
        <v>13390</v>
      </c>
      <c r="H206" s="80">
        <v>12620</v>
      </c>
      <c r="I206" s="80">
        <v>12180</v>
      </c>
      <c r="J206" s="80">
        <v>11730</v>
      </c>
      <c r="K206" s="80">
        <v>11075</v>
      </c>
      <c r="L206" s="80">
        <v>10830</v>
      </c>
      <c r="M206" s="99" t="s">
        <v>240</v>
      </c>
      <c r="N206" s="194">
        <v>176707</v>
      </c>
      <c r="O206" s="195">
        <v>177.6</v>
      </c>
      <c r="P206" s="195">
        <v>179.1</v>
      </c>
      <c r="Q206" s="195">
        <v>180.7</v>
      </c>
      <c r="R206" s="195">
        <v>182.3</v>
      </c>
      <c r="S206" s="195">
        <v>183.9</v>
      </c>
      <c r="T206" s="195">
        <v>185.5</v>
      </c>
      <c r="U206" s="195">
        <v>187.2</v>
      </c>
      <c r="V206" s="195">
        <v>188.9</v>
      </c>
      <c r="W206" s="195">
        <v>195.7</v>
      </c>
    </row>
    <row r="207" spans="1:23" x14ac:dyDescent="0.25">
      <c r="A207" t="s">
        <v>603</v>
      </c>
      <c r="B207" s="117" t="s">
        <v>550</v>
      </c>
      <c r="C207" s="86">
        <f t="shared" si="6"/>
        <v>3.9604388520034125E-4</v>
      </c>
      <c r="D207" t="s">
        <v>141</v>
      </c>
      <c r="E207" s="86">
        <f t="shared" si="7"/>
        <v>2.0790960451977401E-2</v>
      </c>
      <c r="F207" s="194">
        <v>84797</v>
      </c>
      <c r="G207" s="194">
        <v>4660</v>
      </c>
      <c r="H207" s="80">
        <v>4605</v>
      </c>
      <c r="I207" s="80">
        <v>4555</v>
      </c>
      <c r="J207" s="80">
        <v>4465</v>
      </c>
      <c r="K207" s="80">
        <v>4300</v>
      </c>
      <c r="L207" s="80">
        <v>4200</v>
      </c>
      <c r="M207" s="99" t="s">
        <v>550</v>
      </c>
      <c r="N207" s="194">
        <v>84797</v>
      </c>
      <c r="O207" s="195">
        <v>85.5</v>
      </c>
      <c r="P207" s="195">
        <v>85.6</v>
      </c>
      <c r="Q207" s="195">
        <v>85.6</v>
      </c>
      <c r="R207" s="195">
        <v>85.6</v>
      </c>
      <c r="S207" s="195">
        <v>85.6</v>
      </c>
      <c r="T207" s="195">
        <v>85.6</v>
      </c>
      <c r="U207" s="195">
        <v>85.6</v>
      </c>
      <c r="V207" s="195">
        <v>85.5</v>
      </c>
      <c r="W207" s="195">
        <v>85.2</v>
      </c>
    </row>
    <row r="208" spans="1:23" x14ac:dyDescent="0.25">
      <c r="A208" t="s">
        <v>602</v>
      </c>
      <c r="B208" s="117" t="s">
        <v>751</v>
      </c>
      <c r="C208" s="86">
        <f t="shared" si="6"/>
        <v>-8.1959950381003011E-4</v>
      </c>
      <c r="D208" t="s">
        <v>141</v>
      </c>
      <c r="E208" s="86">
        <f t="shared" si="7"/>
        <v>2.4655963302752295E-2</v>
      </c>
      <c r="F208" s="194">
        <v>45144</v>
      </c>
      <c r="G208" s="194">
        <v>3750</v>
      </c>
      <c r="H208" s="80">
        <v>3650</v>
      </c>
      <c r="I208" s="80">
        <v>3575</v>
      </c>
      <c r="J208" s="80">
        <v>3495</v>
      </c>
      <c r="K208" s="80">
        <v>3400</v>
      </c>
      <c r="L208" s="80">
        <v>3320</v>
      </c>
      <c r="M208" s="99" t="s">
        <v>751</v>
      </c>
      <c r="N208" s="194">
        <v>45144</v>
      </c>
      <c r="O208" s="195">
        <v>45.6</v>
      </c>
      <c r="P208" s="195">
        <v>45.500000000000007</v>
      </c>
      <c r="Q208" s="195">
        <v>45.4</v>
      </c>
      <c r="R208" s="195">
        <v>45.4</v>
      </c>
      <c r="S208" s="195">
        <v>45.300000000000004</v>
      </c>
      <c r="T208" s="195">
        <v>45.2</v>
      </c>
      <c r="U208" s="195">
        <v>45.1</v>
      </c>
      <c r="V208" s="195">
        <v>45</v>
      </c>
      <c r="W208" s="195">
        <v>44.7</v>
      </c>
    </row>
    <row r="209" spans="1:23" x14ac:dyDescent="0.25">
      <c r="A209" t="s">
        <v>610</v>
      </c>
      <c r="B209" s="117" t="s">
        <v>394</v>
      </c>
      <c r="C209" s="86">
        <f t="shared" si="6"/>
        <v>5.5981210379896932E-3</v>
      </c>
      <c r="D209" s="241" t="s">
        <v>141</v>
      </c>
      <c r="E209" s="86">
        <f t="shared" si="7"/>
        <v>2.2277227722772276E-2</v>
      </c>
      <c r="F209" s="194">
        <v>7309</v>
      </c>
      <c r="G209" s="194">
        <v>870</v>
      </c>
      <c r="H209" s="80">
        <v>835</v>
      </c>
      <c r="I209" s="80">
        <v>830</v>
      </c>
      <c r="J209" s="80">
        <v>820</v>
      </c>
      <c r="K209" s="80">
        <v>775</v>
      </c>
      <c r="L209" s="80">
        <v>780</v>
      </c>
      <c r="M209" s="99" t="s">
        <v>394</v>
      </c>
      <c r="N209" s="194">
        <v>7309</v>
      </c>
      <c r="O209" s="195">
        <v>7.6</v>
      </c>
      <c r="P209" s="195">
        <v>7.7</v>
      </c>
      <c r="Q209" s="195">
        <v>7.7</v>
      </c>
      <c r="R209" s="195">
        <v>7.7</v>
      </c>
      <c r="S209" s="195">
        <v>7.7</v>
      </c>
      <c r="T209" s="195">
        <v>7.7</v>
      </c>
      <c r="U209" s="195">
        <v>7.7</v>
      </c>
      <c r="V209" s="195">
        <v>7.7</v>
      </c>
      <c r="W209" s="195">
        <v>7.8</v>
      </c>
    </row>
    <row r="210" spans="1:23" x14ac:dyDescent="0.25">
      <c r="A210" t="s">
        <v>598</v>
      </c>
      <c r="B210" s="117" t="s">
        <v>137</v>
      </c>
      <c r="C210" s="86">
        <f t="shared" si="6"/>
        <v>-1.865472764097644E-4</v>
      </c>
      <c r="D210" t="s">
        <v>141</v>
      </c>
      <c r="E210" s="86">
        <f t="shared" si="7"/>
        <v>2.3702492848385777E-2</v>
      </c>
      <c r="F210" s="194">
        <v>31270</v>
      </c>
      <c r="G210" s="194">
        <v>2640</v>
      </c>
      <c r="H210" s="80">
        <v>2570</v>
      </c>
      <c r="I210" s="80">
        <v>2540</v>
      </c>
      <c r="J210" s="80">
        <v>2440</v>
      </c>
      <c r="K210" s="80">
        <v>2335</v>
      </c>
      <c r="L210" s="80">
        <v>2350</v>
      </c>
      <c r="M210" s="99" t="s">
        <v>137</v>
      </c>
      <c r="N210" s="194">
        <v>31270</v>
      </c>
      <c r="O210" s="195">
        <v>31.5</v>
      </c>
      <c r="P210" s="195">
        <v>31.3</v>
      </c>
      <c r="Q210" s="195">
        <v>31.3</v>
      </c>
      <c r="R210" s="195">
        <v>31.2</v>
      </c>
      <c r="S210" s="195">
        <v>31.1</v>
      </c>
      <c r="T210" s="195">
        <v>31</v>
      </c>
      <c r="U210" s="195">
        <v>31</v>
      </c>
      <c r="V210" s="195">
        <v>31</v>
      </c>
      <c r="W210" s="195">
        <v>31.2</v>
      </c>
    </row>
    <row r="211" spans="1:23" x14ac:dyDescent="0.25">
      <c r="A211" t="s">
        <v>605</v>
      </c>
      <c r="B211" s="117" t="s">
        <v>497</v>
      </c>
      <c r="C211" s="86">
        <f t="shared" si="6"/>
        <v>4.2144122228623862E-4</v>
      </c>
      <c r="D211" t="s">
        <v>141</v>
      </c>
      <c r="E211" s="86">
        <f t="shared" si="7"/>
        <v>1.8738977072310405E-2</v>
      </c>
      <c r="F211" s="194">
        <v>46863</v>
      </c>
      <c r="G211" s="194">
        <v>4800</v>
      </c>
      <c r="H211" s="80">
        <v>4705</v>
      </c>
      <c r="I211" s="80">
        <v>4640</v>
      </c>
      <c r="J211" s="80">
        <v>4530</v>
      </c>
      <c r="K211" s="80">
        <v>4430</v>
      </c>
      <c r="L211" s="80">
        <v>4375</v>
      </c>
      <c r="M211" s="99" t="s">
        <v>497</v>
      </c>
      <c r="N211" s="194">
        <v>46863</v>
      </c>
      <c r="O211" s="195">
        <v>47.7</v>
      </c>
      <c r="P211" s="195">
        <v>47.8</v>
      </c>
      <c r="Q211" s="195">
        <v>47.8</v>
      </c>
      <c r="R211" s="195">
        <v>47.8</v>
      </c>
      <c r="S211" s="195">
        <v>47.8</v>
      </c>
      <c r="T211" s="195">
        <v>47.8</v>
      </c>
      <c r="U211" s="195">
        <v>47.7</v>
      </c>
      <c r="V211" s="195">
        <v>47.6</v>
      </c>
      <c r="W211" s="195">
        <v>47.1</v>
      </c>
    </row>
    <row r="212" spans="1:23" x14ac:dyDescent="0.25">
      <c r="A212" t="s">
        <v>603</v>
      </c>
      <c r="B212" s="117" t="s">
        <v>365</v>
      </c>
      <c r="C212" s="86">
        <f t="shared" si="6"/>
        <v>8.4361851877775441E-3</v>
      </c>
      <c r="D212" t="s">
        <v>141</v>
      </c>
      <c r="E212" s="86">
        <f t="shared" si="7"/>
        <v>3.6425449247207385E-2</v>
      </c>
      <c r="F212">
        <v>42861</v>
      </c>
      <c r="G212">
        <v>4580</v>
      </c>
      <c r="H212" s="80">
        <v>4455</v>
      </c>
      <c r="I212" s="80">
        <v>4305</v>
      </c>
      <c r="J212" s="80">
        <v>4070</v>
      </c>
      <c r="K212" s="80">
        <v>3930</v>
      </c>
      <c r="L212" s="80">
        <v>3830</v>
      </c>
      <c r="M212" s="99" t="s">
        <v>365</v>
      </c>
      <c r="N212" s="195">
        <v>42861</v>
      </c>
      <c r="O212" s="195">
        <v>43.1</v>
      </c>
      <c r="P212" s="196">
        <v>43.599999999999994</v>
      </c>
      <c r="Q212" s="195">
        <v>44.1</v>
      </c>
      <c r="R212" s="195">
        <v>44.599999999999994</v>
      </c>
      <c r="S212" s="195">
        <v>45.1</v>
      </c>
      <c r="T212" s="195">
        <v>45.400000000000006</v>
      </c>
      <c r="U212" s="195">
        <v>45.8</v>
      </c>
      <c r="V212" s="195">
        <v>46</v>
      </c>
      <c r="W212">
        <v>47.2</v>
      </c>
    </row>
    <row r="213" spans="1:23" x14ac:dyDescent="0.25">
      <c r="A213" t="s">
        <v>599</v>
      </c>
      <c r="B213" s="117" t="s">
        <v>501</v>
      </c>
      <c r="C213" s="86">
        <f t="shared" si="6"/>
        <v>7.5509382992786731E-3</v>
      </c>
      <c r="D213" t="s">
        <v>537</v>
      </c>
      <c r="E213" s="86">
        <f t="shared" si="7"/>
        <v>2.6351658337119492E-2</v>
      </c>
      <c r="F213" s="194">
        <v>23198</v>
      </c>
      <c r="G213" s="194">
        <v>2385</v>
      </c>
      <c r="H213" s="80">
        <v>2285</v>
      </c>
      <c r="I213" s="80">
        <v>2265</v>
      </c>
      <c r="J213" s="80">
        <v>2230</v>
      </c>
      <c r="K213" s="80">
        <v>2130</v>
      </c>
      <c r="L213" s="80">
        <v>2095</v>
      </c>
      <c r="M213" s="99" t="s">
        <v>501</v>
      </c>
      <c r="N213" s="194">
        <v>23198</v>
      </c>
      <c r="O213" s="195">
        <v>23.5</v>
      </c>
      <c r="P213" s="195">
        <v>23.8</v>
      </c>
      <c r="Q213" s="195">
        <v>24</v>
      </c>
      <c r="R213" s="195">
        <v>24.1</v>
      </c>
      <c r="S213" s="195">
        <v>24.3</v>
      </c>
      <c r="T213" s="195">
        <v>24.4</v>
      </c>
      <c r="U213" s="195">
        <v>24.5</v>
      </c>
      <c r="V213" s="195">
        <v>24.7</v>
      </c>
      <c r="W213" s="195">
        <v>25.3</v>
      </c>
    </row>
    <row r="214" spans="1:23" x14ac:dyDescent="0.25">
      <c r="A214" t="s">
        <v>601</v>
      </c>
      <c r="B214" s="117" t="s">
        <v>241</v>
      </c>
      <c r="C214" s="86">
        <f t="shared" si="6"/>
        <v>-5.7152386150021231E-3</v>
      </c>
      <c r="D214" t="s">
        <v>537</v>
      </c>
      <c r="E214" s="86">
        <f t="shared" si="7"/>
        <v>3.6206896551724141E-2</v>
      </c>
      <c r="F214" s="194">
        <v>27485</v>
      </c>
      <c r="G214" s="194">
        <v>2585</v>
      </c>
      <c r="H214" s="80">
        <v>2475</v>
      </c>
      <c r="I214" s="80">
        <v>2405</v>
      </c>
      <c r="J214" s="80">
        <v>2315</v>
      </c>
      <c r="K214" s="80">
        <v>2240</v>
      </c>
      <c r="L214" s="80">
        <v>2165</v>
      </c>
      <c r="M214" s="99" t="s">
        <v>241</v>
      </c>
      <c r="N214" s="194">
        <v>27485</v>
      </c>
      <c r="O214" s="195">
        <v>26.2</v>
      </c>
      <c r="P214" s="195">
        <v>26.2</v>
      </c>
      <c r="Q214" s="195">
        <v>26.2</v>
      </c>
      <c r="R214" s="195">
        <v>26.1</v>
      </c>
      <c r="S214" s="195">
        <v>26.1</v>
      </c>
      <c r="T214" s="195">
        <v>26</v>
      </c>
      <c r="U214" s="195">
        <v>25.9</v>
      </c>
      <c r="V214" s="195">
        <v>25.8</v>
      </c>
      <c r="W214" s="195">
        <v>25.6</v>
      </c>
    </row>
    <row r="215" spans="1:23" x14ac:dyDescent="0.25">
      <c r="A215" t="s">
        <v>603</v>
      </c>
      <c r="B215" s="117" t="s">
        <v>367</v>
      </c>
      <c r="C215" s="86">
        <f t="shared" si="6"/>
        <v>6.3714254529578691E-3</v>
      </c>
      <c r="D215" t="s">
        <v>537</v>
      </c>
      <c r="E215" s="86">
        <f t="shared" si="7"/>
        <v>2.7660853878532773E-2</v>
      </c>
      <c r="F215" s="194">
        <v>24432</v>
      </c>
      <c r="G215" s="194">
        <v>1795</v>
      </c>
      <c r="H215" s="80">
        <v>1735</v>
      </c>
      <c r="I215" s="80">
        <v>1730</v>
      </c>
      <c r="J215" s="80">
        <v>1665</v>
      </c>
      <c r="K215" s="80">
        <v>1620</v>
      </c>
      <c r="L215" s="80">
        <v>1565</v>
      </c>
      <c r="M215" s="99" t="s">
        <v>367</v>
      </c>
      <c r="N215" s="194">
        <v>24432</v>
      </c>
      <c r="O215" s="195">
        <v>24.6</v>
      </c>
      <c r="P215" s="195">
        <v>24.8</v>
      </c>
      <c r="Q215" s="195">
        <v>25</v>
      </c>
      <c r="R215" s="195">
        <v>25.2</v>
      </c>
      <c r="S215" s="195">
        <v>25.3</v>
      </c>
      <c r="T215" s="195">
        <v>25.5</v>
      </c>
      <c r="U215" s="195">
        <v>25.6</v>
      </c>
      <c r="V215" s="195">
        <v>25.8</v>
      </c>
      <c r="W215" s="195">
        <v>26.3</v>
      </c>
    </row>
    <row r="216" spans="1:23" x14ac:dyDescent="0.25">
      <c r="A216" t="s">
        <v>599</v>
      </c>
      <c r="B216" s="117" t="s">
        <v>440</v>
      </c>
      <c r="C216" s="86">
        <f t="shared" si="6"/>
        <v>3.2658685420804926E-4</v>
      </c>
      <c r="D216" t="s">
        <v>537</v>
      </c>
      <c r="E216" s="86">
        <f t="shared" si="7"/>
        <v>3.3298097251585626E-2</v>
      </c>
      <c r="F216" s="194">
        <v>18627</v>
      </c>
      <c r="G216" s="194">
        <v>2110</v>
      </c>
      <c r="H216" s="80">
        <v>2025</v>
      </c>
      <c r="I216" s="80">
        <v>1950</v>
      </c>
      <c r="J216" s="80">
        <v>1875</v>
      </c>
      <c r="K216" s="80">
        <v>1815</v>
      </c>
      <c r="L216" s="80">
        <v>1795</v>
      </c>
      <c r="M216" s="99" t="s">
        <v>440</v>
      </c>
      <c r="N216" s="194">
        <v>18627</v>
      </c>
      <c r="O216" s="195">
        <v>18.399999999999999</v>
      </c>
      <c r="P216" s="195">
        <v>18.399999999999999</v>
      </c>
      <c r="Q216" s="195">
        <v>18.399999999999999</v>
      </c>
      <c r="R216" s="195">
        <v>18.399999999999999</v>
      </c>
      <c r="S216" s="195">
        <v>18.399999999999999</v>
      </c>
      <c r="T216" s="195">
        <v>18.5</v>
      </c>
      <c r="U216" s="195">
        <v>18.5</v>
      </c>
      <c r="V216" s="195">
        <v>18.5</v>
      </c>
      <c r="W216" s="195">
        <v>18.7</v>
      </c>
    </row>
    <row r="217" spans="1:23" x14ac:dyDescent="0.25">
      <c r="A217" t="s">
        <v>599</v>
      </c>
      <c r="B217" s="117" t="s">
        <v>441</v>
      </c>
      <c r="C217" s="86">
        <f t="shared" si="6"/>
        <v>-2.9597877117779137E-3</v>
      </c>
      <c r="D217" t="s">
        <v>537</v>
      </c>
      <c r="E217" s="86">
        <f t="shared" si="7"/>
        <v>2.6539278131634821E-2</v>
      </c>
      <c r="F217" s="194">
        <v>26128</v>
      </c>
      <c r="G217" s="194">
        <v>3085</v>
      </c>
      <c r="H217" s="80">
        <v>2975</v>
      </c>
      <c r="I217" s="80">
        <v>2885</v>
      </c>
      <c r="J217" s="80">
        <v>2820</v>
      </c>
      <c r="K217" s="80">
        <v>2740</v>
      </c>
      <c r="L217" s="80">
        <v>2710</v>
      </c>
      <c r="M217" s="99" t="s">
        <v>441</v>
      </c>
      <c r="N217" s="194">
        <v>26128</v>
      </c>
      <c r="O217" s="195">
        <v>26</v>
      </c>
      <c r="P217" s="195">
        <v>26</v>
      </c>
      <c r="Q217" s="195">
        <v>25.9</v>
      </c>
      <c r="R217" s="195">
        <v>25.8</v>
      </c>
      <c r="S217" s="195">
        <v>25.8</v>
      </c>
      <c r="T217" s="195">
        <v>25.6</v>
      </c>
      <c r="U217" s="195">
        <v>25.6</v>
      </c>
      <c r="V217" s="195">
        <v>25.5</v>
      </c>
      <c r="W217" s="195">
        <v>25.2</v>
      </c>
    </row>
    <row r="218" spans="1:23" x14ac:dyDescent="0.25">
      <c r="A218" t="s">
        <v>607</v>
      </c>
      <c r="B218" s="117" t="s">
        <v>156</v>
      </c>
      <c r="C218" s="86">
        <f t="shared" si="6"/>
        <v>-9.203151368886791E-4</v>
      </c>
      <c r="D218" t="s">
        <v>509</v>
      </c>
      <c r="E218" s="86">
        <f t="shared" si="7"/>
        <v>1.735270379338176E-2</v>
      </c>
      <c r="F218" s="194">
        <v>38121</v>
      </c>
      <c r="G218" s="194">
        <v>2655</v>
      </c>
      <c r="H218" s="80">
        <v>2555</v>
      </c>
      <c r="I218" s="80">
        <v>2530</v>
      </c>
      <c r="J218" s="80">
        <v>2460</v>
      </c>
      <c r="K218" s="80">
        <v>2405</v>
      </c>
      <c r="L218" s="80">
        <v>2440</v>
      </c>
      <c r="M218" s="99" t="s">
        <v>156</v>
      </c>
      <c r="N218" s="194">
        <v>38121</v>
      </c>
      <c r="O218" s="195">
        <v>38</v>
      </c>
      <c r="P218" s="195">
        <v>38</v>
      </c>
      <c r="Q218" s="195">
        <v>38</v>
      </c>
      <c r="R218" s="195">
        <v>38</v>
      </c>
      <c r="S218" s="195">
        <v>38</v>
      </c>
      <c r="T218" s="195">
        <v>38</v>
      </c>
      <c r="U218" s="195">
        <v>38</v>
      </c>
      <c r="V218" s="195">
        <v>38.1</v>
      </c>
      <c r="W218" s="195">
        <v>37.700000000000003</v>
      </c>
    </row>
    <row r="219" spans="1:23" x14ac:dyDescent="0.25">
      <c r="A219" t="s">
        <v>601</v>
      </c>
      <c r="B219" s="117" t="s">
        <v>242</v>
      </c>
      <c r="C219" s="86">
        <f t="shared" si="6"/>
        <v>2.1403746715266594E-3</v>
      </c>
      <c r="D219" t="s">
        <v>537</v>
      </c>
      <c r="E219" s="86">
        <f t="shared" si="7"/>
        <v>3.5306898424769147E-2</v>
      </c>
      <c r="F219" s="194">
        <v>23594</v>
      </c>
      <c r="G219" s="194">
        <v>2010</v>
      </c>
      <c r="H219" s="80">
        <v>1965</v>
      </c>
      <c r="I219" s="80">
        <v>1930</v>
      </c>
      <c r="J219" s="80">
        <v>1880</v>
      </c>
      <c r="K219" s="80">
        <v>1745</v>
      </c>
      <c r="L219" s="80">
        <v>1685</v>
      </c>
      <c r="M219" s="99" t="s">
        <v>242</v>
      </c>
      <c r="N219" s="194">
        <v>23594</v>
      </c>
      <c r="O219" s="195">
        <v>23.6</v>
      </c>
      <c r="P219" s="195">
        <v>23.6</v>
      </c>
      <c r="Q219" s="195">
        <v>23.6</v>
      </c>
      <c r="R219" s="195">
        <v>23.7</v>
      </c>
      <c r="S219" s="195">
        <v>23.8</v>
      </c>
      <c r="T219" s="195">
        <v>23.9</v>
      </c>
      <c r="U219" s="195">
        <v>24</v>
      </c>
      <c r="V219" s="195">
        <v>24.1</v>
      </c>
      <c r="W219" s="195">
        <v>24.2</v>
      </c>
    </row>
    <row r="220" spans="1:23" x14ac:dyDescent="0.25">
      <c r="A220" t="s">
        <v>604</v>
      </c>
      <c r="B220" s="117" t="s">
        <v>197</v>
      </c>
      <c r="C220" s="86">
        <f t="shared" si="6"/>
        <v>3.2569455344529899E-3</v>
      </c>
      <c r="D220" t="s">
        <v>141</v>
      </c>
      <c r="E220" s="86">
        <f t="shared" si="7"/>
        <v>2.0678246484698098E-2</v>
      </c>
      <c r="F220" s="194">
        <v>31855</v>
      </c>
      <c r="G220" s="194">
        <v>2580</v>
      </c>
      <c r="H220" s="80">
        <v>2470</v>
      </c>
      <c r="I220" s="80">
        <v>2480</v>
      </c>
      <c r="J220" s="80">
        <v>2450</v>
      </c>
      <c r="K220" s="80">
        <v>2360</v>
      </c>
      <c r="L220" s="80">
        <v>2330</v>
      </c>
      <c r="M220" s="99" t="s">
        <v>197</v>
      </c>
      <c r="N220" s="194">
        <v>31855</v>
      </c>
      <c r="O220" s="195">
        <v>32.700000000000003</v>
      </c>
      <c r="P220" s="195">
        <v>32.799999999999997</v>
      </c>
      <c r="Q220" s="195">
        <v>32.9</v>
      </c>
      <c r="R220" s="195">
        <v>33.1</v>
      </c>
      <c r="S220" s="195">
        <v>33.200000000000003</v>
      </c>
      <c r="T220" s="195">
        <v>33.200000000000003</v>
      </c>
      <c r="U220" s="195">
        <v>33.200000000000003</v>
      </c>
      <c r="V220" s="195">
        <v>33.200000000000003</v>
      </c>
      <c r="W220" s="195">
        <v>33.1</v>
      </c>
    </row>
    <row r="221" spans="1:23" x14ac:dyDescent="0.25">
      <c r="A221" t="s">
        <v>604</v>
      </c>
      <c r="B221" s="117" t="s">
        <v>198</v>
      </c>
      <c r="C221" s="86">
        <f t="shared" si="6"/>
        <v>1.9877506595089192E-3</v>
      </c>
      <c r="D221" t="s">
        <v>537</v>
      </c>
      <c r="E221" s="86">
        <f t="shared" si="7"/>
        <v>3.2918800292611558E-2</v>
      </c>
      <c r="F221" s="194">
        <v>18069</v>
      </c>
      <c r="G221" s="194">
        <v>1505</v>
      </c>
      <c r="H221" s="80">
        <v>1465</v>
      </c>
      <c r="I221" s="80">
        <v>1415</v>
      </c>
      <c r="J221" s="80">
        <v>1365</v>
      </c>
      <c r="K221" s="80">
        <v>1310</v>
      </c>
      <c r="L221" s="80">
        <v>1280</v>
      </c>
      <c r="M221" s="99" t="s">
        <v>198</v>
      </c>
      <c r="N221" s="194">
        <v>18069</v>
      </c>
      <c r="O221" s="195">
        <v>18.2</v>
      </c>
      <c r="P221" s="195">
        <v>18.3</v>
      </c>
      <c r="Q221" s="195">
        <v>18.3</v>
      </c>
      <c r="R221" s="195">
        <v>18.3</v>
      </c>
      <c r="S221" s="195">
        <v>18.3</v>
      </c>
      <c r="T221" s="195">
        <v>18.399999999999999</v>
      </c>
      <c r="U221" s="195">
        <v>18.399999999999999</v>
      </c>
      <c r="V221" s="195">
        <v>18.399999999999999</v>
      </c>
      <c r="W221" s="195">
        <v>18.5</v>
      </c>
    </row>
    <row r="222" spans="1:23" x14ac:dyDescent="0.25">
      <c r="A222" t="s">
        <v>604</v>
      </c>
      <c r="B222" s="117" t="s">
        <v>199</v>
      </c>
      <c r="C222" s="86">
        <f t="shared" si="6"/>
        <v>1.0210286056388093E-2</v>
      </c>
      <c r="D222" t="s">
        <v>537</v>
      </c>
      <c r="E222" s="86">
        <f t="shared" si="7"/>
        <v>2.3884349465744813E-2</v>
      </c>
      <c r="F222" s="194">
        <v>17817</v>
      </c>
      <c r="G222" s="194">
        <v>1710</v>
      </c>
      <c r="H222" s="80">
        <v>1675</v>
      </c>
      <c r="I222" s="80">
        <v>1635</v>
      </c>
      <c r="J222" s="80">
        <v>1600</v>
      </c>
      <c r="K222" s="80">
        <v>1525</v>
      </c>
      <c r="L222" s="80">
        <v>1520</v>
      </c>
      <c r="M222" s="99" t="s">
        <v>199</v>
      </c>
      <c r="N222" s="194">
        <v>17817</v>
      </c>
      <c r="O222" s="195">
        <v>18.8</v>
      </c>
      <c r="P222" s="195">
        <v>19</v>
      </c>
      <c r="Q222" s="195">
        <v>19.100000000000001</v>
      </c>
      <c r="R222" s="195">
        <v>19.3</v>
      </c>
      <c r="S222" s="195">
        <v>19.3</v>
      </c>
      <c r="T222" s="195">
        <v>19.5</v>
      </c>
      <c r="U222" s="195">
        <v>19.600000000000001</v>
      </c>
      <c r="V222" s="195">
        <v>19.7</v>
      </c>
      <c r="W222" s="195">
        <v>20</v>
      </c>
    </row>
    <row r="223" spans="1:23" x14ac:dyDescent="0.25">
      <c r="A223" t="s">
        <v>601</v>
      </c>
      <c r="B223" s="117" t="s">
        <v>243</v>
      </c>
      <c r="C223" s="86">
        <f t="shared" si="6"/>
        <v>-5.8922558922558923E-3</v>
      </c>
      <c r="D223" t="s">
        <v>141</v>
      </c>
      <c r="E223" s="86">
        <f t="shared" si="7"/>
        <v>2.4449877750611249E-2</v>
      </c>
      <c r="F223" s="194">
        <v>29700</v>
      </c>
      <c r="G223" s="194">
        <v>2660</v>
      </c>
      <c r="H223" s="80">
        <v>2575</v>
      </c>
      <c r="I223" s="80">
        <v>2520</v>
      </c>
      <c r="J223" s="80">
        <v>2445</v>
      </c>
      <c r="K223" s="80">
        <v>2370</v>
      </c>
      <c r="L223" s="80">
        <v>2360</v>
      </c>
      <c r="M223" s="99" t="s">
        <v>243</v>
      </c>
      <c r="N223" s="194">
        <v>29700</v>
      </c>
      <c r="O223" s="195">
        <v>29.1</v>
      </c>
      <c r="P223" s="195">
        <v>29</v>
      </c>
      <c r="Q223" s="195">
        <v>28.8</v>
      </c>
      <c r="R223" s="195">
        <v>28.7</v>
      </c>
      <c r="S223" s="195">
        <v>28.5</v>
      </c>
      <c r="T223" s="195">
        <v>28.4</v>
      </c>
      <c r="U223" s="195">
        <v>28.2</v>
      </c>
      <c r="V223" s="195">
        <v>28.1</v>
      </c>
      <c r="W223" s="195">
        <v>27.6</v>
      </c>
    </row>
    <row r="224" spans="1:23" x14ac:dyDescent="0.25">
      <c r="A224" t="s">
        <v>599</v>
      </c>
      <c r="B224" s="117" t="s">
        <v>442</v>
      </c>
      <c r="C224" s="86">
        <f t="shared" si="6"/>
        <v>1.03398669304082E-3</v>
      </c>
      <c r="D224" t="s">
        <v>141</v>
      </c>
      <c r="E224" s="86">
        <f t="shared" si="7"/>
        <v>2.839047827036471E-2</v>
      </c>
      <c r="F224" s="194">
        <v>55610</v>
      </c>
      <c r="G224" s="194">
        <v>4950</v>
      </c>
      <c r="H224" s="80">
        <v>4775</v>
      </c>
      <c r="I224" s="80">
        <v>4720</v>
      </c>
      <c r="J224" s="80">
        <v>4620</v>
      </c>
      <c r="K224" s="80">
        <v>4480</v>
      </c>
      <c r="L224" s="80">
        <v>4300</v>
      </c>
      <c r="M224" s="99" t="s">
        <v>442</v>
      </c>
      <c r="N224" s="194">
        <v>55610</v>
      </c>
      <c r="O224" s="195">
        <v>54.4</v>
      </c>
      <c r="P224" s="195">
        <v>54.7</v>
      </c>
      <c r="Q224" s="195">
        <v>54.9</v>
      </c>
      <c r="R224" s="195">
        <v>55</v>
      </c>
      <c r="S224" s="195">
        <v>55.2</v>
      </c>
      <c r="T224" s="195">
        <v>55.3</v>
      </c>
      <c r="U224" s="195">
        <v>55.4</v>
      </c>
      <c r="V224" s="195">
        <v>55.6</v>
      </c>
      <c r="W224" s="195">
        <v>56.3</v>
      </c>
    </row>
    <row r="225" spans="1:23" x14ac:dyDescent="0.25">
      <c r="A225" t="s">
        <v>602</v>
      </c>
      <c r="B225" s="117" t="s">
        <v>177</v>
      </c>
      <c r="C225" s="86">
        <f t="shared" si="6"/>
        <v>-4.5689858028080633E-3</v>
      </c>
      <c r="D225" t="s">
        <v>141</v>
      </c>
      <c r="E225" s="86">
        <f t="shared" si="7"/>
        <v>2.0299661672305461E-2</v>
      </c>
      <c r="F225" s="194">
        <v>25498</v>
      </c>
      <c r="G225" s="194">
        <v>2230</v>
      </c>
      <c r="H225" s="80">
        <v>2155</v>
      </c>
      <c r="I225" s="80">
        <v>2120</v>
      </c>
      <c r="J225" s="80">
        <v>2035</v>
      </c>
      <c r="K225" s="80">
        <v>2015</v>
      </c>
      <c r="L225" s="80">
        <v>2020</v>
      </c>
      <c r="M225" s="99" t="s">
        <v>177</v>
      </c>
      <c r="N225" s="194">
        <v>25498</v>
      </c>
      <c r="O225" s="195">
        <v>24.6</v>
      </c>
      <c r="P225" s="195">
        <v>24.5</v>
      </c>
      <c r="Q225" s="195">
        <v>24.4</v>
      </c>
      <c r="R225" s="195">
        <v>24.3</v>
      </c>
      <c r="S225" s="195">
        <v>24.2</v>
      </c>
      <c r="T225" s="195">
        <v>24.1</v>
      </c>
      <c r="U225" s="195">
        <v>24.1</v>
      </c>
      <c r="V225" s="195">
        <v>24.1</v>
      </c>
      <c r="W225" s="195">
        <v>24.1</v>
      </c>
    </row>
    <row r="226" spans="1:23" x14ac:dyDescent="0.25">
      <c r="A226" t="s">
        <v>600</v>
      </c>
      <c r="B226" s="117" t="s">
        <v>316</v>
      </c>
      <c r="C226" s="86">
        <f t="shared" si="6"/>
        <v>1.0635571501793952E-2</v>
      </c>
      <c r="D226" t="s">
        <v>537</v>
      </c>
      <c r="E226" s="86">
        <f t="shared" si="7"/>
        <v>4.3586550435865505E-2</v>
      </c>
      <c r="F226" s="194">
        <v>9755</v>
      </c>
      <c r="G226" s="194">
        <v>920</v>
      </c>
      <c r="H226" s="80">
        <v>875</v>
      </c>
      <c r="I226" s="80">
        <v>850</v>
      </c>
      <c r="J226" s="80">
        <v>800</v>
      </c>
      <c r="K226" s="80">
        <v>745</v>
      </c>
      <c r="L226" s="80">
        <v>745</v>
      </c>
      <c r="M226" s="99" t="s">
        <v>316</v>
      </c>
      <c r="N226" s="194">
        <v>9755</v>
      </c>
      <c r="O226" s="195">
        <v>10.1</v>
      </c>
      <c r="P226" s="195">
        <v>10.3</v>
      </c>
      <c r="Q226" s="195">
        <v>10.4</v>
      </c>
      <c r="R226" s="195">
        <v>10.5</v>
      </c>
      <c r="S226" s="195">
        <v>10.4</v>
      </c>
      <c r="T226" s="195">
        <v>10.4</v>
      </c>
      <c r="U226" s="195">
        <v>10.6</v>
      </c>
      <c r="V226" s="195">
        <v>10.7</v>
      </c>
      <c r="W226" s="195">
        <v>11</v>
      </c>
    </row>
    <row r="227" spans="1:23" x14ac:dyDescent="0.25">
      <c r="A227" t="s">
        <v>600</v>
      </c>
      <c r="B227" s="117" t="s">
        <v>317</v>
      </c>
      <c r="C227" s="86">
        <f t="shared" si="6"/>
        <v>1.5635169935195405E-3</v>
      </c>
      <c r="D227" t="s">
        <v>537</v>
      </c>
      <c r="E227" s="86">
        <f t="shared" si="7"/>
        <v>2.5067144136078783E-2</v>
      </c>
      <c r="F227" s="194">
        <v>11779</v>
      </c>
      <c r="G227" s="194">
        <v>1220</v>
      </c>
      <c r="H227" s="80">
        <v>1160</v>
      </c>
      <c r="I227" s="80">
        <v>1150</v>
      </c>
      <c r="J227" s="80">
        <v>1105</v>
      </c>
      <c r="K227" s="80">
        <v>1090</v>
      </c>
      <c r="L227" s="80">
        <v>1080</v>
      </c>
      <c r="M227" s="99" t="s">
        <v>317</v>
      </c>
      <c r="N227" s="194">
        <v>11779</v>
      </c>
      <c r="O227" s="195">
        <v>11.5</v>
      </c>
      <c r="P227" s="195">
        <v>11.6</v>
      </c>
      <c r="Q227" s="195">
        <v>11.6</v>
      </c>
      <c r="R227" s="195">
        <v>11.7</v>
      </c>
      <c r="S227" s="195">
        <v>11.8</v>
      </c>
      <c r="T227" s="195">
        <v>11.8</v>
      </c>
      <c r="U227" s="195">
        <v>11.9</v>
      </c>
      <c r="V227" s="195">
        <v>11.9</v>
      </c>
      <c r="W227" s="195">
        <v>12</v>
      </c>
    </row>
    <row r="228" spans="1:23" x14ac:dyDescent="0.25">
      <c r="A228" t="s">
        <v>602</v>
      </c>
      <c r="B228" s="117" t="s">
        <v>178</v>
      </c>
      <c r="C228" s="86">
        <f t="shared" si="6"/>
        <v>2.3837568007179313E-4</v>
      </c>
      <c r="D228" t="s">
        <v>141</v>
      </c>
      <c r="E228" s="86">
        <f t="shared" si="7"/>
        <v>2.8253083963390369E-2</v>
      </c>
      <c r="F228" s="194">
        <v>29715</v>
      </c>
      <c r="G228" s="194">
        <v>2715</v>
      </c>
      <c r="H228" s="80">
        <v>2660</v>
      </c>
      <c r="I228" s="80">
        <v>2600</v>
      </c>
      <c r="J228" s="80">
        <v>2510</v>
      </c>
      <c r="K228" s="80">
        <v>2435</v>
      </c>
      <c r="L228" s="80">
        <v>2360</v>
      </c>
      <c r="M228" s="99" t="s">
        <v>178</v>
      </c>
      <c r="N228" s="194">
        <v>29715</v>
      </c>
      <c r="O228" s="195">
        <v>29.9</v>
      </c>
      <c r="P228" s="195">
        <v>29.9</v>
      </c>
      <c r="Q228" s="195">
        <v>29.9</v>
      </c>
      <c r="R228" s="195">
        <v>29.8</v>
      </c>
      <c r="S228" s="195">
        <v>29.8</v>
      </c>
      <c r="T228" s="195">
        <v>29.8</v>
      </c>
      <c r="U228" s="195">
        <v>29.8</v>
      </c>
      <c r="V228" s="195">
        <v>29.7</v>
      </c>
      <c r="W228" s="195">
        <v>29.8</v>
      </c>
    </row>
    <row r="229" spans="1:23" x14ac:dyDescent="0.25">
      <c r="A229" t="s">
        <v>599</v>
      </c>
      <c r="B229" s="117" t="s">
        <v>443</v>
      </c>
      <c r="C229" s="86">
        <f t="shared" si="6"/>
        <v>1.0599283295237888E-3</v>
      </c>
      <c r="D229" t="s">
        <v>509</v>
      </c>
      <c r="E229" s="86">
        <f t="shared" si="7"/>
        <v>2.7293716673080094E-2</v>
      </c>
      <c r="F229" s="194">
        <v>91437</v>
      </c>
      <c r="G229" s="194">
        <v>8005</v>
      </c>
      <c r="H229" s="80">
        <v>7765</v>
      </c>
      <c r="I229" s="80">
        <v>7590</v>
      </c>
      <c r="J229" s="90">
        <v>7370</v>
      </c>
      <c r="K229" s="90">
        <v>6645</v>
      </c>
      <c r="L229" s="90">
        <v>7012</v>
      </c>
      <c r="M229" s="99" t="s">
        <v>443</v>
      </c>
      <c r="N229" s="194">
        <v>91437</v>
      </c>
      <c r="O229" s="195">
        <v>91.2</v>
      </c>
      <c r="P229" s="195">
        <v>91.7</v>
      </c>
      <c r="Q229" s="195">
        <v>92</v>
      </c>
      <c r="R229" s="195">
        <v>92.3</v>
      </c>
      <c r="S229" s="195">
        <v>92.5</v>
      </c>
      <c r="T229" s="195">
        <v>92.7</v>
      </c>
      <c r="U229" s="195">
        <v>92.8</v>
      </c>
      <c r="V229" s="195">
        <v>92.8</v>
      </c>
      <c r="W229" s="195">
        <v>92.6</v>
      </c>
    </row>
    <row r="230" spans="1:23" x14ac:dyDescent="0.25">
      <c r="A230" t="s">
        <v>601</v>
      </c>
      <c r="B230" s="117" t="s">
        <v>244</v>
      </c>
      <c r="C230" s="86">
        <f t="shared" si="6"/>
        <v>-4.7767472505194867E-3</v>
      </c>
      <c r="D230" t="s">
        <v>141</v>
      </c>
      <c r="E230" s="86">
        <f t="shared" si="7"/>
        <v>2.3452768729641693E-2</v>
      </c>
      <c r="F230" s="194">
        <v>39462</v>
      </c>
      <c r="G230" s="194">
        <v>3285</v>
      </c>
      <c r="H230" s="80">
        <v>3235</v>
      </c>
      <c r="I230" s="80">
        <v>3155</v>
      </c>
      <c r="J230" s="80">
        <v>3075</v>
      </c>
      <c r="K230" s="80">
        <v>2960</v>
      </c>
      <c r="L230" s="80">
        <v>2925</v>
      </c>
      <c r="M230" s="99" t="s">
        <v>244</v>
      </c>
      <c r="N230" s="194">
        <v>39462</v>
      </c>
      <c r="O230" s="195">
        <v>39.1</v>
      </c>
      <c r="P230" s="195">
        <v>39.1</v>
      </c>
      <c r="Q230" s="195">
        <v>38.9</v>
      </c>
      <c r="R230" s="195">
        <v>38.799999999999997</v>
      </c>
      <c r="S230" s="195">
        <v>38.5</v>
      </c>
      <c r="T230" s="195">
        <v>38.299999999999997</v>
      </c>
      <c r="U230" s="195">
        <v>38.1</v>
      </c>
      <c r="V230" s="195">
        <v>37.9</v>
      </c>
      <c r="W230" s="195">
        <v>37.200000000000003</v>
      </c>
    </row>
    <row r="231" spans="1:23" x14ac:dyDescent="0.25">
      <c r="A231" t="s">
        <v>600</v>
      </c>
      <c r="B231" s="117" t="s">
        <v>318</v>
      </c>
      <c r="C231" s="86">
        <f t="shared" si="6"/>
        <v>2.1469637082285303E-2</v>
      </c>
      <c r="D231" t="s">
        <v>537</v>
      </c>
      <c r="E231" s="86">
        <f t="shared" si="7"/>
        <v>3.4957020057306588E-2</v>
      </c>
      <c r="F231" s="194">
        <v>13915</v>
      </c>
      <c r="G231" s="194">
        <v>1955</v>
      </c>
      <c r="H231" s="80">
        <v>1865</v>
      </c>
      <c r="I231" s="80">
        <v>1795</v>
      </c>
      <c r="J231" s="80">
        <v>1755</v>
      </c>
      <c r="K231" s="80">
        <v>1660</v>
      </c>
      <c r="L231" s="80">
        <v>1650</v>
      </c>
      <c r="M231" s="99" t="s">
        <v>318</v>
      </c>
      <c r="N231" s="194">
        <v>13915</v>
      </c>
      <c r="O231" s="195">
        <v>14.4</v>
      </c>
      <c r="P231" s="195">
        <v>14.6</v>
      </c>
      <c r="Q231" s="195">
        <v>14.7</v>
      </c>
      <c r="R231" s="195">
        <v>15</v>
      </c>
      <c r="S231" s="195">
        <v>15.2</v>
      </c>
      <c r="T231" s="195">
        <v>15.6</v>
      </c>
      <c r="U231" s="195">
        <v>15.9</v>
      </c>
      <c r="V231" s="195">
        <v>16.2</v>
      </c>
      <c r="W231" s="195">
        <v>17.5</v>
      </c>
    </row>
    <row r="232" spans="1:23" x14ac:dyDescent="0.25">
      <c r="A232" t="s">
        <v>606</v>
      </c>
      <c r="B232" s="117" t="s">
        <v>274</v>
      </c>
      <c r="C232" s="86">
        <f t="shared" si="6"/>
        <v>-1.6259764029153184E-3</v>
      </c>
      <c r="D232" t="s">
        <v>537</v>
      </c>
      <c r="E232" s="86">
        <f t="shared" si="7"/>
        <v>3.4001743679163032E-2</v>
      </c>
      <c r="F232" s="194">
        <v>10199</v>
      </c>
      <c r="G232" s="194">
        <v>1270</v>
      </c>
      <c r="H232" s="80">
        <v>1215</v>
      </c>
      <c r="I232" s="80">
        <v>1185</v>
      </c>
      <c r="J232" s="80">
        <v>1155</v>
      </c>
      <c r="K232" s="80">
        <v>1105</v>
      </c>
      <c r="L232" s="80">
        <v>1075</v>
      </c>
      <c r="M232" s="99" t="s">
        <v>274</v>
      </c>
      <c r="N232" s="194">
        <v>10199</v>
      </c>
      <c r="O232" s="195">
        <v>10.1</v>
      </c>
      <c r="P232" s="195">
        <v>10.1</v>
      </c>
      <c r="Q232" s="195">
        <v>10.1</v>
      </c>
      <c r="R232" s="195">
        <v>10.1</v>
      </c>
      <c r="S232" s="195">
        <v>10.1</v>
      </c>
      <c r="T232" s="195">
        <v>10.1</v>
      </c>
      <c r="U232" s="195">
        <v>10.1</v>
      </c>
      <c r="V232" s="195">
        <v>10.1</v>
      </c>
      <c r="W232" s="195">
        <v>10</v>
      </c>
    </row>
    <row r="233" spans="1:23" x14ac:dyDescent="0.25">
      <c r="A233" t="s">
        <v>601</v>
      </c>
      <c r="B233" s="117" t="s">
        <v>245</v>
      </c>
      <c r="C233" s="86">
        <f t="shared" si="6"/>
        <v>-2.314230413195321E-4</v>
      </c>
      <c r="D233" t="s">
        <v>537</v>
      </c>
      <c r="E233" s="86">
        <f t="shared" si="7"/>
        <v>3.4116755117513269E-2</v>
      </c>
      <c r="F233" s="194">
        <v>47532</v>
      </c>
      <c r="G233" s="194">
        <v>4360</v>
      </c>
      <c r="H233" s="80">
        <v>4230</v>
      </c>
      <c r="I233" s="80">
        <v>4130</v>
      </c>
      <c r="J233" s="80">
        <v>3940</v>
      </c>
      <c r="K233" s="80">
        <v>3800</v>
      </c>
      <c r="L233" s="80">
        <v>3685</v>
      </c>
      <c r="M233" s="99" t="s">
        <v>245</v>
      </c>
      <c r="N233" s="194">
        <v>47532</v>
      </c>
      <c r="O233" s="195">
        <v>47.2</v>
      </c>
      <c r="P233" s="195">
        <v>47.2</v>
      </c>
      <c r="Q233" s="195">
        <v>47.3</v>
      </c>
      <c r="R233" s="195">
        <v>47.3</v>
      </c>
      <c r="S233" s="195">
        <v>47.3</v>
      </c>
      <c r="T233" s="195">
        <v>47.4</v>
      </c>
      <c r="U233" s="195">
        <v>47.4</v>
      </c>
      <c r="V233" s="195">
        <v>47.4</v>
      </c>
      <c r="W233" s="195">
        <v>47.4</v>
      </c>
    </row>
    <row r="234" spans="1:23" x14ac:dyDescent="0.25">
      <c r="A234" t="s">
        <v>603</v>
      </c>
      <c r="B234" s="117" t="s">
        <v>369</v>
      </c>
      <c r="C234" s="86">
        <f t="shared" si="6"/>
        <v>-1.0141516737373424E-3</v>
      </c>
      <c r="D234" t="s">
        <v>537</v>
      </c>
      <c r="E234" s="86">
        <f t="shared" si="7"/>
        <v>2.6728110599078342E-2</v>
      </c>
      <c r="F234" s="194">
        <v>32293</v>
      </c>
      <c r="G234" s="194">
        <v>2330</v>
      </c>
      <c r="H234" s="80">
        <v>2275</v>
      </c>
      <c r="I234" s="80">
        <v>2230</v>
      </c>
      <c r="J234" s="80">
        <v>2175</v>
      </c>
      <c r="K234" s="80">
        <v>2130</v>
      </c>
      <c r="L234" s="80">
        <v>2040</v>
      </c>
      <c r="M234" s="99" t="s">
        <v>369</v>
      </c>
      <c r="N234" s="194">
        <v>32293</v>
      </c>
      <c r="O234" s="195">
        <v>32.4</v>
      </c>
      <c r="P234" s="195">
        <v>32.299999999999997</v>
      </c>
      <c r="Q234" s="195">
        <v>32.299999999999997</v>
      </c>
      <c r="R234" s="195">
        <v>32.299999999999997</v>
      </c>
      <c r="S234" s="195">
        <v>32.299999999999997</v>
      </c>
      <c r="T234" s="195">
        <v>32.299999999999997</v>
      </c>
      <c r="U234" s="195">
        <v>32.200000000000003</v>
      </c>
      <c r="V234" s="195">
        <v>32.200000000000003</v>
      </c>
      <c r="W234" s="195">
        <v>31.9</v>
      </c>
    </row>
    <row r="235" spans="1:23" x14ac:dyDescent="0.25">
      <c r="A235" t="s">
        <v>608</v>
      </c>
      <c r="B235" s="117" t="s">
        <v>481</v>
      </c>
      <c r="C235" s="86">
        <f t="shared" si="6"/>
        <v>-5.216149861851877E-3</v>
      </c>
      <c r="D235" t="s">
        <v>537</v>
      </c>
      <c r="E235" s="86">
        <f t="shared" si="7"/>
        <v>2.1669106881405564E-2</v>
      </c>
      <c r="F235" s="194">
        <v>43311</v>
      </c>
      <c r="G235" s="194">
        <v>3660</v>
      </c>
      <c r="H235" s="80">
        <v>3540</v>
      </c>
      <c r="I235" s="80">
        <v>3485</v>
      </c>
      <c r="J235" s="80">
        <v>3430</v>
      </c>
      <c r="K235" s="80">
        <v>3330</v>
      </c>
      <c r="L235" s="80">
        <v>3290</v>
      </c>
      <c r="M235" s="99" t="s">
        <v>481</v>
      </c>
      <c r="N235" s="194">
        <v>43311</v>
      </c>
      <c r="O235" s="195">
        <v>42.8</v>
      </c>
      <c r="P235" s="195">
        <v>42.7</v>
      </c>
      <c r="Q235" s="195">
        <v>42.5</v>
      </c>
      <c r="R235" s="195">
        <v>42.3</v>
      </c>
      <c r="S235" s="195">
        <v>42.2</v>
      </c>
      <c r="T235" s="195">
        <v>42</v>
      </c>
      <c r="U235" s="195">
        <v>41.8</v>
      </c>
      <c r="V235" s="195">
        <v>41.5</v>
      </c>
      <c r="W235" s="195">
        <v>40.6</v>
      </c>
    </row>
    <row r="236" spans="1:23" x14ac:dyDescent="0.25">
      <c r="A236" t="s">
        <v>607</v>
      </c>
      <c r="B236" s="117" t="s">
        <v>157</v>
      </c>
      <c r="C236" s="86">
        <f t="shared" si="6"/>
        <v>-4.8264656890854973E-3</v>
      </c>
      <c r="D236" t="s">
        <v>509</v>
      </c>
      <c r="E236" s="86">
        <f t="shared" si="7"/>
        <v>1.8779342723004695E-2</v>
      </c>
      <c r="F236" s="194">
        <v>12207</v>
      </c>
      <c r="G236" s="194">
        <v>680</v>
      </c>
      <c r="H236" s="80">
        <v>650</v>
      </c>
      <c r="I236" s="80">
        <v>655</v>
      </c>
      <c r="J236" s="80">
        <v>650</v>
      </c>
      <c r="K236" s="80">
        <v>620</v>
      </c>
      <c r="L236" s="80">
        <v>620</v>
      </c>
      <c r="M236" s="99" t="s">
        <v>157</v>
      </c>
      <c r="N236" s="194">
        <v>12207</v>
      </c>
      <c r="O236" s="195">
        <v>12.6</v>
      </c>
      <c r="P236" s="195">
        <v>12.3</v>
      </c>
      <c r="Q236" s="195">
        <v>12.1</v>
      </c>
      <c r="R236" s="195">
        <v>12</v>
      </c>
      <c r="S236" s="195">
        <v>11.9</v>
      </c>
      <c r="T236" s="195">
        <v>11.8</v>
      </c>
      <c r="U236" s="195">
        <v>11.8</v>
      </c>
      <c r="V236" s="195">
        <v>11.7</v>
      </c>
      <c r="W236" s="195">
        <v>11.5</v>
      </c>
    </row>
    <row r="237" spans="1:23" x14ac:dyDescent="0.25">
      <c r="A237" t="s">
        <v>603</v>
      </c>
      <c r="B237" s="117" t="s">
        <v>370</v>
      </c>
      <c r="C237" s="86">
        <f t="shared" si="6"/>
        <v>8.0984640685308942E-3</v>
      </c>
      <c r="D237" t="s">
        <v>537</v>
      </c>
      <c r="E237" s="86">
        <f t="shared" si="7"/>
        <v>3.7660055234747677E-2</v>
      </c>
      <c r="F237" s="194">
        <v>54321</v>
      </c>
      <c r="G237" s="194">
        <v>4470</v>
      </c>
      <c r="H237" s="80">
        <v>4255</v>
      </c>
      <c r="I237" s="80">
        <v>4135</v>
      </c>
      <c r="J237" s="80">
        <v>4005</v>
      </c>
      <c r="K237" s="80">
        <v>3800</v>
      </c>
      <c r="L237" s="80">
        <v>3720</v>
      </c>
      <c r="M237" s="99" t="s">
        <v>370</v>
      </c>
      <c r="N237" s="194">
        <v>54321</v>
      </c>
      <c r="O237" s="195">
        <v>54.6</v>
      </c>
      <c r="P237" s="195">
        <v>55.3</v>
      </c>
      <c r="Q237" s="195">
        <v>55.9</v>
      </c>
      <c r="R237" s="195">
        <v>56.5</v>
      </c>
      <c r="S237" s="195">
        <v>57</v>
      </c>
      <c r="T237" s="195">
        <v>57.5</v>
      </c>
      <c r="U237" s="195">
        <v>57.9</v>
      </c>
      <c r="V237" s="195">
        <v>58.3</v>
      </c>
      <c r="W237" s="195">
        <v>59.6</v>
      </c>
    </row>
    <row r="238" spans="1:23" x14ac:dyDescent="0.25">
      <c r="A238" t="s">
        <v>600</v>
      </c>
      <c r="B238" s="117" t="s">
        <v>319</v>
      </c>
      <c r="C238" s="86">
        <f t="shared" si="6"/>
        <v>-8.8067342924043725E-4</v>
      </c>
      <c r="D238" t="s">
        <v>141</v>
      </c>
      <c r="E238" s="86">
        <f t="shared" si="7"/>
        <v>3.2578466428287642E-2</v>
      </c>
      <c r="F238" s="194">
        <v>80147</v>
      </c>
      <c r="G238" s="194">
        <v>5580</v>
      </c>
      <c r="H238" s="80">
        <v>5345</v>
      </c>
      <c r="I238" s="80">
        <v>5235</v>
      </c>
      <c r="J238" s="80">
        <v>4990</v>
      </c>
      <c r="K238" s="80">
        <v>4840</v>
      </c>
      <c r="L238" s="80">
        <v>4760</v>
      </c>
      <c r="M238" s="99" t="s">
        <v>319</v>
      </c>
      <c r="N238" s="194">
        <v>80147</v>
      </c>
      <c r="O238" s="195">
        <v>80.7</v>
      </c>
      <c r="P238" s="195">
        <v>80.599999999999994</v>
      </c>
      <c r="Q238" s="195">
        <v>80.3</v>
      </c>
      <c r="R238" s="195">
        <v>80</v>
      </c>
      <c r="S238" s="195">
        <v>79.599999999999994</v>
      </c>
      <c r="T238" s="195">
        <v>79.3</v>
      </c>
      <c r="U238" s="195">
        <v>79.3</v>
      </c>
      <c r="V238" s="195">
        <v>79.3</v>
      </c>
      <c r="W238" s="195">
        <v>79.3</v>
      </c>
    </row>
    <row r="239" spans="1:23" x14ac:dyDescent="0.25">
      <c r="A239" t="s">
        <v>601</v>
      </c>
      <c r="B239" s="117" t="s">
        <v>246</v>
      </c>
      <c r="C239" s="86">
        <f t="shared" si="6"/>
        <v>3.787878787878788E-3</v>
      </c>
      <c r="D239" t="s">
        <v>537</v>
      </c>
      <c r="E239" s="86">
        <f t="shared" si="7"/>
        <v>2.1027092600080875E-2</v>
      </c>
      <c r="F239" s="194">
        <v>24200</v>
      </c>
      <c r="G239" s="194">
        <v>2640</v>
      </c>
      <c r="H239" s="80">
        <v>2545</v>
      </c>
      <c r="I239" s="80">
        <v>2550</v>
      </c>
      <c r="J239" s="80">
        <v>2485</v>
      </c>
      <c r="K239" s="80">
        <v>2405</v>
      </c>
      <c r="L239" s="80">
        <v>2380</v>
      </c>
      <c r="M239" s="99" t="s">
        <v>246</v>
      </c>
      <c r="N239" s="194">
        <v>24200</v>
      </c>
      <c r="O239" s="195">
        <v>24.8</v>
      </c>
      <c r="P239" s="195">
        <v>24.8</v>
      </c>
      <c r="Q239" s="195">
        <v>24.9</v>
      </c>
      <c r="R239" s="195">
        <v>25</v>
      </c>
      <c r="S239" s="195">
        <v>25.1</v>
      </c>
      <c r="T239" s="195">
        <v>25.1</v>
      </c>
      <c r="U239" s="195">
        <v>25.1</v>
      </c>
      <c r="V239" s="195">
        <v>25.2</v>
      </c>
      <c r="W239" s="195">
        <v>25.3</v>
      </c>
    </row>
    <row r="240" spans="1:23" x14ac:dyDescent="0.25">
      <c r="A240" t="s">
        <v>604</v>
      </c>
      <c r="B240" s="117" t="s">
        <v>200</v>
      </c>
      <c r="C240" s="86">
        <f t="shared" ref="C240:C300" si="8">(SUM(W240*1000,-N240)/12)/N240</f>
        <v>-2.0260183407976116E-3</v>
      </c>
      <c r="D240" t="s">
        <v>537</v>
      </c>
      <c r="E240" s="86">
        <f t="shared" ref="E240:E300" si="9">SUM(G240,-L240)/(SUM(H240,I240,J240,K240,L240))</f>
        <v>3.1035727174305305E-2</v>
      </c>
      <c r="F240" s="194">
        <v>37512</v>
      </c>
      <c r="G240" s="194">
        <v>3045</v>
      </c>
      <c r="H240" s="80">
        <v>2940</v>
      </c>
      <c r="I240" s="80">
        <v>2855</v>
      </c>
      <c r="J240" s="80">
        <v>2770</v>
      </c>
      <c r="K240" s="80">
        <v>2675</v>
      </c>
      <c r="L240" s="80">
        <v>2615</v>
      </c>
      <c r="M240" s="99" t="s">
        <v>200</v>
      </c>
      <c r="N240" s="194">
        <v>37512</v>
      </c>
      <c r="O240" s="195">
        <v>37</v>
      </c>
      <c r="P240" s="195">
        <v>37</v>
      </c>
      <c r="Q240" s="195">
        <v>37</v>
      </c>
      <c r="R240" s="195">
        <v>37</v>
      </c>
      <c r="S240" s="195">
        <v>36.9</v>
      </c>
      <c r="T240" s="195">
        <v>36.9</v>
      </c>
      <c r="U240" s="195">
        <v>36.799999999999997</v>
      </c>
      <c r="V240" s="195">
        <v>36.799999999999997</v>
      </c>
      <c r="W240" s="195">
        <v>36.6</v>
      </c>
    </row>
    <row r="241" spans="1:23" x14ac:dyDescent="0.25">
      <c r="A241" t="s">
        <v>610</v>
      </c>
      <c r="B241" s="117" t="s">
        <v>395</v>
      </c>
      <c r="C241" s="86">
        <f t="shared" si="8"/>
        <v>4.7787090133803852E-4</v>
      </c>
      <c r="D241" t="s">
        <v>537</v>
      </c>
      <c r="E241" s="86">
        <f t="shared" si="9"/>
        <v>2.6258205689277898E-2</v>
      </c>
      <c r="F241" s="194">
        <v>22670</v>
      </c>
      <c r="G241" s="194">
        <v>2000</v>
      </c>
      <c r="H241" s="80">
        <v>1915</v>
      </c>
      <c r="I241" s="80">
        <v>1880</v>
      </c>
      <c r="J241" s="80">
        <v>1815</v>
      </c>
      <c r="K241" s="80">
        <v>1770</v>
      </c>
      <c r="L241" s="80">
        <v>1760</v>
      </c>
      <c r="M241" s="99" t="s">
        <v>395</v>
      </c>
      <c r="N241" s="194">
        <v>22670</v>
      </c>
      <c r="O241" s="195">
        <v>22.5</v>
      </c>
      <c r="P241" s="195">
        <v>22.6</v>
      </c>
      <c r="Q241" s="195">
        <v>22.7</v>
      </c>
      <c r="R241" s="195">
        <v>22.7</v>
      </c>
      <c r="S241" s="195">
        <v>22.8</v>
      </c>
      <c r="T241" s="195">
        <v>22.8</v>
      </c>
      <c r="U241" s="195">
        <v>22.8</v>
      </c>
      <c r="V241" s="195">
        <v>22.8</v>
      </c>
      <c r="W241" s="195">
        <v>22.8</v>
      </c>
    </row>
    <row r="242" spans="1:23" x14ac:dyDescent="0.25">
      <c r="A242" t="s">
        <v>601</v>
      </c>
      <c r="B242" s="117" t="s">
        <v>247</v>
      </c>
      <c r="C242" s="86">
        <f t="shared" si="8"/>
        <v>-8.0926825112871616E-4</v>
      </c>
      <c r="D242" t="s">
        <v>141</v>
      </c>
      <c r="E242" s="86">
        <f t="shared" si="9"/>
        <v>3.4753363228699555E-2</v>
      </c>
      <c r="F242" s="194">
        <v>31304</v>
      </c>
      <c r="G242" s="194">
        <v>3005</v>
      </c>
      <c r="H242" s="80">
        <v>2855</v>
      </c>
      <c r="I242" s="80">
        <v>2755</v>
      </c>
      <c r="J242" s="80">
        <v>2670</v>
      </c>
      <c r="K242" s="80">
        <v>2560</v>
      </c>
      <c r="L242" s="80">
        <v>2540</v>
      </c>
      <c r="M242" s="99" t="s">
        <v>247</v>
      </c>
      <c r="N242" s="194">
        <v>31304</v>
      </c>
      <c r="O242" s="195">
        <v>30.8</v>
      </c>
      <c r="P242" s="195">
        <v>30.4</v>
      </c>
      <c r="Q242" s="195">
        <v>30.4</v>
      </c>
      <c r="R242" s="195">
        <v>30.4</v>
      </c>
      <c r="S242" s="195">
        <v>30.4</v>
      </c>
      <c r="T242" s="195">
        <v>30.5</v>
      </c>
      <c r="U242" s="195">
        <v>30.6</v>
      </c>
      <c r="V242" s="195">
        <v>30.7</v>
      </c>
      <c r="W242" s="195">
        <v>31</v>
      </c>
    </row>
    <row r="243" spans="1:23" x14ac:dyDescent="0.25">
      <c r="A243" t="s">
        <v>606</v>
      </c>
      <c r="B243" s="117" t="s">
        <v>275</v>
      </c>
      <c r="C243" s="86">
        <f t="shared" si="8"/>
        <v>8.5900849499175851E-3</v>
      </c>
      <c r="D243" t="s">
        <v>537</v>
      </c>
      <c r="E243" s="86">
        <f t="shared" si="9"/>
        <v>2.8391167192429023E-2</v>
      </c>
      <c r="F243" s="194">
        <v>5258</v>
      </c>
      <c r="G243" s="194">
        <v>690</v>
      </c>
      <c r="H243" s="80">
        <v>665</v>
      </c>
      <c r="I243" s="80">
        <v>660</v>
      </c>
      <c r="J243" s="80">
        <v>630</v>
      </c>
      <c r="K243" s="80">
        <v>615</v>
      </c>
      <c r="L243" s="80">
        <v>600</v>
      </c>
      <c r="M243" s="99" t="s">
        <v>275</v>
      </c>
      <c r="N243" s="194">
        <v>5258</v>
      </c>
      <c r="O243" s="195">
        <v>5.4</v>
      </c>
      <c r="P243" s="195">
        <v>5.5</v>
      </c>
      <c r="Q243" s="195">
        <v>5.5</v>
      </c>
      <c r="R243" s="195">
        <v>5.6</v>
      </c>
      <c r="S243" s="195">
        <v>5.6</v>
      </c>
      <c r="T243" s="195">
        <v>5.6</v>
      </c>
      <c r="U243" s="195">
        <v>5.7</v>
      </c>
      <c r="V243" s="195">
        <v>5.7</v>
      </c>
      <c r="W243" s="195">
        <v>5.8</v>
      </c>
    </row>
    <row r="244" spans="1:23" x14ac:dyDescent="0.25">
      <c r="A244" t="s">
        <v>599</v>
      </c>
      <c r="B244" s="117" t="s">
        <v>444</v>
      </c>
      <c r="C244" s="86">
        <f t="shared" si="8"/>
        <v>-2.2970903522205209E-3</v>
      </c>
      <c r="D244" t="s">
        <v>537</v>
      </c>
      <c r="E244" s="86">
        <f t="shared" si="9"/>
        <v>2.7048528241845664E-2</v>
      </c>
      <c r="F244" s="194">
        <v>13060</v>
      </c>
      <c r="G244" s="194">
        <v>1365</v>
      </c>
      <c r="H244" s="80">
        <v>1320</v>
      </c>
      <c r="I244" s="80">
        <v>1280</v>
      </c>
      <c r="J244" s="80">
        <v>1240</v>
      </c>
      <c r="K244" s="80">
        <v>1250</v>
      </c>
      <c r="L244" s="80">
        <v>1195</v>
      </c>
      <c r="M244" s="99" t="s">
        <v>444</v>
      </c>
      <c r="N244" s="194">
        <v>13060</v>
      </c>
      <c r="O244" s="195">
        <v>12.9</v>
      </c>
      <c r="P244" s="195">
        <v>12.9</v>
      </c>
      <c r="Q244" s="195">
        <v>12.9</v>
      </c>
      <c r="R244" s="195">
        <v>12.9</v>
      </c>
      <c r="S244" s="195">
        <v>12.9</v>
      </c>
      <c r="T244" s="195">
        <v>12.9</v>
      </c>
      <c r="U244" s="195">
        <v>12.9</v>
      </c>
      <c r="V244" s="195">
        <v>12.8</v>
      </c>
      <c r="W244" s="195">
        <v>12.7</v>
      </c>
    </row>
    <row r="245" spans="1:23" x14ac:dyDescent="0.25">
      <c r="A245" t="s">
        <v>601</v>
      </c>
      <c r="B245" s="117" t="s">
        <v>248</v>
      </c>
      <c r="C245" s="86">
        <f t="shared" si="8"/>
        <v>-1.6404950479940181E-4</v>
      </c>
      <c r="D245" t="s">
        <v>141</v>
      </c>
      <c r="E245" s="86">
        <f t="shared" si="9"/>
        <v>3.0743801652892561E-2</v>
      </c>
      <c r="F245" s="194">
        <v>43686</v>
      </c>
      <c r="G245" s="194">
        <v>3280</v>
      </c>
      <c r="H245" s="80">
        <v>3180</v>
      </c>
      <c r="I245" s="80">
        <v>3150</v>
      </c>
      <c r="J245" s="80">
        <v>3065</v>
      </c>
      <c r="K245" s="80">
        <v>2915</v>
      </c>
      <c r="L245" s="80">
        <v>2815</v>
      </c>
      <c r="M245" s="99" t="s">
        <v>248</v>
      </c>
      <c r="N245" s="194">
        <v>43686</v>
      </c>
      <c r="O245" s="195">
        <v>43.8</v>
      </c>
      <c r="P245" s="195">
        <v>43.7</v>
      </c>
      <c r="Q245" s="195">
        <v>43.6</v>
      </c>
      <c r="R245" s="195">
        <v>43.6</v>
      </c>
      <c r="S245" s="195">
        <v>43.5</v>
      </c>
      <c r="T245" s="195">
        <v>43.5</v>
      </c>
      <c r="U245" s="195">
        <v>43.5</v>
      </c>
      <c r="V245" s="195">
        <v>43.5</v>
      </c>
      <c r="W245" s="195">
        <v>43.6</v>
      </c>
    </row>
    <row r="246" spans="1:23" x14ac:dyDescent="0.25">
      <c r="A246" t="s">
        <v>606</v>
      </c>
      <c r="B246" s="117" t="s">
        <v>276</v>
      </c>
      <c r="C246" s="86">
        <f t="shared" si="8"/>
        <v>-4.9970017989206476E-5</v>
      </c>
      <c r="D246" t="s">
        <v>537</v>
      </c>
      <c r="E246" s="86">
        <f t="shared" si="9"/>
        <v>3.5280508964719494E-2</v>
      </c>
      <c r="F246" s="194">
        <v>20012</v>
      </c>
      <c r="G246" s="194">
        <v>1905</v>
      </c>
      <c r="H246" s="80">
        <v>1860</v>
      </c>
      <c r="I246" s="80">
        <v>1800</v>
      </c>
      <c r="J246" s="80">
        <v>1745</v>
      </c>
      <c r="K246" s="80">
        <v>1640</v>
      </c>
      <c r="L246" s="80">
        <v>1600</v>
      </c>
      <c r="M246" s="99" t="s">
        <v>276</v>
      </c>
      <c r="N246" s="194">
        <v>20012</v>
      </c>
      <c r="O246" s="195">
        <v>19.5</v>
      </c>
      <c r="P246" s="195">
        <v>19.600000000000001</v>
      </c>
      <c r="Q246" s="195">
        <v>19.600000000000001</v>
      </c>
      <c r="R246" s="195">
        <v>19.7</v>
      </c>
      <c r="S246" s="195">
        <v>19.7</v>
      </c>
      <c r="T246" s="195">
        <v>19.8</v>
      </c>
      <c r="U246" s="195">
        <v>19.8</v>
      </c>
      <c r="V246" s="195">
        <v>19.8</v>
      </c>
      <c r="W246" s="195">
        <v>20</v>
      </c>
    </row>
    <row r="247" spans="1:23" x14ac:dyDescent="0.25">
      <c r="A247" t="s">
        <v>603</v>
      </c>
      <c r="B247" s="117" t="s">
        <v>371</v>
      </c>
      <c r="C247" s="86">
        <f t="shared" si="8"/>
        <v>-3.8824631571361657E-3</v>
      </c>
      <c r="D247" t="s">
        <v>141</v>
      </c>
      <c r="E247" s="86">
        <f t="shared" si="9"/>
        <v>1.9341801385681295E-2</v>
      </c>
      <c r="F247" s="194">
        <v>46255</v>
      </c>
      <c r="G247" s="194">
        <v>3695</v>
      </c>
      <c r="H247" s="80">
        <v>3580</v>
      </c>
      <c r="I247" s="80">
        <v>3510</v>
      </c>
      <c r="J247" s="80">
        <v>3490</v>
      </c>
      <c r="K247" s="80">
        <v>3380</v>
      </c>
      <c r="L247" s="80">
        <v>3360</v>
      </c>
      <c r="M247" s="99" t="s">
        <v>371</v>
      </c>
      <c r="N247" s="194">
        <v>46255</v>
      </c>
      <c r="O247" s="195">
        <v>44.6</v>
      </c>
      <c r="P247" s="195">
        <v>44.3</v>
      </c>
      <c r="Q247" s="195">
        <v>44.1</v>
      </c>
      <c r="R247" s="195">
        <v>44.1</v>
      </c>
      <c r="S247" s="195">
        <v>44.1</v>
      </c>
      <c r="T247" s="195">
        <v>44.1</v>
      </c>
      <c r="U247" s="195">
        <v>44.1</v>
      </c>
      <c r="V247" s="195">
        <v>44.1</v>
      </c>
      <c r="W247" s="195">
        <v>44.1</v>
      </c>
    </row>
    <row r="248" spans="1:23" x14ac:dyDescent="0.25">
      <c r="A248" t="s">
        <v>604</v>
      </c>
      <c r="B248" s="117" t="s">
        <v>201</v>
      </c>
      <c r="C248" s="86">
        <f t="shared" si="8"/>
        <v>2.6199429009121926E-3</v>
      </c>
      <c r="D248" t="s">
        <v>537</v>
      </c>
      <c r="E248" s="86">
        <f t="shared" si="9"/>
        <v>2.5052192066805846E-2</v>
      </c>
      <c r="F248" s="194">
        <v>38296</v>
      </c>
      <c r="G248" s="194">
        <v>3105</v>
      </c>
      <c r="H248" s="80">
        <v>3050</v>
      </c>
      <c r="I248" s="80">
        <v>2950</v>
      </c>
      <c r="J248" s="80">
        <v>2880</v>
      </c>
      <c r="K248" s="80">
        <v>2745</v>
      </c>
      <c r="L248" s="80">
        <v>2745</v>
      </c>
      <c r="M248" s="99" t="s">
        <v>201</v>
      </c>
      <c r="N248" s="194">
        <v>38296</v>
      </c>
      <c r="O248" s="195">
        <v>38.700000000000003</v>
      </c>
      <c r="P248" s="195">
        <v>38.9</v>
      </c>
      <c r="Q248" s="195">
        <v>39</v>
      </c>
      <c r="R248" s="195">
        <v>39.1</v>
      </c>
      <c r="S248" s="195">
        <v>39.200000000000003</v>
      </c>
      <c r="T248" s="195">
        <v>39.299999999999997</v>
      </c>
      <c r="U248" s="195">
        <v>39.299999999999997</v>
      </c>
      <c r="V248" s="195">
        <v>39.4</v>
      </c>
      <c r="W248" s="195">
        <v>39.5</v>
      </c>
    </row>
    <row r="249" spans="1:23" x14ac:dyDescent="0.25">
      <c r="A249" t="s">
        <v>603</v>
      </c>
      <c r="B249" s="117" t="s">
        <v>372</v>
      </c>
      <c r="C249" s="86">
        <f t="shared" si="8"/>
        <v>1.7627665806628525E-2</v>
      </c>
      <c r="D249" t="s">
        <v>141</v>
      </c>
      <c r="E249" s="86">
        <f t="shared" si="9"/>
        <v>4.2886492039034413E-2</v>
      </c>
      <c r="F249" s="194">
        <v>53486</v>
      </c>
      <c r="G249" s="194">
        <v>4475</v>
      </c>
      <c r="H249" s="80">
        <v>4220</v>
      </c>
      <c r="I249" s="80">
        <v>4005</v>
      </c>
      <c r="J249" s="80">
        <v>3875</v>
      </c>
      <c r="K249" s="80">
        <v>3730</v>
      </c>
      <c r="L249" s="80">
        <v>3640</v>
      </c>
      <c r="M249" s="99" t="s">
        <v>372</v>
      </c>
      <c r="N249" s="194">
        <v>53486</v>
      </c>
      <c r="O249" s="195">
        <v>53.1</v>
      </c>
      <c r="P249" s="195">
        <v>54.7</v>
      </c>
      <c r="Q249" s="195">
        <v>56</v>
      </c>
      <c r="R249" s="195">
        <v>57.2</v>
      </c>
      <c r="S249" s="195">
        <v>58.4</v>
      </c>
      <c r="T249" s="195">
        <v>59.4</v>
      </c>
      <c r="U249" s="195">
        <v>60.6</v>
      </c>
      <c r="V249" s="195">
        <v>61.4</v>
      </c>
      <c r="W249" s="195">
        <v>64.8</v>
      </c>
    </row>
    <row r="250" spans="1:23" x14ac:dyDescent="0.25">
      <c r="A250" t="s">
        <v>608</v>
      </c>
      <c r="B250" s="117" t="s">
        <v>482</v>
      </c>
      <c r="C250" s="86">
        <f t="shared" si="8"/>
        <v>-2.4899754236191955E-3</v>
      </c>
      <c r="D250" t="s">
        <v>141</v>
      </c>
      <c r="E250" s="86">
        <f t="shared" si="9"/>
        <v>2.2545454545454546E-2</v>
      </c>
      <c r="F250" s="194">
        <v>20616</v>
      </c>
      <c r="G250" s="194">
        <v>1490</v>
      </c>
      <c r="H250" s="80">
        <v>1445</v>
      </c>
      <c r="I250" s="80">
        <v>1385</v>
      </c>
      <c r="J250" s="80">
        <v>1365</v>
      </c>
      <c r="K250" s="80">
        <v>1345</v>
      </c>
      <c r="L250" s="80">
        <v>1335</v>
      </c>
      <c r="M250" s="99" t="s">
        <v>482</v>
      </c>
      <c r="N250" s="194">
        <v>20616</v>
      </c>
      <c r="O250" s="195">
        <v>20.6</v>
      </c>
      <c r="P250" s="195">
        <v>20.6</v>
      </c>
      <c r="Q250" s="195">
        <v>20.6</v>
      </c>
      <c r="R250" s="195">
        <v>20.5</v>
      </c>
      <c r="S250" s="195">
        <v>20.5</v>
      </c>
      <c r="T250" s="195">
        <v>20.399999999999999</v>
      </c>
      <c r="U250" s="195">
        <v>20.399999999999999</v>
      </c>
      <c r="V250" s="195">
        <v>20.3</v>
      </c>
      <c r="W250" s="195">
        <v>20</v>
      </c>
    </row>
    <row r="251" spans="1:23" x14ac:dyDescent="0.25">
      <c r="A251" t="s">
        <v>608</v>
      </c>
      <c r="B251" s="117" t="s">
        <v>483</v>
      </c>
      <c r="C251" s="86">
        <f t="shared" si="8"/>
        <v>2.586177269134275E-3</v>
      </c>
      <c r="D251" t="s">
        <v>509</v>
      </c>
      <c r="E251" s="86">
        <f t="shared" si="9"/>
        <v>2.6834481120873901E-2</v>
      </c>
      <c r="F251" s="194">
        <v>58194</v>
      </c>
      <c r="G251" s="194">
        <v>4610</v>
      </c>
      <c r="H251" s="80">
        <v>4425</v>
      </c>
      <c r="I251" s="80">
        <v>4320</v>
      </c>
      <c r="J251" s="80">
        <v>4180</v>
      </c>
      <c r="K251" s="80">
        <v>4085</v>
      </c>
      <c r="L251" s="80">
        <v>4045</v>
      </c>
      <c r="M251" s="99" t="s">
        <v>483</v>
      </c>
      <c r="N251" s="194">
        <v>58194</v>
      </c>
      <c r="O251" s="195">
        <v>57.8</v>
      </c>
      <c r="P251" s="195">
        <v>58</v>
      </c>
      <c r="Q251" s="195">
        <v>58.3</v>
      </c>
      <c r="R251" s="195">
        <v>58.5</v>
      </c>
      <c r="S251" s="195">
        <v>58.8</v>
      </c>
      <c r="T251" s="195">
        <v>59</v>
      </c>
      <c r="U251" s="195">
        <v>59.2</v>
      </c>
      <c r="V251" s="195">
        <v>59.4</v>
      </c>
      <c r="W251" s="195">
        <v>60</v>
      </c>
    </row>
    <row r="252" spans="1:23" x14ac:dyDescent="0.25">
      <c r="A252" t="s">
        <v>599</v>
      </c>
      <c r="B252" s="117" t="s">
        <v>445</v>
      </c>
      <c r="C252" s="86">
        <f t="shared" si="8"/>
        <v>4.1389869213203237E-3</v>
      </c>
      <c r="D252" t="s">
        <v>509</v>
      </c>
      <c r="E252" s="86">
        <f t="shared" si="9"/>
        <v>2.2381535233432417E-2</v>
      </c>
      <c r="F252" s="194">
        <v>77072</v>
      </c>
      <c r="G252" s="194">
        <v>6130</v>
      </c>
      <c r="H252" s="80">
        <v>5945</v>
      </c>
      <c r="I252" s="80">
        <v>5850</v>
      </c>
      <c r="J252" s="80">
        <v>5750</v>
      </c>
      <c r="K252" s="80">
        <v>5560</v>
      </c>
      <c r="L252" s="80">
        <v>5490</v>
      </c>
      <c r="M252" s="99" t="s">
        <v>445</v>
      </c>
      <c r="N252" s="194">
        <v>77072</v>
      </c>
      <c r="O252" s="195">
        <v>77.5</v>
      </c>
      <c r="P252" s="195">
        <v>77.7</v>
      </c>
      <c r="Q252" s="195">
        <v>77.900000000000006</v>
      </c>
      <c r="R252" s="195">
        <v>78.099999999999994</v>
      </c>
      <c r="S252" s="195">
        <v>78.3</v>
      </c>
      <c r="T252" s="195">
        <v>78.599999999999994</v>
      </c>
      <c r="U252" s="195">
        <v>79.099999999999994</v>
      </c>
      <c r="V252" s="195">
        <v>79.5</v>
      </c>
      <c r="W252" s="195">
        <v>80.900000000000006</v>
      </c>
    </row>
    <row r="253" spans="1:23" x14ac:dyDescent="0.25">
      <c r="A253" t="s">
        <v>603</v>
      </c>
      <c r="B253" s="117" t="s">
        <v>373</v>
      </c>
      <c r="C253" s="86">
        <f t="shared" si="8"/>
        <v>5.5432123091817718E-3</v>
      </c>
      <c r="D253" t="s">
        <v>509</v>
      </c>
      <c r="E253" s="86">
        <f t="shared" si="9"/>
        <v>4.2871778705965799E-2</v>
      </c>
      <c r="F253" s="194">
        <v>644527</v>
      </c>
      <c r="G253" s="194">
        <v>58340</v>
      </c>
      <c r="H253" s="80">
        <v>54665</v>
      </c>
      <c r="I253" s="80">
        <v>52950</v>
      </c>
      <c r="J253" s="80">
        <v>50425</v>
      </c>
      <c r="K253" s="80">
        <v>48280</v>
      </c>
      <c r="L253" s="80">
        <v>47460</v>
      </c>
      <c r="M253" s="99" t="s">
        <v>373</v>
      </c>
      <c r="N253" s="194">
        <v>644527</v>
      </c>
      <c r="O253" s="195">
        <v>645.70000000000005</v>
      </c>
      <c r="P253" s="195">
        <v>648.70000000000005</v>
      </c>
      <c r="Q253" s="195">
        <v>651.5</v>
      </c>
      <c r="R253" s="195">
        <v>655.6</v>
      </c>
      <c r="S253" s="195">
        <v>659.7</v>
      </c>
      <c r="T253" s="195">
        <v>664.1</v>
      </c>
      <c r="U253" s="195">
        <v>668.3</v>
      </c>
      <c r="V253" s="195">
        <v>672.5</v>
      </c>
      <c r="W253" s="195">
        <v>687.4</v>
      </c>
    </row>
    <row r="254" spans="1:23" x14ac:dyDescent="0.25">
      <c r="A254" t="s">
        <v>601</v>
      </c>
      <c r="B254" s="117" t="s">
        <v>250</v>
      </c>
      <c r="C254" s="86">
        <f t="shared" si="8"/>
        <v>-2.7206771463119711E-3</v>
      </c>
      <c r="D254" t="s">
        <v>537</v>
      </c>
      <c r="E254" s="86">
        <f t="shared" si="9"/>
        <v>4.3478260869565216E-2</v>
      </c>
      <c r="F254" s="194">
        <v>1654</v>
      </c>
      <c r="G254" s="194">
        <v>185</v>
      </c>
      <c r="H254" s="80">
        <v>175</v>
      </c>
      <c r="I254" s="80">
        <v>165</v>
      </c>
      <c r="J254" s="80">
        <v>160</v>
      </c>
      <c r="K254" s="80">
        <v>155</v>
      </c>
      <c r="L254" s="80">
        <v>150</v>
      </c>
      <c r="M254" s="99" t="s">
        <v>250</v>
      </c>
      <c r="N254" s="194">
        <v>1654</v>
      </c>
      <c r="O254" s="195">
        <v>1.7</v>
      </c>
      <c r="P254" s="195">
        <v>1.7</v>
      </c>
      <c r="Q254" s="195">
        <v>1.7</v>
      </c>
      <c r="R254" s="195">
        <v>1.6</v>
      </c>
      <c r="S254" s="195">
        <v>1.6</v>
      </c>
      <c r="T254" s="195">
        <v>1.6</v>
      </c>
      <c r="U254" s="195">
        <v>1.6</v>
      </c>
      <c r="V254" s="195">
        <v>1.6</v>
      </c>
      <c r="W254" s="195">
        <v>1.6</v>
      </c>
    </row>
    <row r="255" spans="1:23" x14ac:dyDescent="0.25">
      <c r="A255" t="s">
        <v>608</v>
      </c>
      <c r="B255" s="117" t="s">
        <v>446</v>
      </c>
      <c r="C255" s="86">
        <f t="shared" si="8"/>
        <v>4.2432292819718104E-4</v>
      </c>
      <c r="D255" t="s">
        <v>141</v>
      </c>
      <c r="E255" s="86">
        <f t="shared" si="9"/>
        <v>2.4186046511627906E-2</v>
      </c>
      <c r="F255" s="194">
        <v>22585</v>
      </c>
      <c r="G255" s="194">
        <v>2300</v>
      </c>
      <c r="H255" s="80">
        <v>2245</v>
      </c>
      <c r="I255" s="80">
        <v>2210</v>
      </c>
      <c r="J255" s="80">
        <v>2165</v>
      </c>
      <c r="K255" s="80">
        <v>2090</v>
      </c>
      <c r="L255" s="80">
        <v>2040</v>
      </c>
      <c r="M255" s="99" t="s">
        <v>446</v>
      </c>
      <c r="N255" s="194">
        <v>22585</v>
      </c>
      <c r="O255" s="195">
        <v>22.6</v>
      </c>
      <c r="P255" s="195">
        <v>22.6</v>
      </c>
      <c r="Q255" s="195">
        <v>22.6</v>
      </c>
      <c r="R255" s="195">
        <v>22.6</v>
      </c>
      <c r="S255" s="195">
        <v>22.7</v>
      </c>
      <c r="T255" s="195">
        <v>22.7</v>
      </c>
      <c r="U255" s="195">
        <v>22.7</v>
      </c>
      <c r="V255" s="195">
        <v>22.8</v>
      </c>
      <c r="W255" s="195">
        <v>22.7</v>
      </c>
    </row>
    <row r="256" spans="1:23" x14ac:dyDescent="0.25">
      <c r="A256" t="s">
        <v>600</v>
      </c>
      <c r="B256" s="117" t="s">
        <v>320</v>
      </c>
      <c r="C256" s="86">
        <f t="shared" si="8"/>
        <v>-1.5445024303989577E-3</v>
      </c>
      <c r="D256" t="s">
        <v>141</v>
      </c>
      <c r="E256" s="86">
        <f t="shared" si="9"/>
        <v>2.1500457456541628E-2</v>
      </c>
      <c r="F256" s="194">
        <v>46563</v>
      </c>
      <c r="G256" s="194">
        <v>4665</v>
      </c>
      <c r="H256" s="80">
        <v>4525</v>
      </c>
      <c r="I256" s="80">
        <v>4470</v>
      </c>
      <c r="J256" s="80">
        <v>4385</v>
      </c>
      <c r="K256" s="80">
        <v>4285</v>
      </c>
      <c r="L256" s="80">
        <v>4195</v>
      </c>
      <c r="M256" s="99" t="s">
        <v>320</v>
      </c>
      <c r="N256" s="194">
        <v>46563</v>
      </c>
      <c r="O256" s="195">
        <v>46.3</v>
      </c>
      <c r="P256" s="195">
        <v>46.2</v>
      </c>
      <c r="Q256" s="195">
        <v>46.1</v>
      </c>
      <c r="R256" s="195">
        <v>45.9</v>
      </c>
      <c r="S256" s="195">
        <v>45.8</v>
      </c>
      <c r="T256" s="195">
        <v>45.8</v>
      </c>
      <c r="U256" s="195">
        <v>45.7</v>
      </c>
      <c r="V256" s="195">
        <v>45.7</v>
      </c>
      <c r="W256" s="195">
        <v>45.7</v>
      </c>
    </row>
    <row r="257" spans="1:23" x14ac:dyDescent="0.25">
      <c r="A257" t="s">
        <v>601</v>
      </c>
      <c r="B257" s="117" t="s">
        <v>251</v>
      </c>
      <c r="C257" s="86">
        <f t="shared" si="8"/>
        <v>5.2832354331240295E-3</v>
      </c>
      <c r="D257" t="s">
        <v>537</v>
      </c>
      <c r="E257" s="86">
        <f t="shared" si="9"/>
        <v>2.5670945157526253E-2</v>
      </c>
      <c r="F257" s="194">
        <v>9874</v>
      </c>
      <c r="G257" s="194">
        <v>925</v>
      </c>
      <c r="H257" s="80">
        <v>910</v>
      </c>
      <c r="I257" s="80">
        <v>890</v>
      </c>
      <c r="J257" s="80">
        <v>850</v>
      </c>
      <c r="K257" s="80">
        <v>820</v>
      </c>
      <c r="L257" s="80">
        <v>815</v>
      </c>
      <c r="M257" s="99" t="s">
        <v>251</v>
      </c>
      <c r="N257" s="194">
        <v>9874</v>
      </c>
      <c r="O257" s="195">
        <v>9.8000000000000007</v>
      </c>
      <c r="P257" s="195">
        <v>9.9</v>
      </c>
      <c r="Q257" s="195">
        <v>9.9</v>
      </c>
      <c r="R257" s="195">
        <v>10</v>
      </c>
      <c r="S257" s="195">
        <v>10.1</v>
      </c>
      <c r="T257" s="195">
        <v>10.199999999999999</v>
      </c>
      <c r="U257" s="195">
        <v>10.199999999999999</v>
      </c>
      <c r="V257" s="195">
        <v>10.3</v>
      </c>
      <c r="W257" s="195">
        <v>10.5</v>
      </c>
    </row>
    <row r="258" spans="1:23" x14ac:dyDescent="0.25">
      <c r="A258" t="s">
        <v>603</v>
      </c>
      <c r="B258" s="117" t="s">
        <v>374</v>
      </c>
      <c r="C258" s="86">
        <f t="shared" si="8"/>
        <v>2.7808367693634168E-3</v>
      </c>
      <c r="D258" t="s">
        <v>141</v>
      </c>
      <c r="E258" s="86">
        <f t="shared" si="9"/>
        <v>3.0795390137918006E-2</v>
      </c>
      <c r="F258" s="194">
        <v>78094</v>
      </c>
      <c r="G258" s="194">
        <v>5890</v>
      </c>
      <c r="H258" s="80">
        <v>5595</v>
      </c>
      <c r="I258" s="80">
        <v>5450</v>
      </c>
      <c r="J258" s="80">
        <v>5265</v>
      </c>
      <c r="K258" s="80">
        <v>5080</v>
      </c>
      <c r="L258" s="80">
        <v>5075</v>
      </c>
      <c r="M258" s="99" t="s">
        <v>374</v>
      </c>
      <c r="N258" s="194">
        <v>78094</v>
      </c>
      <c r="O258" s="195">
        <v>78.8</v>
      </c>
      <c r="P258" s="195">
        <v>79</v>
      </c>
      <c r="Q258" s="195">
        <v>79.2</v>
      </c>
      <c r="R258" s="195">
        <v>79.5</v>
      </c>
      <c r="S258" s="195">
        <v>79.599999999999994</v>
      </c>
      <c r="T258" s="195">
        <v>79.8</v>
      </c>
      <c r="U258" s="195">
        <v>79.900000000000006</v>
      </c>
      <c r="V258" s="195">
        <v>80.099999999999994</v>
      </c>
      <c r="W258" s="195">
        <v>80.7</v>
      </c>
    </row>
    <row r="259" spans="1:23" x14ac:dyDescent="0.25">
      <c r="A259" t="s">
        <v>602</v>
      </c>
      <c r="B259" s="117" t="s">
        <v>179</v>
      </c>
      <c r="C259" s="86">
        <f t="shared" si="8"/>
        <v>-3.205128205128205E-3</v>
      </c>
      <c r="D259" t="s">
        <v>141</v>
      </c>
      <c r="E259" s="86">
        <f t="shared" si="9"/>
        <v>1.7094017094017096E-2</v>
      </c>
      <c r="F259" s="194">
        <v>936</v>
      </c>
      <c r="G259" s="194">
        <v>115</v>
      </c>
      <c r="H259" s="80">
        <v>125</v>
      </c>
      <c r="I259" s="80">
        <v>130</v>
      </c>
      <c r="J259" s="80">
        <v>110</v>
      </c>
      <c r="K259" s="80">
        <v>115</v>
      </c>
      <c r="L259" s="80">
        <v>105</v>
      </c>
      <c r="M259" s="99" t="s">
        <v>179</v>
      </c>
      <c r="N259" s="194">
        <v>936</v>
      </c>
      <c r="O259" s="195">
        <v>0.9</v>
      </c>
      <c r="P259" s="195">
        <v>0.9</v>
      </c>
      <c r="Q259" s="195">
        <v>0.9</v>
      </c>
      <c r="R259" s="195">
        <v>0.9</v>
      </c>
      <c r="S259" s="195">
        <v>0.9</v>
      </c>
      <c r="T259" s="195">
        <v>0.9</v>
      </c>
      <c r="U259" s="195">
        <v>0.9</v>
      </c>
      <c r="V259" s="195">
        <v>0.9</v>
      </c>
      <c r="W259" s="195">
        <v>0.9</v>
      </c>
    </row>
    <row r="260" spans="1:23" x14ac:dyDescent="0.25">
      <c r="A260" t="s">
        <v>610</v>
      </c>
      <c r="B260" s="117" t="s">
        <v>396</v>
      </c>
      <c r="C260" s="86">
        <f t="shared" si="8"/>
        <v>-2.6857853147473944E-3</v>
      </c>
      <c r="D260" t="s">
        <v>141</v>
      </c>
      <c r="E260" s="86">
        <f t="shared" si="9"/>
        <v>2.1938350458206055E-2</v>
      </c>
      <c r="F260" s="194">
        <v>33789</v>
      </c>
      <c r="G260" s="194">
        <v>3870</v>
      </c>
      <c r="H260" s="80">
        <v>3770</v>
      </c>
      <c r="I260" s="80">
        <v>3685</v>
      </c>
      <c r="J260" s="80">
        <v>3615</v>
      </c>
      <c r="K260" s="80">
        <v>3460</v>
      </c>
      <c r="L260" s="80">
        <v>3475</v>
      </c>
      <c r="M260" s="99" t="s">
        <v>396</v>
      </c>
      <c r="N260" s="194">
        <v>33789</v>
      </c>
      <c r="O260" s="195">
        <v>33.4</v>
      </c>
      <c r="P260" s="195">
        <v>33.299999999999997</v>
      </c>
      <c r="Q260" s="195">
        <v>33.200000000000003</v>
      </c>
      <c r="R260" s="195">
        <v>33.200000000000003</v>
      </c>
      <c r="S260" s="195">
        <v>33.1</v>
      </c>
      <c r="T260" s="195">
        <v>33</v>
      </c>
      <c r="U260" s="195">
        <v>33</v>
      </c>
      <c r="V260" s="195">
        <v>32.9</v>
      </c>
      <c r="W260" s="195">
        <v>32.700000000000003</v>
      </c>
    </row>
    <row r="261" spans="1:23" x14ac:dyDescent="0.25">
      <c r="A261" t="s">
        <v>603</v>
      </c>
      <c r="B261" s="117" t="s">
        <v>511</v>
      </c>
      <c r="C261" s="86">
        <f t="shared" si="8"/>
        <v>6.8018865352634881E-3</v>
      </c>
      <c r="D261" t="s">
        <v>509</v>
      </c>
      <c r="E261" s="86">
        <f t="shared" si="9"/>
        <v>4.8582635050811195E-2</v>
      </c>
      <c r="F261" s="194">
        <v>537988</v>
      </c>
      <c r="G261" s="194">
        <v>52570</v>
      </c>
      <c r="H261" s="80">
        <v>48735</v>
      </c>
      <c r="I261" s="80">
        <v>46785</v>
      </c>
      <c r="J261" s="80">
        <v>44635</v>
      </c>
      <c r="K261" s="80">
        <v>42535</v>
      </c>
      <c r="L261" s="80">
        <v>41670</v>
      </c>
      <c r="M261" s="99" t="s">
        <v>511</v>
      </c>
      <c r="N261" s="194">
        <v>537988</v>
      </c>
      <c r="O261" s="195">
        <v>538.9</v>
      </c>
      <c r="P261" s="195">
        <v>544.20000000000005</v>
      </c>
      <c r="Q261" s="195">
        <v>549.9</v>
      </c>
      <c r="R261" s="195">
        <v>554.6</v>
      </c>
      <c r="S261" s="195">
        <v>558.79999999999995</v>
      </c>
      <c r="T261" s="195">
        <v>562.5</v>
      </c>
      <c r="U261" s="195">
        <v>565.79999999999995</v>
      </c>
      <c r="V261" s="195">
        <v>568.79999999999995</v>
      </c>
      <c r="W261" s="195">
        <v>581.9</v>
      </c>
    </row>
    <row r="262" spans="1:23" x14ac:dyDescent="0.25">
      <c r="A262" t="s">
        <v>599</v>
      </c>
      <c r="B262" s="117" t="s">
        <v>551</v>
      </c>
      <c r="C262" s="86">
        <f t="shared" si="8"/>
        <v>6.0888105071829485E-3</v>
      </c>
      <c r="D262" t="s">
        <v>509</v>
      </c>
      <c r="E262" s="86">
        <f t="shared" si="9"/>
        <v>3.4644896624098781E-2</v>
      </c>
      <c r="F262" s="194">
        <v>154231</v>
      </c>
      <c r="G262" s="194">
        <v>16455</v>
      </c>
      <c r="H262" s="80">
        <v>15825</v>
      </c>
      <c r="I262" s="80">
        <v>15370</v>
      </c>
      <c r="J262" s="90">
        <v>14785</v>
      </c>
      <c r="K262" s="90">
        <v>13480</v>
      </c>
      <c r="L262" s="90">
        <v>13913</v>
      </c>
      <c r="M262" s="99" t="s">
        <v>551</v>
      </c>
      <c r="N262" s="194">
        <v>154231</v>
      </c>
      <c r="O262" s="195">
        <v>157</v>
      </c>
      <c r="P262" s="195">
        <v>158.19999999999999</v>
      </c>
      <c r="Q262" s="195">
        <v>159.19999999999999</v>
      </c>
      <c r="R262" s="195">
        <v>160.30000000000001</v>
      </c>
      <c r="S262" s="195">
        <v>161.1</v>
      </c>
      <c r="T262" s="195">
        <v>161.9</v>
      </c>
      <c r="U262" s="195">
        <v>162.4</v>
      </c>
      <c r="V262" s="195">
        <v>163</v>
      </c>
      <c r="W262" s="195">
        <v>165.5</v>
      </c>
    </row>
    <row r="263" spans="1:23" x14ac:dyDescent="0.25">
      <c r="A263" t="s">
        <v>608</v>
      </c>
      <c r="B263" s="117" t="s">
        <v>485</v>
      </c>
      <c r="C263" s="86">
        <f t="shared" si="8"/>
        <v>2.340155481516738E-3</v>
      </c>
      <c r="D263" t="s">
        <v>141</v>
      </c>
      <c r="E263" s="86">
        <f t="shared" si="9"/>
        <v>1.6260162601626018E-2</v>
      </c>
      <c r="F263" s="194">
        <v>10505</v>
      </c>
      <c r="G263" s="194">
        <v>655</v>
      </c>
      <c r="H263" s="80">
        <v>650</v>
      </c>
      <c r="I263" s="80">
        <v>625</v>
      </c>
      <c r="J263" s="80">
        <v>605</v>
      </c>
      <c r="K263" s="80">
        <v>590</v>
      </c>
      <c r="L263" s="80">
        <v>605</v>
      </c>
      <c r="M263" s="99" t="s">
        <v>485</v>
      </c>
      <c r="N263" s="194">
        <v>10505</v>
      </c>
      <c r="O263" s="195">
        <v>11.3</v>
      </c>
      <c r="P263" s="195">
        <v>11.3</v>
      </c>
      <c r="Q263" s="195">
        <v>11.3</v>
      </c>
      <c r="R263" s="195">
        <v>11.2</v>
      </c>
      <c r="S263" s="195">
        <v>11.2</v>
      </c>
      <c r="T263" s="195">
        <v>11.1</v>
      </c>
      <c r="U263" s="195">
        <v>11.1</v>
      </c>
      <c r="V263" s="195">
        <v>11</v>
      </c>
      <c r="W263" s="195">
        <v>10.8</v>
      </c>
    </row>
    <row r="264" spans="1:23" x14ac:dyDescent="0.25">
      <c r="A264" t="s">
        <v>599</v>
      </c>
      <c r="B264" s="117" t="s">
        <v>507</v>
      </c>
      <c r="C264" s="86">
        <f t="shared" si="8"/>
        <v>-1.5214146285451831E-3</v>
      </c>
      <c r="D264" t="s">
        <v>537</v>
      </c>
      <c r="E264" s="86">
        <f t="shared" si="9"/>
        <v>3.3276450511945395E-2</v>
      </c>
      <c r="F264" s="194">
        <v>11612</v>
      </c>
      <c r="G264" s="194">
        <v>1300</v>
      </c>
      <c r="H264" s="80">
        <v>1245</v>
      </c>
      <c r="I264" s="80">
        <v>1220</v>
      </c>
      <c r="J264" s="80">
        <v>1155</v>
      </c>
      <c r="K264" s="80">
        <v>1135</v>
      </c>
      <c r="L264" s="80">
        <v>1105</v>
      </c>
      <c r="M264" s="99" t="s">
        <v>507</v>
      </c>
      <c r="N264" s="194">
        <v>11612</v>
      </c>
      <c r="O264" s="195">
        <v>11.6</v>
      </c>
      <c r="P264" s="195">
        <v>11.6</v>
      </c>
      <c r="Q264" s="195">
        <v>11.6</v>
      </c>
      <c r="R264" s="195">
        <v>11.5</v>
      </c>
      <c r="S264" s="195">
        <v>11.5</v>
      </c>
      <c r="T264" s="195">
        <v>11.5</v>
      </c>
      <c r="U264" s="195">
        <v>11.5</v>
      </c>
      <c r="V264" s="195">
        <v>11.5</v>
      </c>
      <c r="W264" s="195">
        <v>11.4</v>
      </c>
    </row>
    <row r="265" spans="1:23" x14ac:dyDescent="0.25">
      <c r="A265" t="s">
        <v>599</v>
      </c>
      <c r="B265" s="117" t="s">
        <v>447</v>
      </c>
      <c r="C265" s="86">
        <f t="shared" si="8"/>
        <v>3.2146389713155294E-3</v>
      </c>
      <c r="D265" t="s">
        <v>537</v>
      </c>
      <c r="E265" s="86">
        <f t="shared" si="9"/>
        <v>2.5482344375682562E-2</v>
      </c>
      <c r="F265" s="194">
        <v>28982</v>
      </c>
      <c r="G265" s="194">
        <v>2980</v>
      </c>
      <c r="H265" s="80">
        <v>2900</v>
      </c>
      <c r="I265" s="80">
        <v>2845</v>
      </c>
      <c r="J265" s="80">
        <v>2720</v>
      </c>
      <c r="K265" s="80">
        <v>2640</v>
      </c>
      <c r="L265" s="80">
        <v>2630</v>
      </c>
      <c r="M265" s="99" t="s">
        <v>447</v>
      </c>
      <c r="N265" s="194">
        <v>28982</v>
      </c>
      <c r="O265" s="195">
        <v>28.5</v>
      </c>
      <c r="P265" s="195">
        <v>28.6</v>
      </c>
      <c r="Q265" s="195">
        <v>28.7</v>
      </c>
      <c r="R265" s="195">
        <v>28.9</v>
      </c>
      <c r="S265" s="195">
        <v>29</v>
      </c>
      <c r="T265" s="195">
        <v>29.2</v>
      </c>
      <c r="U265" s="195">
        <v>29.3</v>
      </c>
      <c r="V265" s="195">
        <v>29.5</v>
      </c>
      <c r="W265" s="195">
        <v>30.1</v>
      </c>
    </row>
    <row r="266" spans="1:23" x14ac:dyDescent="0.25">
      <c r="A266" t="s">
        <v>608</v>
      </c>
      <c r="B266" s="117" t="s">
        <v>486</v>
      </c>
      <c r="C266" s="86">
        <f t="shared" si="8"/>
        <v>2.4560873179526487E-4</v>
      </c>
      <c r="D266" t="s">
        <v>509</v>
      </c>
      <c r="E266" s="86">
        <f t="shared" si="9"/>
        <v>2.331895863280626E-2</v>
      </c>
      <c r="F266" s="194">
        <v>92627</v>
      </c>
      <c r="G266" s="194">
        <v>6750</v>
      </c>
      <c r="H266" s="80">
        <v>6510</v>
      </c>
      <c r="I266" s="80">
        <v>6415</v>
      </c>
      <c r="J266" s="80">
        <v>6250</v>
      </c>
      <c r="K266" s="80">
        <v>6110</v>
      </c>
      <c r="L266" s="80">
        <v>6020</v>
      </c>
      <c r="M266" s="99" t="s">
        <v>486</v>
      </c>
      <c r="N266" s="194">
        <v>92627</v>
      </c>
      <c r="O266" s="195">
        <v>92.6</v>
      </c>
      <c r="P266" s="195">
        <v>92.7</v>
      </c>
      <c r="Q266" s="195">
        <v>92.8</v>
      </c>
      <c r="R266" s="195">
        <v>92.9</v>
      </c>
      <c r="S266" s="195">
        <v>92.9</v>
      </c>
      <c r="T266" s="195">
        <v>92.9</v>
      </c>
      <c r="U266" s="195">
        <v>92.8</v>
      </c>
      <c r="V266" s="195">
        <v>92.9</v>
      </c>
      <c r="W266" s="195">
        <v>92.9</v>
      </c>
    </row>
    <row r="267" spans="1:23" x14ac:dyDescent="0.25">
      <c r="A267" t="s">
        <v>603</v>
      </c>
      <c r="B267" s="117" t="s">
        <v>375</v>
      </c>
      <c r="C267" s="86">
        <f t="shared" si="8"/>
        <v>4.2702587470354672E-3</v>
      </c>
      <c r="D267" t="s">
        <v>141</v>
      </c>
      <c r="E267" s="86">
        <f t="shared" si="9"/>
        <v>1.9318181818181818E-2</v>
      </c>
      <c r="F267" s="194">
        <v>25018</v>
      </c>
      <c r="G267" s="194">
        <v>1855</v>
      </c>
      <c r="H267" s="80">
        <v>1825</v>
      </c>
      <c r="I267" s="80">
        <v>1820</v>
      </c>
      <c r="J267" s="80">
        <v>1765</v>
      </c>
      <c r="K267" s="80">
        <v>1705</v>
      </c>
      <c r="L267" s="80">
        <v>1685</v>
      </c>
      <c r="M267" s="99" t="s">
        <v>375</v>
      </c>
      <c r="N267" s="194">
        <v>25018</v>
      </c>
      <c r="O267" s="195">
        <v>25.1</v>
      </c>
      <c r="P267" s="195">
        <v>25.1</v>
      </c>
      <c r="Q267" s="195">
        <v>25.2</v>
      </c>
      <c r="R267" s="195">
        <v>25.3</v>
      </c>
      <c r="S267" s="195">
        <v>25.5</v>
      </c>
      <c r="T267" s="195">
        <v>25.6</v>
      </c>
      <c r="U267" s="195">
        <v>25.8</v>
      </c>
      <c r="V267" s="195">
        <v>25.8</v>
      </c>
      <c r="W267" s="195">
        <v>26.3</v>
      </c>
    </row>
    <row r="268" spans="1:23" x14ac:dyDescent="0.25">
      <c r="A268" t="s">
        <v>610</v>
      </c>
      <c r="B268" s="117" t="s">
        <v>397</v>
      </c>
      <c r="C268" s="86">
        <f t="shared" si="8"/>
        <v>-4.9556097074373332E-3</v>
      </c>
      <c r="D268" t="s">
        <v>141</v>
      </c>
      <c r="E268" s="86">
        <f t="shared" si="9"/>
        <v>1.7571261226083563E-2</v>
      </c>
      <c r="F268" s="194">
        <v>23391</v>
      </c>
      <c r="G268" s="194">
        <v>2695</v>
      </c>
      <c r="H268" s="80">
        <v>2660</v>
      </c>
      <c r="I268" s="80">
        <v>2620</v>
      </c>
      <c r="J268" s="80">
        <v>2555</v>
      </c>
      <c r="K268" s="80">
        <v>2500</v>
      </c>
      <c r="L268" s="80">
        <v>2470</v>
      </c>
      <c r="M268" s="99" t="s">
        <v>397</v>
      </c>
      <c r="N268" s="194">
        <v>23391</v>
      </c>
      <c r="O268" s="195">
        <v>23.6</v>
      </c>
      <c r="P268" s="195">
        <v>23.5</v>
      </c>
      <c r="Q268" s="195">
        <v>23.4</v>
      </c>
      <c r="R268" s="195">
        <v>23.3</v>
      </c>
      <c r="S268" s="195">
        <v>23.1</v>
      </c>
      <c r="T268" s="195">
        <v>23</v>
      </c>
      <c r="U268" s="195">
        <v>22.8</v>
      </c>
      <c r="V268" s="195">
        <v>22.6</v>
      </c>
      <c r="W268" s="195">
        <v>22</v>
      </c>
    </row>
    <row r="269" spans="1:23" x14ac:dyDescent="0.25">
      <c r="A269" t="s">
        <v>602</v>
      </c>
      <c r="B269" s="117" t="s">
        <v>180</v>
      </c>
      <c r="C269" s="86">
        <f t="shared" si="8"/>
        <v>1.2826471692379199E-3</v>
      </c>
      <c r="D269" t="s">
        <v>509</v>
      </c>
      <c r="E269" s="86">
        <f t="shared" si="9"/>
        <v>2.4166009981612818E-2</v>
      </c>
      <c r="F269" s="194">
        <v>55939</v>
      </c>
      <c r="G269" s="194">
        <v>4115</v>
      </c>
      <c r="H269" s="80">
        <v>3970</v>
      </c>
      <c r="I269" s="80">
        <v>3925</v>
      </c>
      <c r="J269" s="80">
        <v>3810</v>
      </c>
      <c r="K269" s="80">
        <v>3675</v>
      </c>
      <c r="L269" s="80">
        <v>3655</v>
      </c>
      <c r="M269" s="99" t="s">
        <v>180</v>
      </c>
      <c r="N269" s="194">
        <v>55939</v>
      </c>
      <c r="O269" s="195">
        <v>56</v>
      </c>
      <c r="P269" s="195">
        <v>56.2</v>
      </c>
      <c r="Q269" s="195">
        <v>56.2</v>
      </c>
      <c r="R269" s="195">
        <v>56.3</v>
      </c>
      <c r="S269" s="195">
        <v>56.5</v>
      </c>
      <c r="T269" s="195">
        <v>56.4</v>
      </c>
      <c r="U269" s="195">
        <v>56.5</v>
      </c>
      <c r="V269" s="195">
        <v>56.6</v>
      </c>
      <c r="W269" s="195">
        <v>56.8</v>
      </c>
    </row>
    <row r="270" spans="1:23" x14ac:dyDescent="0.25">
      <c r="A270" t="s">
        <v>606</v>
      </c>
      <c r="B270" s="117" t="s">
        <v>277</v>
      </c>
      <c r="C270" s="86">
        <f t="shared" si="8"/>
        <v>7.3241835158967261E-4</v>
      </c>
      <c r="D270" t="s">
        <v>141</v>
      </c>
      <c r="E270" s="86">
        <f t="shared" si="9"/>
        <v>2.4193548387096774E-2</v>
      </c>
      <c r="F270" s="194">
        <v>46194</v>
      </c>
      <c r="G270" s="194">
        <v>4975</v>
      </c>
      <c r="H270" s="80">
        <v>4830</v>
      </c>
      <c r="I270" s="80">
        <v>4720</v>
      </c>
      <c r="J270" s="80">
        <v>4555</v>
      </c>
      <c r="K270" s="80">
        <v>4415</v>
      </c>
      <c r="L270" s="80">
        <v>4420</v>
      </c>
      <c r="M270" s="99" t="s">
        <v>277</v>
      </c>
      <c r="N270" s="194">
        <v>46194</v>
      </c>
      <c r="O270" s="195">
        <v>46</v>
      </c>
      <c r="P270" s="195">
        <v>46.2</v>
      </c>
      <c r="Q270" s="195">
        <v>46.4</v>
      </c>
      <c r="R270" s="195">
        <v>46.5</v>
      </c>
      <c r="S270" s="195">
        <v>46.7</v>
      </c>
      <c r="T270" s="195">
        <v>46.9</v>
      </c>
      <c r="U270" s="195">
        <v>47</v>
      </c>
      <c r="V270" s="195">
        <v>47</v>
      </c>
      <c r="W270" s="195">
        <v>46.6</v>
      </c>
    </row>
    <row r="271" spans="1:23" x14ac:dyDescent="0.25">
      <c r="A271" t="s">
        <v>599</v>
      </c>
      <c r="B271" s="117" t="s">
        <v>448</v>
      </c>
      <c r="C271" s="86">
        <f t="shared" si="8"/>
        <v>-1.3845039076652347E-3</v>
      </c>
      <c r="D271" t="s">
        <v>537</v>
      </c>
      <c r="E271" s="86">
        <f t="shared" si="9"/>
        <v>3.0165912518853696E-2</v>
      </c>
      <c r="F271" s="194">
        <v>19321</v>
      </c>
      <c r="G271" s="194">
        <v>2190</v>
      </c>
      <c r="H271" s="80">
        <v>2135</v>
      </c>
      <c r="I271" s="80">
        <v>2040</v>
      </c>
      <c r="J271" s="80">
        <v>1980</v>
      </c>
      <c r="K271" s="80">
        <v>1900</v>
      </c>
      <c r="L271" s="80">
        <v>1890</v>
      </c>
      <c r="M271" s="99" t="s">
        <v>448</v>
      </c>
      <c r="N271" s="194">
        <v>19321</v>
      </c>
      <c r="O271" s="195">
        <v>18.899999999999999</v>
      </c>
      <c r="P271" s="195">
        <v>19</v>
      </c>
      <c r="Q271" s="195">
        <v>19</v>
      </c>
      <c r="R271" s="195">
        <v>19</v>
      </c>
      <c r="S271" s="195">
        <v>19</v>
      </c>
      <c r="T271" s="195">
        <v>19</v>
      </c>
      <c r="U271" s="195">
        <v>19</v>
      </c>
      <c r="V271" s="195">
        <v>19</v>
      </c>
      <c r="W271" s="195">
        <v>19</v>
      </c>
    </row>
    <row r="272" spans="1:23" x14ac:dyDescent="0.25">
      <c r="A272" t="s">
        <v>599</v>
      </c>
      <c r="B272" s="117" t="s">
        <v>449</v>
      </c>
      <c r="C272" s="86">
        <f t="shared" si="8"/>
        <v>4.3807777974888135E-3</v>
      </c>
      <c r="D272" t="s">
        <v>537</v>
      </c>
      <c r="E272" s="86">
        <f t="shared" si="9"/>
        <v>2.4798512089274645E-2</v>
      </c>
      <c r="F272" s="194">
        <v>16911</v>
      </c>
      <c r="G272" s="194">
        <v>1755</v>
      </c>
      <c r="H272" s="80">
        <v>1680</v>
      </c>
      <c r="I272" s="80">
        <v>1640</v>
      </c>
      <c r="J272" s="80">
        <v>1600</v>
      </c>
      <c r="K272" s="80">
        <v>1590</v>
      </c>
      <c r="L272" s="80">
        <v>1555</v>
      </c>
      <c r="M272" s="99" t="s">
        <v>449</v>
      </c>
      <c r="N272" s="194">
        <v>16911</v>
      </c>
      <c r="O272" s="195">
        <v>16.7</v>
      </c>
      <c r="P272" s="195">
        <v>16.8</v>
      </c>
      <c r="Q272" s="195">
        <v>16.899999999999999</v>
      </c>
      <c r="R272" s="195">
        <v>17</v>
      </c>
      <c r="S272" s="195">
        <v>17.100000000000001</v>
      </c>
      <c r="T272" s="195">
        <v>17.2</v>
      </c>
      <c r="U272" s="195">
        <v>17.3</v>
      </c>
      <c r="V272" s="195">
        <v>17.399999999999999</v>
      </c>
      <c r="W272" s="195">
        <v>17.8</v>
      </c>
    </row>
    <row r="273" spans="1:23" x14ac:dyDescent="0.25">
      <c r="A273" t="s">
        <v>607</v>
      </c>
      <c r="B273" s="117" t="s">
        <v>159</v>
      </c>
      <c r="C273" s="86">
        <f t="shared" si="8"/>
        <v>-5.2435458004465273E-3</v>
      </c>
      <c r="D273" t="s">
        <v>509</v>
      </c>
      <c r="E273" s="86">
        <f t="shared" si="9"/>
        <v>2.337540906965872E-2</v>
      </c>
      <c r="F273" s="194">
        <v>31801</v>
      </c>
      <c r="G273" s="194">
        <v>2305</v>
      </c>
      <c r="H273" s="80">
        <v>2220</v>
      </c>
      <c r="I273" s="80">
        <v>2155</v>
      </c>
      <c r="J273" s="80">
        <v>2165</v>
      </c>
      <c r="K273" s="80">
        <v>2100</v>
      </c>
      <c r="L273" s="80">
        <v>2055</v>
      </c>
      <c r="M273" s="99" t="s">
        <v>159</v>
      </c>
      <c r="N273" s="194">
        <v>31801</v>
      </c>
      <c r="O273" s="195">
        <v>32.9</v>
      </c>
      <c r="P273" s="195">
        <v>32.5</v>
      </c>
      <c r="Q273" s="195">
        <v>32.1</v>
      </c>
      <c r="R273" s="195">
        <v>31.7</v>
      </c>
      <c r="S273" s="195">
        <v>31.3</v>
      </c>
      <c r="T273" s="195">
        <v>31</v>
      </c>
      <c r="U273" s="195">
        <v>30.8</v>
      </c>
      <c r="V273" s="195">
        <v>30.6</v>
      </c>
      <c r="W273" s="195">
        <v>29.8</v>
      </c>
    </row>
    <row r="274" spans="1:23" x14ac:dyDescent="0.25">
      <c r="A274" t="s">
        <v>604</v>
      </c>
      <c r="B274" s="117" t="s">
        <v>202</v>
      </c>
      <c r="C274" s="86">
        <f t="shared" si="8"/>
        <v>1.9357051847495833E-3</v>
      </c>
      <c r="D274" t="s">
        <v>537</v>
      </c>
      <c r="E274" s="86">
        <f t="shared" si="9"/>
        <v>3.1806615776081425E-2</v>
      </c>
      <c r="F274" s="194">
        <v>17005</v>
      </c>
      <c r="G274" s="194">
        <v>1725</v>
      </c>
      <c r="H274" s="80">
        <v>1680</v>
      </c>
      <c r="I274" s="80">
        <v>1620</v>
      </c>
      <c r="J274" s="80">
        <v>1570</v>
      </c>
      <c r="K274" s="80">
        <v>1515</v>
      </c>
      <c r="L274" s="80">
        <v>1475</v>
      </c>
      <c r="M274" s="99" t="s">
        <v>202</v>
      </c>
      <c r="N274" s="194">
        <v>17005</v>
      </c>
      <c r="O274" s="195">
        <v>16.8</v>
      </c>
      <c r="P274" s="195">
        <v>16.899999999999999</v>
      </c>
      <c r="Q274" s="195">
        <v>17</v>
      </c>
      <c r="R274" s="195">
        <v>17</v>
      </c>
      <c r="S274" s="195">
        <v>17</v>
      </c>
      <c r="T274" s="195">
        <v>17.100000000000001</v>
      </c>
      <c r="U274" s="195">
        <v>17.100000000000001</v>
      </c>
      <c r="V274" s="195">
        <v>17.2</v>
      </c>
      <c r="W274" s="195">
        <v>17.399999999999999</v>
      </c>
    </row>
    <row r="275" spans="1:23" x14ac:dyDescent="0.25">
      <c r="A275" t="s">
        <v>600</v>
      </c>
      <c r="B275" s="117" t="s">
        <v>321</v>
      </c>
      <c r="C275" s="86">
        <f t="shared" si="8"/>
        <v>-1.1596473443307837E-3</v>
      </c>
      <c r="D275" t="s">
        <v>141</v>
      </c>
      <c r="E275" s="86">
        <f t="shared" si="9"/>
        <v>1.6986706056129987E-2</v>
      </c>
      <c r="F275" s="194">
        <v>21702</v>
      </c>
      <c r="G275" s="194">
        <v>1455</v>
      </c>
      <c r="H275" s="80">
        <v>1380</v>
      </c>
      <c r="I275" s="80">
        <v>1365</v>
      </c>
      <c r="J275" s="80">
        <v>1340</v>
      </c>
      <c r="K275" s="80">
        <v>1345</v>
      </c>
      <c r="L275" s="80">
        <v>1340</v>
      </c>
      <c r="M275" s="99" t="s">
        <v>321</v>
      </c>
      <c r="N275" s="194">
        <v>21702</v>
      </c>
      <c r="O275" s="195">
        <v>21.6</v>
      </c>
      <c r="P275" s="195">
        <v>21.5</v>
      </c>
      <c r="Q275" s="195">
        <v>21.5</v>
      </c>
      <c r="R275" s="195">
        <v>21.5</v>
      </c>
      <c r="S275" s="195">
        <v>21.4</v>
      </c>
      <c r="T275" s="195">
        <v>21.4</v>
      </c>
      <c r="U275" s="195">
        <v>21.4</v>
      </c>
      <c r="V275" s="195">
        <v>21.4</v>
      </c>
      <c r="W275" s="195">
        <v>21.4</v>
      </c>
    </row>
    <row r="276" spans="1:23" x14ac:dyDescent="0.25">
      <c r="A276" t="s">
        <v>599</v>
      </c>
      <c r="B276" s="117" t="s">
        <v>450</v>
      </c>
      <c r="C276" s="86">
        <f t="shared" si="8"/>
        <v>-5.165715350124403E-3</v>
      </c>
      <c r="D276" t="s">
        <v>141</v>
      </c>
      <c r="E276" s="86">
        <f t="shared" si="9"/>
        <v>1.9766852508869743E-2</v>
      </c>
      <c r="F276" s="194">
        <v>25053</v>
      </c>
      <c r="G276" s="194">
        <v>2100</v>
      </c>
      <c r="H276" s="80">
        <v>2030</v>
      </c>
      <c r="I276" s="80">
        <v>2025</v>
      </c>
      <c r="J276" s="80">
        <v>1980</v>
      </c>
      <c r="K276" s="80">
        <v>1925</v>
      </c>
      <c r="L276" s="80">
        <v>1905</v>
      </c>
      <c r="M276" s="99" t="s">
        <v>450</v>
      </c>
      <c r="N276" s="194">
        <v>25053</v>
      </c>
      <c r="O276" s="195">
        <v>24.1</v>
      </c>
      <c r="P276" s="195">
        <v>24.3</v>
      </c>
      <c r="Q276" s="195">
        <v>24.3</v>
      </c>
      <c r="R276" s="195">
        <v>24.3</v>
      </c>
      <c r="S276" s="195">
        <v>24.2</v>
      </c>
      <c r="T276" s="195">
        <v>24.1</v>
      </c>
      <c r="U276" s="195">
        <v>24</v>
      </c>
      <c r="V276" s="195">
        <v>23.9</v>
      </c>
      <c r="W276" s="195">
        <v>23.5</v>
      </c>
    </row>
    <row r="277" spans="1:23" x14ac:dyDescent="0.25">
      <c r="A277" t="s">
        <v>604</v>
      </c>
      <c r="B277" s="117" t="s">
        <v>203</v>
      </c>
      <c r="C277" s="86">
        <f t="shared" si="8"/>
        <v>-1.5763356172179099E-3</v>
      </c>
      <c r="D277" t="s">
        <v>141</v>
      </c>
      <c r="E277" s="86">
        <f t="shared" si="9"/>
        <v>2.5057530043467145E-2</v>
      </c>
      <c r="F277" s="194">
        <v>43931</v>
      </c>
      <c r="G277" s="194">
        <v>4260</v>
      </c>
      <c r="H277" s="80">
        <v>4095</v>
      </c>
      <c r="I277" s="80">
        <v>4020</v>
      </c>
      <c r="J277" s="80">
        <v>3895</v>
      </c>
      <c r="K277" s="80">
        <v>3775</v>
      </c>
      <c r="L277" s="80">
        <v>3770</v>
      </c>
      <c r="M277" s="99" t="s">
        <v>203</v>
      </c>
      <c r="N277" s="194">
        <v>43931</v>
      </c>
      <c r="O277" s="195">
        <v>43.3</v>
      </c>
      <c r="P277" s="195">
        <v>43.3</v>
      </c>
      <c r="Q277" s="195">
        <v>43.3</v>
      </c>
      <c r="R277" s="195">
        <v>43.2</v>
      </c>
      <c r="S277" s="195">
        <v>43.2</v>
      </c>
      <c r="T277" s="195">
        <v>43.2</v>
      </c>
      <c r="U277" s="195">
        <v>43.2</v>
      </c>
      <c r="V277" s="195">
        <v>43.1</v>
      </c>
      <c r="W277" s="195">
        <v>43.1</v>
      </c>
    </row>
    <row r="278" spans="1:23" x14ac:dyDescent="0.25">
      <c r="A278" t="s">
        <v>608</v>
      </c>
      <c r="B278" s="117" t="s">
        <v>487</v>
      </c>
      <c r="C278" s="86">
        <f t="shared" si="8"/>
        <v>-8.5483784794571777E-4</v>
      </c>
      <c r="D278" t="s">
        <v>141</v>
      </c>
      <c r="E278" s="86">
        <f t="shared" si="9"/>
        <v>2.4918032786885248E-2</v>
      </c>
      <c r="F278" s="194">
        <v>24956</v>
      </c>
      <c r="G278" s="194">
        <v>1640</v>
      </c>
      <c r="H278" s="80">
        <v>1565</v>
      </c>
      <c r="I278" s="80">
        <v>1590</v>
      </c>
      <c r="J278" s="80">
        <v>1535</v>
      </c>
      <c r="K278" s="80">
        <v>1485</v>
      </c>
      <c r="L278" s="80">
        <v>1450</v>
      </c>
      <c r="M278" s="99" t="s">
        <v>487</v>
      </c>
      <c r="N278" s="194">
        <v>24956</v>
      </c>
      <c r="O278" s="195">
        <v>25.2</v>
      </c>
      <c r="P278" s="195">
        <v>25.1</v>
      </c>
      <c r="Q278" s="195">
        <v>25</v>
      </c>
      <c r="R278" s="195">
        <v>24.9</v>
      </c>
      <c r="S278" s="195">
        <v>24.9</v>
      </c>
      <c r="T278" s="195">
        <v>24.8</v>
      </c>
      <c r="U278" s="195">
        <v>24.8</v>
      </c>
      <c r="V278" s="195">
        <v>24.7</v>
      </c>
      <c r="W278" s="195">
        <v>24.7</v>
      </c>
    </row>
    <row r="279" spans="1:23" x14ac:dyDescent="0.25">
      <c r="A279" t="s">
        <v>606</v>
      </c>
      <c r="B279" s="117" t="s">
        <v>278</v>
      </c>
      <c r="C279" s="86">
        <f t="shared" si="8"/>
        <v>4.1788355185484374E-3</v>
      </c>
      <c r="D279" t="s">
        <v>537</v>
      </c>
      <c r="E279" s="86">
        <f t="shared" si="9"/>
        <v>3.080013391362571E-2</v>
      </c>
      <c r="F279" s="194">
        <v>64372</v>
      </c>
      <c r="G279" s="194">
        <v>6565</v>
      </c>
      <c r="H279" s="80">
        <v>6365</v>
      </c>
      <c r="I279" s="80">
        <v>6185</v>
      </c>
      <c r="J279" s="80">
        <v>5950</v>
      </c>
      <c r="K279" s="80">
        <v>5725</v>
      </c>
      <c r="L279" s="80">
        <v>5645</v>
      </c>
      <c r="M279" s="99" t="s">
        <v>278</v>
      </c>
      <c r="N279" s="194">
        <v>64372</v>
      </c>
      <c r="O279" s="195">
        <v>65.599999999999994</v>
      </c>
      <c r="P279" s="195">
        <v>65.900000000000006</v>
      </c>
      <c r="Q279" s="195">
        <v>66.2</v>
      </c>
      <c r="R279" s="195">
        <v>66.5</v>
      </c>
      <c r="S279" s="195">
        <v>66.8</v>
      </c>
      <c r="T279" s="195">
        <v>67</v>
      </c>
      <c r="U279" s="195">
        <v>67.099999999999994</v>
      </c>
      <c r="V279" s="195">
        <v>67.2</v>
      </c>
      <c r="W279" s="195">
        <v>67.599999999999994</v>
      </c>
    </row>
    <row r="280" spans="1:23" x14ac:dyDescent="0.25">
      <c r="A280" t="s">
        <v>602</v>
      </c>
      <c r="B280" s="117" t="s">
        <v>508</v>
      </c>
      <c r="C280" s="86">
        <f t="shared" si="8"/>
        <v>8.8252234174980955E-5</v>
      </c>
      <c r="D280" t="s">
        <v>141</v>
      </c>
      <c r="E280" s="86">
        <f t="shared" si="9"/>
        <v>2.0543008169149446E-2</v>
      </c>
      <c r="F280" s="194">
        <v>89705</v>
      </c>
      <c r="G280" s="194">
        <v>8880</v>
      </c>
      <c r="H280" s="80">
        <v>8630</v>
      </c>
      <c r="I280" s="80">
        <v>8545</v>
      </c>
      <c r="J280" s="80">
        <v>8347.5</v>
      </c>
      <c r="K280" s="80">
        <v>8072.5</v>
      </c>
      <c r="L280" s="80">
        <v>8025</v>
      </c>
      <c r="M280" s="99" t="s">
        <v>508</v>
      </c>
      <c r="N280" s="194">
        <v>89705</v>
      </c>
      <c r="O280" s="195">
        <v>88.9</v>
      </c>
      <c r="P280" s="195">
        <v>88.8</v>
      </c>
      <c r="Q280" s="195">
        <v>88.8</v>
      </c>
      <c r="R280" s="195">
        <v>88.9</v>
      </c>
      <c r="S280" s="195">
        <v>89</v>
      </c>
      <c r="T280" s="195">
        <v>89.1</v>
      </c>
      <c r="U280" s="195">
        <v>89.2</v>
      </c>
      <c r="V280" s="195">
        <v>89.3</v>
      </c>
      <c r="W280" s="195">
        <v>89.8</v>
      </c>
    </row>
    <row r="281" spans="1:23" x14ac:dyDescent="0.25">
      <c r="A281" t="s">
        <v>610</v>
      </c>
      <c r="B281" s="117" t="s">
        <v>398</v>
      </c>
      <c r="C281" s="86">
        <f t="shared" si="8"/>
        <v>-1.800142912109053E-3</v>
      </c>
      <c r="D281" t="s">
        <v>141</v>
      </c>
      <c r="E281" s="86">
        <f t="shared" si="9"/>
        <v>2.2083805209513023E-2</v>
      </c>
      <c r="F281" s="194">
        <v>54579</v>
      </c>
      <c r="G281" s="194">
        <v>3790</v>
      </c>
      <c r="H281" s="80">
        <v>3680</v>
      </c>
      <c r="I281" s="80">
        <v>3610</v>
      </c>
      <c r="J281" s="80">
        <v>3515</v>
      </c>
      <c r="K281" s="80">
        <v>3455</v>
      </c>
      <c r="L281" s="80">
        <v>3400</v>
      </c>
      <c r="M281" s="99" t="s">
        <v>398</v>
      </c>
      <c r="N281" s="194">
        <v>54579</v>
      </c>
      <c r="O281" s="195">
        <v>55</v>
      </c>
      <c r="P281" s="195">
        <v>54.9</v>
      </c>
      <c r="Q281" s="195">
        <v>54.8</v>
      </c>
      <c r="R281" s="195">
        <v>54.7</v>
      </c>
      <c r="S281" s="195">
        <v>54.5</v>
      </c>
      <c r="T281" s="195">
        <v>54.4</v>
      </c>
      <c r="U281" s="195">
        <v>54.2</v>
      </c>
      <c r="V281" s="195">
        <v>54</v>
      </c>
      <c r="W281" s="195">
        <v>53.4</v>
      </c>
    </row>
    <row r="282" spans="1:23" x14ac:dyDescent="0.25">
      <c r="A282" t="s">
        <v>602</v>
      </c>
      <c r="B282" s="117" t="s">
        <v>181</v>
      </c>
      <c r="C282" s="86">
        <f t="shared" si="8"/>
        <v>-6.6305311242926294E-3</v>
      </c>
      <c r="D282" t="s">
        <v>537</v>
      </c>
      <c r="E282" s="86">
        <f t="shared" si="9"/>
        <v>2.7272727272727271E-2</v>
      </c>
      <c r="F282" s="194">
        <v>4889</v>
      </c>
      <c r="G282" s="194">
        <v>710</v>
      </c>
      <c r="H282" s="80">
        <v>685</v>
      </c>
      <c r="I282" s="80">
        <v>685</v>
      </c>
      <c r="J282" s="80">
        <v>670</v>
      </c>
      <c r="K282" s="80">
        <v>640</v>
      </c>
      <c r="L282" s="80">
        <v>620</v>
      </c>
      <c r="M282" s="99" t="s">
        <v>181</v>
      </c>
      <c r="N282" s="194">
        <v>4889</v>
      </c>
      <c r="O282" s="195">
        <v>4.8</v>
      </c>
      <c r="P282" s="195">
        <v>4.8</v>
      </c>
      <c r="Q282" s="195">
        <v>4.8</v>
      </c>
      <c r="R282" s="195">
        <v>4.8</v>
      </c>
      <c r="S282" s="195">
        <v>4.7</v>
      </c>
      <c r="T282" s="195">
        <v>4.7</v>
      </c>
      <c r="U282" s="195">
        <v>4.7</v>
      </c>
      <c r="V282" s="195">
        <v>4.7</v>
      </c>
      <c r="W282" s="195">
        <v>4.5</v>
      </c>
    </row>
    <row r="283" spans="1:23" x14ac:dyDescent="0.25">
      <c r="A283" t="s">
        <v>600</v>
      </c>
      <c r="B283" s="117" t="s">
        <v>322</v>
      </c>
      <c r="C283" s="86">
        <f t="shared" si="8"/>
        <v>-2.7734730524192558E-3</v>
      </c>
      <c r="D283" t="s">
        <v>141</v>
      </c>
      <c r="E283" s="86">
        <f t="shared" si="9"/>
        <v>2.5065274151436032E-2</v>
      </c>
      <c r="F283" s="194">
        <v>13551</v>
      </c>
      <c r="G283" s="194">
        <v>2060</v>
      </c>
      <c r="H283" s="80">
        <v>2005</v>
      </c>
      <c r="I283" s="80">
        <v>1980</v>
      </c>
      <c r="J283" s="80">
        <v>1915</v>
      </c>
      <c r="K283" s="80">
        <v>1855</v>
      </c>
      <c r="L283" s="80">
        <v>1820</v>
      </c>
      <c r="M283" s="99" t="s">
        <v>322</v>
      </c>
      <c r="N283" s="194">
        <v>13551</v>
      </c>
      <c r="O283" s="195">
        <v>13.5</v>
      </c>
      <c r="P283" s="195">
        <v>13.5</v>
      </c>
      <c r="Q283" s="195">
        <v>13.5</v>
      </c>
      <c r="R283" s="195">
        <v>13.5</v>
      </c>
      <c r="S283" s="195">
        <v>13.4</v>
      </c>
      <c r="T283" s="195">
        <v>13.4</v>
      </c>
      <c r="U283" s="195">
        <v>13.3</v>
      </c>
      <c r="V283" s="195">
        <v>13.2</v>
      </c>
      <c r="W283" s="195">
        <v>13.1</v>
      </c>
    </row>
    <row r="284" spans="1:23" x14ac:dyDescent="0.25">
      <c r="A284" t="s">
        <v>603</v>
      </c>
      <c r="B284" s="117" t="s">
        <v>377</v>
      </c>
      <c r="C284" s="86">
        <f t="shared" si="8"/>
        <v>-3.6201577579306188E-4</v>
      </c>
      <c r="D284" t="s">
        <v>537</v>
      </c>
      <c r="E284" s="86">
        <f t="shared" si="9"/>
        <v>3.1089853091902972E-2</v>
      </c>
      <c r="F284" s="194">
        <v>37061</v>
      </c>
      <c r="G284" s="194">
        <v>3240</v>
      </c>
      <c r="H284" s="80">
        <v>3090</v>
      </c>
      <c r="I284" s="80">
        <v>3045</v>
      </c>
      <c r="J284" s="80">
        <v>2910</v>
      </c>
      <c r="K284" s="80">
        <v>2805</v>
      </c>
      <c r="L284" s="80">
        <v>2785</v>
      </c>
      <c r="M284" s="99" t="s">
        <v>377</v>
      </c>
      <c r="N284" s="194">
        <v>37061</v>
      </c>
      <c r="O284" s="195">
        <v>36.4</v>
      </c>
      <c r="P284" s="195">
        <v>36.4</v>
      </c>
      <c r="Q284" s="195">
        <v>36.5</v>
      </c>
      <c r="R284" s="195">
        <v>36.5</v>
      </c>
      <c r="S284" s="195">
        <v>36.6</v>
      </c>
      <c r="T284" s="195">
        <v>36.6</v>
      </c>
      <c r="U284" s="195">
        <v>36.700000000000003</v>
      </c>
      <c r="V284" s="195">
        <v>36.700000000000003</v>
      </c>
      <c r="W284" s="195">
        <v>36.9</v>
      </c>
    </row>
    <row r="285" spans="1:23" x14ac:dyDescent="0.25">
      <c r="A285" t="s">
        <v>610</v>
      </c>
      <c r="B285" s="117" t="s">
        <v>399</v>
      </c>
      <c r="C285" s="86">
        <f t="shared" si="8"/>
        <v>-3.2113411387661209E-3</v>
      </c>
      <c r="D285" t="s">
        <v>537</v>
      </c>
      <c r="E285" s="86">
        <f t="shared" si="9"/>
        <v>2.2922636103151862E-2</v>
      </c>
      <c r="F285" s="194">
        <v>25794</v>
      </c>
      <c r="G285" s="194">
        <v>2265</v>
      </c>
      <c r="H285" s="80">
        <v>2200</v>
      </c>
      <c r="I285" s="80">
        <v>2150</v>
      </c>
      <c r="J285" s="80">
        <v>2085</v>
      </c>
      <c r="K285" s="80">
        <v>2010</v>
      </c>
      <c r="L285" s="80">
        <v>2025</v>
      </c>
      <c r="M285" s="99" t="s">
        <v>399</v>
      </c>
      <c r="N285" s="194">
        <v>25794</v>
      </c>
      <c r="O285" s="195">
        <v>25.1</v>
      </c>
      <c r="P285" s="195">
        <v>25.1</v>
      </c>
      <c r="Q285" s="195">
        <v>25.1</v>
      </c>
      <c r="R285" s="195">
        <v>25.1</v>
      </c>
      <c r="S285" s="195">
        <v>25.1</v>
      </c>
      <c r="T285" s="195">
        <v>25</v>
      </c>
      <c r="U285" s="195">
        <v>25</v>
      </c>
      <c r="V285" s="195">
        <v>25</v>
      </c>
      <c r="W285" s="195">
        <v>24.8</v>
      </c>
    </row>
    <row r="286" spans="1:23" x14ac:dyDescent="0.25">
      <c r="A286" t="s">
        <v>601</v>
      </c>
      <c r="B286" s="117" t="s">
        <v>252</v>
      </c>
      <c r="C286" s="86">
        <f t="shared" si="8"/>
        <v>-5.8538714926380123E-4</v>
      </c>
      <c r="D286" t="s">
        <v>509</v>
      </c>
      <c r="E286" s="86">
        <f t="shared" si="9"/>
        <v>2.2988505747126436E-2</v>
      </c>
      <c r="F286" s="194">
        <v>41995</v>
      </c>
      <c r="G286" s="194">
        <v>3380</v>
      </c>
      <c r="H286" s="80">
        <v>3240</v>
      </c>
      <c r="I286" s="80">
        <v>3220</v>
      </c>
      <c r="J286" s="80">
        <v>3150</v>
      </c>
      <c r="K286" s="80">
        <v>3030</v>
      </c>
      <c r="L286" s="80">
        <v>3020</v>
      </c>
      <c r="M286" s="99" t="s">
        <v>252</v>
      </c>
      <c r="N286" s="194">
        <v>41995</v>
      </c>
      <c r="O286" s="195">
        <v>41.3</v>
      </c>
      <c r="P286" s="195">
        <v>41.3</v>
      </c>
      <c r="Q286" s="195">
        <v>41.4</v>
      </c>
      <c r="R286" s="195">
        <v>41.5</v>
      </c>
      <c r="S286" s="195">
        <v>41.5</v>
      </c>
      <c r="T286" s="195">
        <v>41.5</v>
      </c>
      <c r="U286" s="195">
        <v>41.6</v>
      </c>
      <c r="V286" s="195">
        <v>41.6</v>
      </c>
      <c r="W286" s="195">
        <v>41.7</v>
      </c>
    </row>
    <row r="287" spans="1:23" x14ac:dyDescent="0.25">
      <c r="A287" t="s">
        <v>599</v>
      </c>
      <c r="B287" s="117" t="s">
        <v>451</v>
      </c>
      <c r="C287" s="86">
        <f t="shared" si="8"/>
        <v>7.8056703260299433E-3</v>
      </c>
      <c r="D287" t="s">
        <v>509</v>
      </c>
      <c r="E287" s="86">
        <f t="shared" si="9"/>
        <v>2.7744590468604804E-2</v>
      </c>
      <c r="F287" s="194">
        <v>217342</v>
      </c>
      <c r="G287" s="194">
        <v>16420</v>
      </c>
      <c r="H287" s="80">
        <v>15695</v>
      </c>
      <c r="I287" s="80">
        <v>15525</v>
      </c>
      <c r="J287" s="80">
        <v>15185</v>
      </c>
      <c r="K287" s="80">
        <v>14595</v>
      </c>
      <c r="L287" s="80">
        <v>14330</v>
      </c>
      <c r="M287" s="99" t="s">
        <v>451</v>
      </c>
      <c r="N287" s="194">
        <v>217342</v>
      </c>
      <c r="O287" s="195">
        <v>220.4</v>
      </c>
      <c r="P287" s="195">
        <v>222.6</v>
      </c>
      <c r="Q287" s="195">
        <v>224.7</v>
      </c>
      <c r="R287" s="195">
        <v>226.6</v>
      </c>
      <c r="S287" s="195">
        <v>228.4</v>
      </c>
      <c r="T287" s="195">
        <v>230.1</v>
      </c>
      <c r="U287" s="195">
        <v>231.5</v>
      </c>
      <c r="V287" s="195">
        <v>232.9</v>
      </c>
      <c r="W287" s="195">
        <v>237.7</v>
      </c>
    </row>
    <row r="288" spans="1:23" x14ac:dyDescent="0.25">
      <c r="A288" t="s">
        <v>604</v>
      </c>
      <c r="B288" s="117" t="s">
        <v>204</v>
      </c>
      <c r="C288" s="86">
        <f t="shared" si="8"/>
        <v>-4.6024285154719936E-3</v>
      </c>
      <c r="D288" t="s">
        <v>537</v>
      </c>
      <c r="E288" s="86">
        <f t="shared" si="9"/>
        <v>2.6433915211970076E-2</v>
      </c>
      <c r="F288" s="194">
        <v>21275</v>
      </c>
      <c r="G288" s="194">
        <v>2185</v>
      </c>
      <c r="H288" s="80">
        <v>2115</v>
      </c>
      <c r="I288" s="80">
        <v>2055</v>
      </c>
      <c r="J288" s="80">
        <v>1985</v>
      </c>
      <c r="K288" s="80">
        <v>1950</v>
      </c>
      <c r="L288" s="80">
        <v>1920</v>
      </c>
      <c r="M288" s="99" t="s">
        <v>204</v>
      </c>
      <c r="N288" s="194">
        <v>21275</v>
      </c>
      <c r="O288" s="195">
        <v>20.9</v>
      </c>
      <c r="P288" s="195">
        <v>20.8</v>
      </c>
      <c r="Q288" s="195">
        <v>20.8</v>
      </c>
      <c r="R288" s="195">
        <v>20.7</v>
      </c>
      <c r="S288" s="195">
        <v>20.6</v>
      </c>
      <c r="T288" s="195">
        <v>20.5</v>
      </c>
      <c r="U288" s="195">
        <v>20.399999999999999</v>
      </c>
      <c r="V288" s="195">
        <v>20.3</v>
      </c>
      <c r="W288" s="195">
        <v>20.100000000000001</v>
      </c>
    </row>
    <row r="289" spans="1:23" x14ac:dyDescent="0.25">
      <c r="A289" t="s">
        <v>604</v>
      </c>
      <c r="B289" s="117" t="s">
        <v>205</v>
      </c>
      <c r="C289" s="86">
        <f t="shared" si="8"/>
        <v>-4.1561837107197469E-3</v>
      </c>
      <c r="D289" t="s">
        <v>141</v>
      </c>
      <c r="E289" s="86">
        <f t="shared" si="9"/>
        <v>2.3658639628221376E-2</v>
      </c>
      <c r="F289" s="194">
        <v>33785</v>
      </c>
      <c r="G289" s="194">
        <v>2500</v>
      </c>
      <c r="H289" s="80">
        <v>2470</v>
      </c>
      <c r="I289" s="80">
        <v>2455</v>
      </c>
      <c r="J289" s="80">
        <v>2410</v>
      </c>
      <c r="K289" s="80">
        <v>2280</v>
      </c>
      <c r="L289" s="80">
        <v>2220</v>
      </c>
      <c r="M289" s="99" t="s">
        <v>205</v>
      </c>
      <c r="N289" s="194">
        <v>33785</v>
      </c>
      <c r="O289" s="195">
        <v>33.4</v>
      </c>
      <c r="P289" s="195">
        <v>33.299999999999997</v>
      </c>
      <c r="Q289" s="195">
        <v>33.200000000000003</v>
      </c>
      <c r="R289" s="195">
        <v>33.1</v>
      </c>
      <c r="S289" s="195">
        <v>32.9</v>
      </c>
      <c r="T289" s="195">
        <v>32.799999999999997</v>
      </c>
      <c r="U289" s="195">
        <v>32.799999999999997</v>
      </c>
      <c r="V289" s="195">
        <v>32.6</v>
      </c>
      <c r="W289" s="195">
        <v>32.1</v>
      </c>
    </row>
    <row r="290" spans="1:23" x14ac:dyDescent="0.25">
      <c r="A290" t="s">
        <v>598</v>
      </c>
      <c r="B290" s="117" t="s">
        <v>138</v>
      </c>
      <c r="C290" s="86">
        <f t="shared" si="8"/>
        <v>-2.9554335460256218E-3</v>
      </c>
      <c r="D290" t="s">
        <v>537</v>
      </c>
      <c r="E290" s="86">
        <f t="shared" si="9"/>
        <v>4.3106954046360307E-2</v>
      </c>
      <c r="F290" s="194">
        <v>33695</v>
      </c>
      <c r="G290" s="194">
        <v>2805</v>
      </c>
      <c r="H290" s="80">
        <v>2655</v>
      </c>
      <c r="I290" s="80">
        <v>2560</v>
      </c>
      <c r="J290" s="80">
        <v>2445</v>
      </c>
      <c r="K290" s="80">
        <v>2360</v>
      </c>
      <c r="L290" s="80">
        <v>2275</v>
      </c>
      <c r="M290" s="99" t="s">
        <v>138</v>
      </c>
      <c r="N290" s="194">
        <v>33695</v>
      </c>
      <c r="O290" s="195">
        <v>33.1</v>
      </c>
      <c r="P290" s="195">
        <v>32.9</v>
      </c>
      <c r="Q290" s="195">
        <v>32.799999999999997</v>
      </c>
      <c r="R290" s="195">
        <v>32.700000000000003</v>
      </c>
      <c r="S290" s="195">
        <v>32.5</v>
      </c>
      <c r="T290" s="195">
        <v>32.5</v>
      </c>
      <c r="U290" s="195">
        <v>32.5</v>
      </c>
      <c r="V290" s="195">
        <v>32.5</v>
      </c>
      <c r="W290" s="195">
        <v>32.5</v>
      </c>
    </row>
    <row r="291" spans="1:23" x14ac:dyDescent="0.25">
      <c r="A291" t="s">
        <v>602</v>
      </c>
      <c r="B291" s="117" t="s">
        <v>182</v>
      </c>
      <c r="C291" s="86">
        <f t="shared" si="8"/>
        <v>8.815010703941569E-4</v>
      </c>
      <c r="D291" t="s">
        <v>141</v>
      </c>
      <c r="E291" s="86">
        <f t="shared" si="9"/>
        <v>2.4745912505523642E-2</v>
      </c>
      <c r="F291" s="194">
        <v>31764</v>
      </c>
      <c r="G291" s="194">
        <v>2425</v>
      </c>
      <c r="H291" s="80">
        <v>2370</v>
      </c>
      <c r="I291" s="80">
        <v>2360</v>
      </c>
      <c r="J291" s="80">
        <v>2255</v>
      </c>
      <c r="K291" s="80">
        <v>2185</v>
      </c>
      <c r="L291" s="80">
        <v>2145</v>
      </c>
      <c r="M291" s="99" t="s">
        <v>182</v>
      </c>
      <c r="N291" s="194">
        <v>31764</v>
      </c>
      <c r="O291" s="195">
        <v>32.200000000000003</v>
      </c>
      <c r="P291" s="195">
        <v>32.1</v>
      </c>
      <c r="Q291" s="195">
        <v>32</v>
      </c>
      <c r="R291" s="195">
        <v>32</v>
      </c>
      <c r="S291" s="195">
        <v>32</v>
      </c>
      <c r="T291" s="195">
        <v>31.9</v>
      </c>
      <c r="U291" s="195">
        <v>31.9</v>
      </c>
      <c r="V291" s="195">
        <v>31.9</v>
      </c>
      <c r="W291" s="195">
        <v>32.1</v>
      </c>
    </row>
    <row r="292" spans="1:23" x14ac:dyDescent="0.25">
      <c r="A292" t="s">
        <v>599</v>
      </c>
      <c r="B292" s="117" t="s">
        <v>452</v>
      </c>
      <c r="C292" s="86">
        <f t="shared" si="8"/>
        <v>1.4563881573697232E-3</v>
      </c>
      <c r="D292" t="s">
        <v>509</v>
      </c>
      <c r="E292" s="86">
        <f t="shared" si="9"/>
        <v>2.3759791122715406E-2</v>
      </c>
      <c r="F292" s="194">
        <v>41770</v>
      </c>
      <c r="G292" s="194">
        <v>4130</v>
      </c>
      <c r="H292" s="80">
        <v>4020</v>
      </c>
      <c r="I292" s="80">
        <v>3920</v>
      </c>
      <c r="J292" s="80">
        <v>3825</v>
      </c>
      <c r="K292" s="80">
        <v>3710</v>
      </c>
      <c r="L292" s="80">
        <v>3675</v>
      </c>
      <c r="M292" s="99" t="s">
        <v>452</v>
      </c>
      <c r="N292" s="194">
        <v>41770</v>
      </c>
      <c r="O292" s="195">
        <v>42.2</v>
      </c>
      <c r="P292" s="195">
        <v>42.4</v>
      </c>
      <c r="Q292" s="195">
        <v>42.5</v>
      </c>
      <c r="R292" s="195">
        <v>42.5</v>
      </c>
      <c r="S292" s="195">
        <v>42.5</v>
      </c>
      <c r="T292" s="195">
        <v>42.5</v>
      </c>
      <c r="U292" s="195">
        <v>42.5</v>
      </c>
      <c r="V292" s="195">
        <v>42.6</v>
      </c>
      <c r="W292" s="195">
        <v>42.5</v>
      </c>
    </row>
    <row r="293" spans="1:23" x14ac:dyDescent="0.25">
      <c r="A293" t="s">
        <v>600</v>
      </c>
      <c r="B293" s="117" t="s">
        <v>323</v>
      </c>
      <c r="C293" s="86">
        <f t="shared" si="8"/>
        <v>5.9347911741528762E-3</v>
      </c>
      <c r="D293" t="s">
        <v>537</v>
      </c>
      <c r="E293" s="86">
        <f t="shared" si="9"/>
        <v>3.7475345167652857E-2</v>
      </c>
      <c r="F293" s="194">
        <v>13536</v>
      </c>
      <c r="G293" s="194">
        <v>1140</v>
      </c>
      <c r="H293" s="80">
        <v>1090</v>
      </c>
      <c r="I293" s="80">
        <v>1045</v>
      </c>
      <c r="J293" s="80">
        <v>1000</v>
      </c>
      <c r="K293" s="80">
        <v>985</v>
      </c>
      <c r="L293" s="80">
        <v>950</v>
      </c>
      <c r="M293" s="99" t="s">
        <v>323</v>
      </c>
      <c r="N293" s="194">
        <v>13536</v>
      </c>
      <c r="O293" s="195">
        <v>14.1</v>
      </c>
      <c r="P293" s="195">
        <v>14.3</v>
      </c>
      <c r="Q293" s="195">
        <v>14.3</v>
      </c>
      <c r="R293" s="195">
        <v>14.4</v>
      </c>
      <c r="S293" s="195">
        <v>14.3</v>
      </c>
      <c r="T293" s="195">
        <v>14.3</v>
      </c>
      <c r="U293" s="195">
        <v>14.4</v>
      </c>
      <c r="V293" s="195">
        <v>14.4</v>
      </c>
      <c r="W293" s="195">
        <v>14.5</v>
      </c>
    </row>
    <row r="294" spans="1:23" x14ac:dyDescent="0.25">
      <c r="A294" t="s">
        <v>600</v>
      </c>
      <c r="B294" s="117" t="s">
        <v>324</v>
      </c>
      <c r="C294" s="86">
        <f t="shared" si="8"/>
        <v>3.254102999434069E-3</v>
      </c>
      <c r="D294" t="s">
        <v>537</v>
      </c>
      <c r="E294" s="86">
        <f t="shared" si="9"/>
        <v>3.1549520766773163E-2</v>
      </c>
      <c r="F294" s="194">
        <v>29450</v>
      </c>
      <c r="G294" s="194">
        <v>2765</v>
      </c>
      <c r="H294" s="80">
        <v>2625</v>
      </c>
      <c r="I294" s="80">
        <v>2575</v>
      </c>
      <c r="J294" s="80">
        <v>2495</v>
      </c>
      <c r="K294" s="80">
        <v>2455</v>
      </c>
      <c r="L294" s="80">
        <v>2370</v>
      </c>
      <c r="M294" s="99" t="s">
        <v>324</v>
      </c>
      <c r="N294" s="194">
        <v>29450</v>
      </c>
      <c r="O294" s="195">
        <v>29.8</v>
      </c>
      <c r="P294" s="195">
        <v>29.9</v>
      </c>
      <c r="Q294" s="195">
        <v>30</v>
      </c>
      <c r="R294" s="195">
        <v>30.1</v>
      </c>
      <c r="S294" s="195">
        <v>30.1</v>
      </c>
      <c r="T294" s="195">
        <v>30.2</v>
      </c>
      <c r="U294" s="195">
        <v>30.3</v>
      </c>
      <c r="V294" s="195">
        <v>30.4</v>
      </c>
      <c r="W294" s="195">
        <v>30.6</v>
      </c>
    </row>
    <row r="295" spans="1:23" x14ac:dyDescent="0.25">
      <c r="A295" t="s">
        <v>605</v>
      </c>
      <c r="B295" s="117" t="s">
        <v>498</v>
      </c>
      <c r="C295" s="86">
        <f t="shared" si="8"/>
        <v>8.9560862865947603E-3</v>
      </c>
      <c r="D295" t="s">
        <v>537</v>
      </c>
      <c r="E295" s="86">
        <f t="shared" si="9"/>
        <v>4.2609853528628498E-2</v>
      </c>
      <c r="F295" s="194">
        <v>20768</v>
      </c>
      <c r="G295" s="194">
        <v>1715</v>
      </c>
      <c r="H295" s="80">
        <v>1610</v>
      </c>
      <c r="I295" s="80">
        <v>1570</v>
      </c>
      <c r="J295" s="80">
        <v>1490</v>
      </c>
      <c r="K295" s="80">
        <v>1445</v>
      </c>
      <c r="L295" s="80">
        <v>1395</v>
      </c>
      <c r="M295" s="99" t="s">
        <v>498</v>
      </c>
      <c r="N295" s="194">
        <v>20768</v>
      </c>
      <c r="O295" s="195">
        <v>20.7</v>
      </c>
      <c r="P295" s="195">
        <v>20.9</v>
      </c>
      <c r="Q295" s="195">
        <v>21.1</v>
      </c>
      <c r="R295" s="195">
        <v>21.3</v>
      </c>
      <c r="S295" s="195">
        <v>21.5</v>
      </c>
      <c r="T295" s="195">
        <v>21.7</v>
      </c>
      <c r="U295" s="195">
        <v>21.9</v>
      </c>
      <c r="V295" s="195">
        <v>22.2</v>
      </c>
      <c r="W295" s="195">
        <v>23</v>
      </c>
    </row>
    <row r="296" spans="1:23" x14ac:dyDescent="0.25">
      <c r="A296" t="s">
        <v>606</v>
      </c>
      <c r="B296" s="117" t="s">
        <v>279</v>
      </c>
      <c r="C296" s="86">
        <f t="shared" si="8"/>
        <v>1.247301312849294E-2</v>
      </c>
      <c r="D296" t="s">
        <v>509</v>
      </c>
      <c r="E296" s="86">
        <f t="shared" si="9"/>
        <v>4.7552310801121177E-2</v>
      </c>
      <c r="F296" s="194">
        <v>352795</v>
      </c>
      <c r="G296" s="194">
        <v>35415</v>
      </c>
      <c r="H296" s="80">
        <v>33420</v>
      </c>
      <c r="I296" s="80">
        <v>32250</v>
      </c>
      <c r="J296" s="80">
        <v>30715</v>
      </c>
      <c r="K296" s="80">
        <v>28905</v>
      </c>
      <c r="L296" s="80">
        <v>28120</v>
      </c>
      <c r="M296" s="99" t="s">
        <v>279</v>
      </c>
      <c r="N296" s="194">
        <v>352795</v>
      </c>
      <c r="O296" s="195">
        <v>355.4</v>
      </c>
      <c r="P296" s="195">
        <v>360.7</v>
      </c>
      <c r="Q296" s="195">
        <v>366</v>
      </c>
      <c r="R296" s="195">
        <v>370.9</v>
      </c>
      <c r="S296" s="195">
        <v>375.8</v>
      </c>
      <c r="T296" s="195">
        <v>380.3</v>
      </c>
      <c r="U296" s="195">
        <v>384.7</v>
      </c>
      <c r="V296" s="195">
        <v>389.2</v>
      </c>
      <c r="W296" s="195">
        <v>405.6</v>
      </c>
    </row>
    <row r="297" spans="1:23" x14ac:dyDescent="0.25">
      <c r="A297" t="s">
        <v>606</v>
      </c>
      <c r="B297" s="117" t="s">
        <v>280</v>
      </c>
      <c r="C297" s="86">
        <f t="shared" si="8"/>
        <v>4.1627966455329854E-3</v>
      </c>
      <c r="D297" t="s">
        <v>537</v>
      </c>
      <c r="E297" s="86">
        <f t="shared" si="9"/>
        <v>2.6483472720031861E-2</v>
      </c>
      <c r="F297" s="194">
        <v>49526</v>
      </c>
      <c r="G297" s="194">
        <v>5465</v>
      </c>
      <c r="H297" s="80">
        <v>5285</v>
      </c>
      <c r="I297" s="80">
        <v>5180</v>
      </c>
      <c r="J297" s="80">
        <v>4995</v>
      </c>
      <c r="K297" s="80">
        <v>4850</v>
      </c>
      <c r="L297" s="80">
        <v>4800</v>
      </c>
      <c r="M297" s="99" t="s">
        <v>280</v>
      </c>
      <c r="N297" s="194">
        <v>49526</v>
      </c>
      <c r="O297" s="195">
        <v>50.4</v>
      </c>
      <c r="P297" s="195">
        <v>50.6</v>
      </c>
      <c r="Q297" s="195">
        <v>50.8</v>
      </c>
      <c r="R297" s="195">
        <v>51</v>
      </c>
      <c r="S297" s="195">
        <v>51.1</v>
      </c>
      <c r="T297" s="195">
        <v>51.3</v>
      </c>
      <c r="U297" s="195">
        <v>51.4</v>
      </c>
      <c r="V297" s="195">
        <v>51.6</v>
      </c>
      <c r="W297" s="195">
        <v>52</v>
      </c>
    </row>
    <row r="298" spans="1:23" x14ac:dyDescent="0.25">
      <c r="A298" t="s">
        <v>608</v>
      </c>
      <c r="B298" s="117" t="s">
        <v>488</v>
      </c>
      <c r="C298" s="86">
        <f t="shared" si="8"/>
        <v>-2.4271844660194173E-3</v>
      </c>
      <c r="D298" t="s">
        <v>509</v>
      </c>
      <c r="E298" s="86">
        <f t="shared" si="9"/>
        <v>1.2987012987012988E-2</v>
      </c>
      <c r="F298" s="194">
        <v>10094</v>
      </c>
      <c r="G298" s="194">
        <v>650</v>
      </c>
      <c r="H298" s="80">
        <v>630</v>
      </c>
      <c r="I298" s="80">
        <v>615</v>
      </c>
      <c r="J298" s="80">
        <v>620</v>
      </c>
      <c r="K298" s="80">
        <v>605</v>
      </c>
      <c r="L298" s="80">
        <v>610</v>
      </c>
      <c r="M298" s="99" t="s">
        <v>488</v>
      </c>
      <c r="N298" s="194">
        <v>10094</v>
      </c>
      <c r="O298" s="195">
        <v>9.8000000000000007</v>
      </c>
      <c r="P298" s="195">
        <v>9.6999999999999993</v>
      </c>
      <c r="Q298" s="195">
        <v>9.6999999999999993</v>
      </c>
      <c r="R298" s="195">
        <v>9.6999999999999993</v>
      </c>
      <c r="S298" s="195">
        <v>9.6999999999999993</v>
      </c>
      <c r="T298" s="195">
        <v>9.6999999999999993</v>
      </c>
      <c r="U298" s="195">
        <v>9.6999999999999993</v>
      </c>
      <c r="V298" s="195">
        <v>9.6999999999999993</v>
      </c>
      <c r="W298" s="195">
        <v>9.8000000000000007</v>
      </c>
    </row>
    <row r="299" spans="1:23" x14ac:dyDescent="0.25">
      <c r="A299" t="s">
        <v>608</v>
      </c>
      <c r="B299" s="117" t="s">
        <v>489</v>
      </c>
      <c r="C299" s="86">
        <f t="shared" si="8"/>
        <v>6.3227111785533628E-4</v>
      </c>
      <c r="D299" t="s">
        <v>141</v>
      </c>
      <c r="E299" s="86">
        <f t="shared" si="9"/>
        <v>1.6260162601626018E-2</v>
      </c>
      <c r="F299" s="194">
        <v>16475</v>
      </c>
      <c r="G299" s="194">
        <v>1560</v>
      </c>
      <c r="H299" s="80">
        <v>1515</v>
      </c>
      <c r="I299" s="80">
        <v>1500</v>
      </c>
      <c r="J299" s="80">
        <v>1460</v>
      </c>
      <c r="K299" s="80">
        <v>1465</v>
      </c>
      <c r="L299" s="80">
        <v>1440</v>
      </c>
      <c r="M299" s="99" t="s">
        <v>489</v>
      </c>
      <c r="N299" s="194">
        <v>16475</v>
      </c>
      <c r="O299" s="195">
        <v>17</v>
      </c>
      <c r="P299" s="195">
        <v>17</v>
      </c>
      <c r="Q299" s="195">
        <v>16.899999999999999</v>
      </c>
      <c r="R299" s="195">
        <v>16.899999999999999</v>
      </c>
      <c r="S299" s="195">
        <v>16.899999999999999</v>
      </c>
      <c r="T299" s="195">
        <v>16.8</v>
      </c>
      <c r="U299" s="195">
        <v>16.7</v>
      </c>
      <c r="V299" s="195">
        <v>16.600000000000001</v>
      </c>
      <c r="W299" s="195">
        <v>16.600000000000001</v>
      </c>
    </row>
    <row r="300" spans="1:23" x14ac:dyDescent="0.25">
      <c r="A300" t="s">
        <v>599</v>
      </c>
      <c r="B300" s="117" t="s">
        <v>453</v>
      </c>
      <c r="C300" s="86">
        <f t="shared" si="8"/>
        <v>-6.1828305062799427E-3</v>
      </c>
      <c r="D300" t="s">
        <v>141</v>
      </c>
      <c r="E300" s="86">
        <f t="shared" si="9"/>
        <v>1.5407190022010272E-2</v>
      </c>
      <c r="F300" s="194">
        <v>30892</v>
      </c>
      <c r="G300" s="194">
        <v>2885</v>
      </c>
      <c r="H300" s="80">
        <v>2825</v>
      </c>
      <c r="I300" s="80">
        <v>2775</v>
      </c>
      <c r="J300" s="80">
        <v>2695</v>
      </c>
      <c r="K300" s="80">
        <v>2660</v>
      </c>
      <c r="L300" s="80">
        <v>2675</v>
      </c>
      <c r="M300" s="99" t="s">
        <v>453</v>
      </c>
      <c r="N300" s="194">
        <v>30892</v>
      </c>
      <c r="O300" s="195">
        <v>30</v>
      </c>
      <c r="P300" s="195">
        <v>29.9</v>
      </c>
      <c r="Q300" s="195">
        <v>29.7</v>
      </c>
      <c r="R300" s="195">
        <v>29.6</v>
      </c>
      <c r="S300" s="195">
        <v>29.5</v>
      </c>
      <c r="T300" s="195">
        <v>29.3</v>
      </c>
      <c r="U300" s="195">
        <v>29.2</v>
      </c>
      <c r="V300" s="195">
        <v>29</v>
      </c>
      <c r="W300" s="195">
        <v>28.6</v>
      </c>
    </row>
    <row r="301" spans="1:23" x14ac:dyDescent="0.25">
      <c r="A301" t="s">
        <v>607</v>
      </c>
      <c r="B301" s="117" t="s">
        <v>161</v>
      </c>
      <c r="C301" s="86">
        <f t="shared" ref="C301:C357" si="10">(SUM(W301*1000,-N301)/12)/N301</f>
        <v>-5.3808449200456196E-3</v>
      </c>
      <c r="D301" t="s">
        <v>509</v>
      </c>
      <c r="E301" s="86">
        <f t="shared" ref="E301:E357" si="11">SUM(G301,-L301)/(SUM(H301,I301,J301,K301,L301))</f>
        <v>1.2135922330097087E-2</v>
      </c>
      <c r="F301" s="194">
        <v>27474</v>
      </c>
      <c r="G301" s="194">
        <v>1725</v>
      </c>
      <c r="H301" s="80">
        <v>1685</v>
      </c>
      <c r="I301" s="80">
        <v>1670</v>
      </c>
      <c r="J301" s="80">
        <v>1635</v>
      </c>
      <c r="K301" s="80">
        <v>1625</v>
      </c>
      <c r="L301" s="80">
        <v>1625</v>
      </c>
      <c r="M301" s="99" t="s">
        <v>161</v>
      </c>
      <c r="N301" s="194">
        <v>27474</v>
      </c>
      <c r="O301" s="195">
        <v>27.1</v>
      </c>
      <c r="P301" s="195">
        <v>27</v>
      </c>
      <c r="Q301" s="195">
        <v>26.8</v>
      </c>
      <c r="R301" s="195">
        <v>26.6</v>
      </c>
      <c r="S301" s="195">
        <v>26.5</v>
      </c>
      <c r="T301" s="195">
        <v>26.3</v>
      </c>
      <c r="U301" s="195">
        <v>26.2</v>
      </c>
      <c r="V301" s="195">
        <v>26.1</v>
      </c>
      <c r="W301" s="195">
        <v>25.7</v>
      </c>
    </row>
    <row r="302" spans="1:23" x14ac:dyDescent="0.25">
      <c r="A302" t="s">
        <v>606</v>
      </c>
      <c r="B302" s="117" t="s">
        <v>281</v>
      </c>
      <c r="C302" s="86">
        <f t="shared" si="10"/>
        <v>-2.527985690838691E-4</v>
      </c>
      <c r="D302" t="s">
        <v>509</v>
      </c>
      <c r="E302" s="86">
        <f t="shared" si="11"/>
        <v>2.0160460810532813E-2</v>
      </c>
      <c r="F302" s="194">
        <v>65599</v>
      </c>
      <c r="G302" s="194">
        <v>5280</v>
      </c>
      <c r="H302" s="80">
        <v>5060</v>
      </c>
      <c r="I302" s="80">
        <v>4965</v>
      </c>
      <c r="J302" s="80">
        <v>4810</v>
      </c>
      <c r="K302" s="80">
        <v>4680</v>
      </c>
      <c r="L302" s="80">
        <v>4790</v>
      </c>
      <c r="M302" s="99" t="s">
        <v>281</v>
      </c>
      <c r="N302" s="194">
        <v>65599</v>
      </c>
      <c r="O302" s="195">
        <v>63.7</v>
      </c>
      <c r="P302" s="195">
        <v>63.8</v>
      </c>
      <c r="Q302" s="195">
        <v>63.9</v>
      </c>
      <c r="R302" s="195">
        <v>64.099999999999994</v>
      </c>
      <c r="S302" s="195">
        <v>64.3</v>
      </c>
      <c r="T302" s="195">
        <v>64.599999999999994</v>
      </c>
      <c r="U302" s="195">
        <v>64.7</v>
      </c>
      <c r="V302" s="195">
        <v>64.900000000000006</v>
      </c>
      <c r="W302" s="195">
        <v>65.400000000000006</v>
      </c>
    </row>
    <row r="303" spans="1:23" x14ac:dyDescent="0.25">
      <c r="A303" t="s">
        <v>610</v>
      </c>
      <c r="B303" s="117" t="s">
        <v>400</v>
      </c>
      <c r="C303" s="86">
        <f t="shared" si="10"/>
        <v>2.9038264877817971E-3</v>
      </c>
      <c r="D303" t="s">
        <v>537</v>
      </c>
      <c r="E303" s="86">
        <f t="shared" si="11"/>
        <v>2.5743453173546382E-2</v>
      </c>
      <c r="F303" s="194">
        <v>21839</v>
      </c>
      <c r="G303" s="194">
        <v>2440</v>
      </c>
      <c r="H303" s="80">
        <v>2385</v>
      </c>
      <c r="I303" s="80">
        <v>2330</v>
      </c>
      <c r="J303" s="80">
        <v>2240</v>
      </c>
      <c r="K303" s="80">
        <v>2160</v>
      </c>
      <c r="L303" s="80">
        <v>2150</v>
      </c>
      <c r="M303" s="99" t="s">
        <v>400</v>
      </c>
      <c r="N303" s="194">
        <v>21839</v>
      </c>
      <c r="O303" s="195">
        <v>22.2</v>
      </c>
      <c r="P303" s="195">
        <v>22.3</v>
      </c>
      <c r="Q303" s="195">
        <v>22.3</v>
      </c>
      <c r="R303" s="195">
        <v>22.3</v>
      </c>
      <c r="S303" s="195">
        <v>22.4</v>
      </c>
      <c r="T303" s="195">
        <v>22.4</v>
      </c>
      <c r="U303" s="195">
        <v>22.4</v>
      </c>
      <c r="V303" s="195">
        <v>22.4</v>
      </c>
      <c r="W303" s="195">
        <v>22.6</v>
      </c>
    </row>
    <row r="304" spans="1:23" x14ac:dyDescent="0.25">
      <c r="A304" t="s">
        <v>599</v>
      </c>
      <c r="B304" s="117" t="s">
        <v>454</v>
      </c>
      <c r="C304" s="86">
        <f t="shared" si="10"/>
        <v>4.6702529506004089E-3</v>
      </c>
      <c r="D304" t="s">
        <v>537</v>
      </c>
      <c r="E304" s="86">
        <f t="shared" si="11"/>
        <v>2.5068786303882606E-2</v>
      </c>
      <c r="F304" s="194">
        <v>45358</v>
      </c>
      <c r="G304" s="194">
        <v>3545</v>
      </c>
      <c r="H304" s="80">
        <v>3435</v>
      </c>
      <c r="I304" s="80">
        <v>3355</v>
      </c>
      <c r="J304" s="80">
        <v>3275</v>
      </c>
      <c r="K304" s="80">
        <v>3155</v>
      </c>
      <c r="L304" s="80">
        <v>3135</v>
      </c>
      <c r="M304" s="99" t="s">
        <v>454</v>
      </c>
      <c r="N304" s="194">
        <v>45358</v>
      </c>
      <c r="O304" s="195">
        <v>45.7</v>
      </c>
      <c r="P304" s="195">
        <v>46</v>
      </c>
      <c r="Q304" s="195">
        <v>46.3</v>
      </c>
      <c r="R304" s="195">
        <v>46.5</v>
      </c>
      <c r="S304" s="195">
        <v>46.7</v>
      </c>
      <c r="T304" s="195">
        <v>47</v>
      </c>
      <c r="U304" s="195">
        <v>47.2</v>
      </c>
      <c r="V304" s="195">
        <v>47.4</v>
      </c>
      <c r="W304" s="195">
        <v>47.9</v>
      </c>
    </row>
    <row r="305" spans="1:23" x14ac:dyDescent="0.25">
      <c r="A305" t="s">
        <v>600</v>
      </c>
      <c r="B305" s="117" t="s">
        <v>325</v>
      </c>
      <c r="C305" s="86">
        <f t="shared" si="10"/>
        <v>-1.0435562837692862E-3</v>
      </c>
      <c r="D305" t="s">
        <v>141</v>
      </c>
      <c r="E305" s="86">
        <f t="shared" si="11"/>
        <v>3.3366834170854273E-2</v>
      </c>
      <c r="F305" s="194">
        <v>68356</v>
      </c>
      <c r="G305" s="194">
        <v>5530</v>
      </c>
      <c r="H305" s="80">
        <v>5325</v>
      </c>
      <c r="I305" s="80">
        <v>5165</v>
      </c>
      <c r="J305" s="80">
        <v>4915</v>
      </c>
      <c r="K305" s="80">
        <v>4770</v>
      </c>
      <c r="L305" s="80">
        <v>4700</v>
      </c>
      <c r="M305" s="99" t="s">
        <v>325</v>
      </c>
      <c r="N305" s="194">
        <v>68356</v>
      </c>
      <c r="O305" s="195">
        <v>67.400000000000006</v>
      </c>
      <c r="P305" s="195">
        <v>67.400000000000006</v>
      </c>
      <c r="Q305" s="195">
        <v>67.3</v>
      </c>
      <c r="R305" s="195">
        <v>67.2</v>
      </c>
      <c r="S305" s="195">
        <v>67.099999999999994</v>
      </c>
      <c r="T305" s="195">
        <v>67.099999999999994</v>
      </c>
      <c r="U305" s="195">
        <v>67.099999999999994</v>
      </c>
      <c r="V305" s="195">
        <v>67.099999999999994</v>
      </c>
      <c r="W305" s="195">
        <v>67.5</v>
      </c>
    </row>
    <row r="306" spans="1:23" x14ac:dyDescent="0.25">
      <c r="A306" t="s">
        <v>608</v>
      </c>
      <c r="B306" s="117" t="s">
        <v>490</v>
      </c>
      <c r="C306" s="86">
        <f t="shared" si="10"/>
        <v>-3.3455407010704414E-3</v>
      </c>
      <c r="D306" t="s">
        <v>509</v>
      </c>
      <c r="E306" s="86">
        <f t="shared" si="11"/>
        <v>2.23463687150838E-2</v>
      </c>
      <c r="F306" s="194">
        <v>101578</v>
      </c>
      <c r="G306" s="194">
        <v>7530</v>
      </c>
      <c r="H306" s="80">
        <v>7260</v>
      </c>
      <c r="I306" s="80">
        <v>7180</v>
      </c>
      <c r="J306" s="80">
        <v>6965</v>
      </c>
      <c r="K306" s="80">
        <v>6750</v>
      </c>
      <c r="L306" s="80">
        <v>6750</v>
      </c>
      <c r="M306" s="99" t="s">
        <v>490</v>
      </c>
      <c r="N306" s="194">
        <v>101578</v>
      </c>
      <c r="O306" s="195">
        <v>100.9</v>
      </c>
      <c r="P306" s="195">
        <v>100.8</v>
      </c>
      <c r="Q306" s="195">
        <v>100.6</v>
      </c>
      <c r="R306" s="195">
        <v>100.4</v>
      </c>
      <c r="S306" s="195">
        <v>100.1</v>
      </c>
      <c r="T306" s="195">
        <v>99.9</v>
      </c>
      <c r="U306" s="195">
        <v>99.5</v>
      </c>
      <c r="V306" s="195">
        <v>99.2</v>
      </c>
      <c r="W306" s="195">
        <v>97.5</v>
      </c>
    </row>
    <row r="307" spans="1:23" x14ac:dyDescent="0.25">
      <c r="A307" t="s">
        <v>608</v>
      </c>
      <c r="B307" s="117" t="s">
        <v>491</v>
      </c>
      <c r="C307" s="86">
        <f t="shared" si="10"/>
        <v>1.9009358453392438E-3</v>
      </c>
      <c r="D307" t="s">
        <v>141</v>
      </c>
      <c r="E307" s="86">
        <f t="shared" si="11"/>
        <v>2.7584020291693087E-2</v>
      </c>
      <c r="F307" s="194">
        <v>43312</v>
      </c>
      <c r="G307" s="194">
        <v>3405</v>
      </c>
      <c r="H307" s="80">
        <v>3325</v>
      </c>
      <c r="I307" s="80">
        <v>3260</v>
      </c>
      <c r="J307" s="80">
        <v>3160</v>
      </c>
      <c r="K307" s="80">
        <v>3055</v>
      </c>
      <c r="L307" s="80">
        <v>2970</v>
      </c>
      <c r="M307" s="99" t="s">
        <v>491</v>
      </c>
      <c r="N307" s="194">
        <v>43312</v>
      </c>
      <c r="O307" s="195">
        <v>43.7</v>
      </c>
      <c r="P307" s="195">
        <v>43.7</v>
      </c>
      <c r="Q307" s="195">
        <v>43.7</v>
      </c>
      <c r="R307" s="195">
        <v>43.7</v>
      </c>
      <c r="S307" s="195">
        <v>43.7</v>
      </c>
      <c r="T307" s="195">
        <v>43.8</v>
      </c>
      <c r="U307" s="195">
        <v>43.9</v>
      </c>
      <c r="V307" s="195">
        <v>44</v>
      </c>
      <c r="W307" s="195">
        <v>44.3</v>
      </c>
    </row>
    <row r="308" spans="1:23" x14ac:dyDescent="0.25">
      <c r="A308" t="s">
        <v>606</v>
      </c>
      <c r="B308" s="117" t="s">
        <v>752</v>
      </c>
      <c r="C308" s="86">
        <f t="shared" si="10"/>
        <v>4.1843946166873125E-3</v>
      </c>
      <c r="D308" t="s">
        <v>537</v>
      </c>
      <c r="E308" s="86">
        <f t="shared" si="11"/>
        <v>3.1617967727867423E-2</v>
      </c>
      <c r="F308" s="194">
        <v>55703</v>
      </c>
      <c r="G308" s="194">
        <v>5060</v>
      </c>
      <c r="H308" s="80">
        <v>4855</v>
      </c>
      <c r="I308" s="80">
        <v>4755</v>
      </c>
      <c r="J308" s="80">
        <v>4570</v>
      </c>
      <c r="K308" s="80">
        <v>4415</v>
      </c>
      <c r="L308" s="80">
        <v>4335</v>
      </c>
      <c r="M308" s="99" t="s">
        <v>752</v>
      </c>
      <c r="N308" s="194">
        <v>55703</v>
      </c>
      <c r="O308" s="195">
        <v>55.1</v>
      </c>
      <c r="P308" s="195">
        <v>55.5</v>
      </c>
      <c r="Q308" s="195">
        <v>55.900000000000006</v>
      </c>
      <c r="R308" s="195">
        <v>56.4</v>
      </c>
      <c r="S308" s="195">
        <v>56.7</v>
      </c>
      <c r="T308" s="195">
        <v>57</v>
      </c>
      <c r="U308" s="195">
        <v>57.2</v>
      </c>
      <c r="V308" s="195">
        <v>57.6</v>
      </c>
      <c r="W308" s="195">
        <v>58.5</v>
      </c>
    </row>
    <row r="309" spans="1:23" x14ac:dyDescent="0.25">
      <c r="A309" t="s">
        <v>603</v>
      </c>
      <c r="B309" s="117" t="s">
        <v>378</v>
      </c>
      <c r="C309" s="86">
        <f t="shared" si="10"/>
        <v>1.8919789294504635E-3</v>
      </c>
      <c r="D309" t="s">
        <v>141</v>
      </c>
      <c r="E309" s="86">
        <f t="shared" si="11"/>
        <v>2.3088023088023088E-2</v>
      </c>
      <c r="F309" s="194">
        <v>72455</v>
      </c>
      <c r="G309" s="194">
        <v>4510</v>
      </c>
      <c r="H309" s="80">
        <v>4310</v>
      </c>
      <c r="I309" s="80">
        <v>4290</v>
      </c>
      <c r="J309" s="80">
        <v>4165</v>
      </c>
      <c r="K309" s="80">
        <v>3995</v>
      </c>
      <c r="L309" s="80">
        <v>4030</v>
      </c>
      <c r="M309" s="99" t="s">
        <v>378</v>
      </c>
      <c r="N309" s="194">
        <v>72455</v>
      </c>
      <c r="O309" s="195">
        <v>73</v>
      </c>
      <c r="P309" s="195">
        <v>73.3</v>
      </c>
      <c r="Q309" s="195">
        <v>73.5</v>
      </c>
      <c r="R309" s="195">
        <v>73.8</v>
      </c>
      <c r="S309" s="195">
        <v>73.900000000000006</v>
      </c>
      <c r="T309" s="195">
        <v>74</v>
      </c>
      <c r="U309" s="195">
        <v>74</v>
      </c>
      <c r="V309" s="195">
        <v>74.099999999999994</v>
      </c>
      <c r="W309" s="195">
        <v>74.099999999999994</v>
      </c>
    </row>
    <row r="310" spans="1:23" x14ac:dyDescent="0.25">
      <c r="A310" t="s">
        <v>602</v>
      </c>
      <c r="B310" s="117" t="s">
        <v>183</v>
      </c>
      <c r="C310" s="86">
        <f t="shared" si="10"/>
        <v>-2.8533801580333624E-3</v>
      </c>
      <c r="D310" t="s">
        <v>141</v>
      </c>
      <c r="E310" s="86">
        <f t="shared" si="11"/>
        <v>3.5502958579881658E-2</v>
      </c>
      <c r="F310" s="194">
        <v>1139</v>
      </c>
      <c r="G310" s="194">
        <v>190</v>
      </c>
      <c r="H310" s="80">
        <v>175</v>
      </c>
      <c r="I310" s="80">
        <v>180</v>
      </c>
      <c r="J310" s="80">
        <v>170</v>
      </c>
      <c r="K310" s="80">
        <v>160</v>
      </c>
      <c r="L310" s="80">
        <v>160</v>
      </c>
      <c r="M310" s="99" t="s">
        <v>183</v>
      </c>
      <c r="N310" s="194">
        <v>1139</v>
      </c>
      <c r="O310" s="195">
        <v>1.1000000000000001</v>
      </c>
      <c r="P310" s="195">
        <v>1.1000000000000001</v>
      </c>
      <c r="Q310" s="195">
        <v>1.1000000000000001</v>
      </c>
      <c r="R310" s="195">
        <v>1.1000000000000001</v>
      </c>
      <c r="S310" s="195">
        <v>1.1000000000000001</v>
      </c>
      <c r="T310" s="195">
        <v>1.1000000000000001</v>
      </c>
      <c r="U310" s="195">
        <v>1.1000000000000001</v>
      </c>
      <c r="V310" s="195">
        <v>1.1000000000000001</v>
      </c>
      <c r="W310" s="195">
        <v>1.1000000000000001</v>
      </c>
    </row>
    <row r="311" spans="1:23" x14ac:dyDescent="0.25">
      <c r="A311" t="s">
        <v>610</v>
      </c>
      <c r="B311" s="117" t="s">
        <v>401</v>
      </c>
      <c r="C311" s="86">
        <f t="shared" si="10"/>
        <v>-2.5767000210342858E-3</v>
      </c>
      <c r="D311" t="s">
        <v>509</v>
      </c>
      <c r="E311" s="86">
        <f t="shared" si="11"/>
        <v>2.6701119724375538E-2</v>
      </c>
      <c r="F311" s="194">
        <v>44372</v>
      </c>
      <c r="G311" s="194">
        <v>2540</v>
      </c>
      <c r="H311" s="80">
        <v>2425</v>
      </c>
      <c r="I311" s="80">
        <v>2370</v>
      </c>
      <c r="J311" s="80">
        <v>2350</v>
      </c>
      <c r="K311" s="80">
        <v>2235</v>
      </c>
      <c r="L311" s="80">
        <v>2230</v>
      </c>
      <c r="M311" s="99" t="s">
        <v>401</v>
      </c>
      <c r="N311" s="194">
        <v>44372</v>
      </c>
      <c r="O311" s="195">
        <v>44</v>
      </c>
      <c r="P311" s="195">
        <v>43.8</v>
      </c>
      <c r="Q311" s="195">
        <v>43.7</v>
      </c>
      <c r="R311" s="195">
        <v>43.6</v>
      </c>
      <c r="S311" s="195">
        <v>43.5</v>
      </c>
      <c r="T311" s="195">
        <v>43.5</v>
      </c>
      <c r="U311" s="195">
        <v>43.4</v>
      </c>
      <c r="V311" s="195">
        <v>43.3</v>
      </c>
      <c r="W311" s="195">
        <v>43</v>
      </c>
    </row>
    <row r="312" spans="1:23" x14ac:dyDescent="0.25">
      <c r="A312" t="s">
        <v>608</v>
      </c>
      <c r="B312" s="117" t="s">
        <v>492</v>
      </c>
      <c r="C312" s="86">
        <f t="shared" si="10"/>
        <v>-3.6941856729842595E-3</v>
      </c>
      <c r="D312" t="s">
        <v>537</v>
      </c>
      <c r="E312" s="86">
        <f t="shared" si="11"/>
        <v>2.5302530253025302E-2</v>
      </c>
      <c r="F312" s="194">
        <v>12452</v>
      </c>
      <c r="G312" s="194">
        <v>975</v>
      </c>
      <c r="H312" s="80">
        <v>975</v>
      </c>
      <c r="I312" s="80">
        <v>950</v>
      </c>
      <c r="J312" s="80">
        <v>900</v>
      </c>
      <c r="K312" s="80">
        <v>860</v>
      </c>
      <c r="L312" s="80">
        <v>860</v>
      </c>
      <c r="M312" s="99" t="s">
        <v>492</v>
      </c>
      <c r="N312" s="194">
        <v>12452</v>
      </c>
      <c r="O312" s="195">
        <v>12.9</v>
      </c>
      <c r="P312" s="195">
        <v>12.9</v>
      </c>
      <c r="Q312" s="195">
        <v>12.8</v>
      </c>
      <c r="R312" s="195">
        <v>12.6</v>
      </c>
      <c r="S312" s="195">
        <v>12.5</v>
      </c>
      <c r="T312" s="195">
        <v>12.3</v>
      </c>
      <c r="U312" s="195">
        <v>12.2</v>
      </c>
      <c r="V312" s="195">
        <v>12.1</v>
      </c>
      <c r="W312" s="195">
        <v>11.9</v>
      </c>
    </row>
    <row r="313" spans="1:23" x14ac:dyDescent="0.25">
      <c r="A313" t="s">
        <v>603</v>
      </c>
      <c r="B313" s="117" t="s">
        <v>379</v>
      </c>
      <c r="C313" s="86">
        <f t="shared" si="10"/>
        <v>1.0598210080075365E-3</v>
      </c>
      <c r="D313" t="s">
        <v>537</v>
      </c>
      <c r="E313" s="86">
        <f t="shared" si="11"/>
        <v>3.7472035794183442E-2</v>
      </c>
      <c r="F313" s="194">
        <v>25476</v>
      </c>
      <c r="G313" s="194">
        <v>2015</v>
      </c>
      <c r="H313" s="80">
        <v>1895</v>
      </c>
      <c r="I313" s="80">
        <v>1840</v>
      </c>
      <c r="J313" s="80">
        <v>1775</v>
      </c>
      <c r="K313" s="80">
        <v>1750</v>
      </c>
      <c r="L313" s="80">
        <v>1680</v>
      </c>
      <c r="M313" s="99" t="s">
        <v>379</v>
      </c>
      <c r="N313" s="194">
        <v>25476</v>
      </c>
      <c r="O313" s="195">
        <v>25.8</v>
      </c>
      <c r="P313" s="195">
        <v>25.9</v>
      </c>
      <c r="Q313" s="195">
        <v>26</v>
      </c>
      <c r="R313" s="195">
        <v>26</v>
      </c>
      <c r="S313" s="195">
        <v>25.9</v>
      </c>
      <c r="T313" s="195">
        <v>25.8</v>
      </c>
      <c r="U313" s="195">
        <v>25.8</v>
      </c>
      <c r="V313" s="195">
        <v>25.8</v>
      </c>
      <c r="W313" s="195">
        <v>25.8</v>
      </c>
    </row>
    <row r="314" spans="1:23" x14ac:dyDescent="0.25">
      <c r="A314" t="s">
        <v>601</v>
      </c>
      <c r="B314" s="117" t="s">
        <v>253</v>
      </c>
      <c r="C314" s="86">
        <f t="shared" si="10"/>
        <v>1.021133013674303E-3</v>
      </c>
      <c r="D314" t="s">
        <v>537</v>
      </c>
      <c r="E314" s="86">
        <f t="shared" si="11"/>
        <v>3.4778465936160075E-2</v>
      </c>
      <c r="F314" s="194">
        <v>24401</v>
      </c>
      <c r="G314" s="194">
        <v>2335</v>
      </c>
      <c r="H314" s="80">
        <v>2210</v>
      </c>
      <c r="I314" s="80">
        <v>2175</v>
      </c>
      <c r="J314" s="80">
        <v>2120</v>
      </c>
      <c r="K314" s="80">
        <v>2020</v>
      </c>
      <c r="L314" s="80">
        <v>1970</v>
      </c>
      <c r="M314" s="99" t="s">
        <v>253</v>
      </c>
      <c r="N314" s="194">
        <v>24401</v>
      </c>
      <c r="O314" s="195">
        <v>24.1</v>
      </c>
      <c r="P314" s="195">
        <v>24.2</v>
      </c>
      <c r="Q314" s="195">
        <v>24.2</v>
      </c>
      <c r="R314" s="195">
        <v>24.2</v>
      </c>
      <c r="S314" s="195">
        <v>24.3</v>
      </c>
      <c r="T314" s="195">
        <v>24.3</v>
      </c>
      <c r="U314" s="195">
        <v>24.3</v>
      </c>
      <c r="V314" s="195">
        <v>24.4</v>
      </c>
      <c r="W314" s="195">
        <v>24.7</v>
      </c>
    </row>
    <row r="315" spans="1:23" x14ac:dyDescent="0.25">
      <c r="A315" t="s">
        <v>599</v>
      </c>
      <c r="B315" s="117" t="s">
        <v>455</v>
      </c>
      <c r="C315" s="86">
        <f t="shared" si="10"/>
        <v>2.5252525252525255E-3</v>
      </c>
      <c r="D315" t="s">
        <v>141</v>
      </c>
      <c r="E315" s="86">
        <f t="shared" si="11"/>
        <v>3.8277511961722487E-2</v>
      </c>
      <c r="F315" s="194">
        <v>26400</v>
      </c>
      <c r="G315" s="194">
        <v>2830</v>
      </c>
      <c r="H315" s="80">
        <v>2730</v>
      </c>
      <c r="I315" s="80">
        <v>2600</v>
      </c>
      <c r="J315" s="80">
        <v>2485</v>
      </c>
      <c r="K315" s="80">
        <v>2375</v>
      </c>
      <c r="L315" s="80">
        <v>2350</v>
      </c>
      <c r="M315" s="99" t="s">
        <v>455</v>
      </c>
      <c r="N315" s="194">
        <v>26400</v>
      </c>
      <c r="O315" s="195">
        <v>26.5</v>
      </c>
      <c r="P315" s="195">
        <v>26.6</v>
      </c>
      <c r="Q315" s="195">
        <v>26.6</v>
      </c>
      <c r="R315" s="195">
        <v>26.7</v>
      </c>
      <c r="S315" s="195">
        <v>26.8</v>
      </c>
      <c r="T315" s="195">
        <v>26.9</v>
      </c>
      <c r="U315" s="195">
        <v>27</v>
      </c>
      <c r="V315" s="195">
        <v>27</v>
      </c>
      <c r="W315" s="195">
        <v>27.2</v>
      </c>
    </row>
    <row r="316" spans="1:23" x14ac:dyDescent="0.25">
      <c r="A316" t="s">
        <v>602</v>
      </c>
      <c r="B316" s="117" t="s">
        <v>753</v>
      </c>
      <c r="C316" s="86">
        <f t="shared" si="10"/>
        <v>-4.0336274106026783E-3</v>
      </c>
      <c r="D316" t="s">
        <v>141</v>
      </c>
      <c r="E316" s="86">
        <f t="shared" si="11"/>
        <v>1.8461368896726553E-2</v>
      </c>
      <c r="F316" s="194">
        <v>46133</v>
      </c>
      <c r="G316" s="194">
        <v>3830</v>
      </c>
      <c r="H316" s="80">
        <v>3753</v>
      </c>
      <c r="I316" s="80">
        <v>3736</v>
      </c>
      <c r="J316" s="80">
        <v>3624</v>
      </c>
      <c r="K316" s="80">
        <v>3538</v>
      </c>
      <c r="L316" s="80">
        <v>3495</v>
      </c>
      <c r="M316" s="99" t="s">
        <v>753</v>
      </c>
      <c r="N316" s="194">
        <v>46133</v>
      </c>
      <c r="O316" s="195">
        <v>46.5</v>
      </c>
      <c r="P316" s="195">
        <v>46.300000000000004</v>
      </c>
      <c r="Q316" s="195">
        <v>46.099999999999994</v>
      </c>
      <c r="R316" s="195">
        <v>45.9</v>
      </c>
      <c r="S316" s="195">
        <v>45.699999999999996</v>
      </c>
      <c r="T316" s="195">
        <v>45.3</v>
      </c>
      <c r="U316" s="195">
        <v>45</v>
      </c>
      <c r="V316" s="195">
        <v>44.8</v>
      </c>
      <c r="W316" s="195">
        <v>43.9</v>
      </c>
    </row>
    <row r="317" spans="1:23" x14ac:dyDescent="0.25">
      <c r="A317" t="s">
        <v>599</v>
      </c>
      <c r="B317" s="117" t="s">
        <v>456</v>
      </c>
      <c r="C317" s="86">
        <f t="shared" si="10"/>
        <v>2.2701365946019048E-4</v>
      </c>
      <c r="D317" t="s">
        <v>537</v>
      </c>
      <c r="E317" s="86">
        <f t="shared" si="11"/>
        <v>2.75049115913556E-2</v>
      </c>
      <c r="F317" s="194">
        <v>17253</v>
      </c>
      <c r="G317" s="194">
        <v>1645</v>
      </c>
      <c r="H317" s="80">
        <v>1600</v>
      </c>
      <c r="I317" s="80">
        <v>1585</v>
      </c>
      <c r="J317" s="80">
        <v>1545</v>
      </c>
      <c r="K317" s="80">
        <v>1470</v>
      </c>
      <c r="L317" s="80">
        <v>1435</v>
      </c>
      <c r="M317" s="99" t="s">
        <v>456</v>
      </c>
      <c r="N317" s="194">
        <v>17253</v>
      </c>
      <c r="O317" s="195">
        <v>17.2</v>
      </c>
      <c r="P317" s="195">
        <v>17.3</v>
      </c>
      <c r="Q317" s="195">
        <v>17.3</v>
      </c>
      <c r="R317" s="195">
        <v>17.399999999999999</v>
      </c>
      <c r="S317" s="195">
        <v>17.3</v>
      </c>
      <c r="T317" s="195">
        <v>17.3</v>
      </c>
      <c r="U317" s="195">
        <v>17.2</v>
      </c>
      <c r="V317" s="195">
        <v>17.3</v>
      </c>
      <c r="W317" s="195">
        <v>17.3</v>
      </c>
    </row>
    <row r="318" spans="1:23" x14ac:dyDescent="0.25">
      <c r="A318" t="s">
        <v>599</v>
      </c>
      <c r="B318" s="117" t="s">
        <v>457</v>
      </c>
      <c r="C318" s="86">
        <f t="shared" si="10"/>
        <v>2.1482648099027412E-3</v>
      </c>
      <c r="D318" t="s">
        <v>141</v>
      </c>
      <c r="E318" s="86">
        <f t="shared" si="11"/>
        <v>2.185792349726776E-2</v>
      </c>
      <c r="F318" s="194">
        <v>48256</v>
      </c>
      <c r="G318" s="194">
        <v>4685</v>
      </c>
      <c r="H318" s="80">
        <v>4595</v>
      </c>
      <c r="I318" s="80">
        <v>4490</v>
      </c>
      <c r="J318" s="80">
        <v>4395</v>
      </c>
      <c r="K318" s="80">
        <v>4275</v>
      </c>
      <c r="L318" s="80">
        <v>4205</v>
      </c>
      <c r="M318" s="99" t="s">
        <v>457</v>
      </c>
      <c r="N318" s="194">
        <v>48256</v>
      </c>
      <c r="O318" s="195">
        <v>47.9</v>
      </c>
      <c r="P318" s="195">
        <v>48.1</v>
      </c>
      <c r="Q318" s="195">
        <v>48.3</v>
      </c>
      <c r="R318" s="195">
        <v>48.5</v>
      </c>
      <c r="S318" s="195">
        <v>48.7</v>
      </c>
      <c r="T318" s="195">
        <v>48.9</v>
      </c>
      <c r="U318" s="195">
        <v>49</v>
      </c>
      <c r="V318" s="195">
        <v>49.1</v>
      </c>
      <c r="W318" s="195">
        <v>49.5</v>
      </c>
    </row>
    <row r="319" spans="1:23" x14ac:dyDescent="0.25">
      <c r="A319" t="s">
        <v>603</v>
      </c>
      <c r="B319" s="117" t="s">
        <v>380</v>
      </c>
      <c r="C319" s="86">
        <f t="shared" si="10"/>
        <v>-3.2702247654033179E-3</v>
      </c>
      <c r="D319" t="s">
        <v>537</v>
      </c>
      <c r="E319" s="86">
        <f t="shared" si="11"/>
        <v>3.9796390559925961E-2</v>
      </c>
      <c r="F319" s="194">
        <v>28311</v>
      </c>
      <c r="G319" s="194">
        <v>2445</v>
      </c>
      <c r="H319" s="80">
        <v>2315</v>
      </c>
      <c r="I319" s="80">
        <v>2245</v>
      </c>
      <c r="J319" s="80">
        <v>2160</v>
      </c>
      <c r="K319" s="80">
        <v>2070</v>
      </c>
      <c r="L319" s="80">
        <v>2015</v>
      </c>
      <c r="M319" s="99" t="s">
        <v>380</v>
      </c>
      <c r="N319" s="194">
        <v>28311</v>
      </c>
      <c r="O319" s="195">
        <v>26.1</v>
      </c>
      <c r="P319" s="195">
        <v>26.3</v>
      </c>
      <c r="Q319" s="195">
        <v>26.6</v>
      </c>
      <c r="R319" s="195">
        <v>26.9</v>
      </c>
      <c r="S319" s="195">
        <v>27.2</v>
      </c>
      <c r="T319" s="195">
        <v>27.2</v>
      </c>
      <c r="U319" s="195">
        <v>27.2</v>
      </c>
      <c r="V319" s="195">
        <v>27.2</v>
      </c>
      <c r="W319" s="195">
        <v>27.2</v>
      </c>
    </row>
    <row r="320" spans="1:23" x14ac:dyDescent="0.25">
      <c r="A320" t="s">
        <v>601</v>
      </c>
      <c r="B320" s="117" t="s">
        <v>254</v>
      </c>
      <c r="C320" s="86">
        <f t="shared" si="10"/>
        <v>9.280747445054709E-3</v>
      </c>
      <c r="D320" t="s">
        <v>141</v>
      </c>
      <c r="E320" s="86">
        <f t="shared" si="11"/>
        <v>3.2138442521631644E-2</v>
      </c>
      <c r="F320" s="194">
        <v>38781</v>
      </c>
      <c r="G320" s="194">
        <v>2665</v>
      </c>
      <c r="H320" s="80">
        <v>2550</v>
      </c>
      <c r="I320" s="80">
        <v>2530</v>
      </c>
      <c r="J320" s="80">
        <v>2455</v>
      </c>
      <c r="K320" s="80">
        <v>2325</v>
      </c>
      <c r="L320" s="80">
        <v>2275</v>
      </c>
      <c r="M320" s="99" t="s">
        <v>254</v>
      </c>
      <c r="N320" s="194">
        <v>38781</v>
      </c>
      <c r="O320" s="195">
        <v>39.700000000000003</v>
      </c>
      <c r="P320" s="195">
        <v>40</v>
      </c>
      <c r="Q320" s="195">
        <v>40.299999999999997</v>
      </c>
      <c r="R320" s="195">
        <v>40.6</v>
      </c>
      <c r="S320" s="195">
        <v>41</v>
      </c>
      <c r="T320" s="195">
        <v>41.4</v>
      </c>
      <c r="U320" s="195">
        <v>41.7</v>
      </c>
      <c r="V320" s="195">
        <v>42</v>
      </c>
      <c r="W320" s="195">
        <v>43.1</v>
      </c>
    </row>
    <row r="321" spans="1:23" x14ac:dyDescent="0.25">
      <c r="A321" t="s">
        <v>603</v>
      </c>
      <c r="B321" s="117" t="s">
        <v>381</v>
      </c>
      <c r="C321" s="86">
        <f t="shared" si="10"/>
        <v>-4.101594817162422E-3</v>
      </c>
      <c r="D321" t="s">
        <v>537</v>
      </c>
      <c r="E321" s="86">
        <f t="shared" si="11"/>
        <v>2.2058823529411766E-2</v>
      </c>
      <c r="F321" s="194">
        <v>26189</v>
      </c>
      <c r="G321" s="194">
        <v>2625</v>
      </c>
      <c r="H321" s="80">
        <v>2555</v>
      </c>
      <c r="I321" s="80">
        <v>2540</v>
      </c>
      <c r="J321" s="80">
        <v>2440</v>
      </c>
      <c r="K321" s="80">
        <v>2350</v>
      </c>
      <c r="L321" s="80">
        <v>2355</v>
      </c>
      <c r="M321" s="99" t="s">
        <v>381</v>
      </c>
      <c r="N321" s="194">
        <v>26189</v>
      </c>
      <c r="O321" s="195">
        <v>25.6</v>
      </c>
      <c r="P321" s="195">
        <v>25.4</v>
      </c>
      <c r="Q321" s="195">
        <v>25.3</v>
      </c>
      <c r="R321" s="195">
        <v>25.2</v>
      </c>
      <c r="S321" s="195">
        <v>25.1</v>
      </c>
      <c r="T321" s="195">
        <v>25.1</v>
      </c>
      <c r="U321" s="195">
        <v>25.1</v>
      </c>
      <c r="V321" s="195">
        <v>25</v>
      </c>
      <c r="W321" s="195">
        <v>24.9</v>
      </c>
    </row>
    <row r="322" spans="1:23" x14ac:dyDescent="0.25">
      <c r="A322" t="s">
        <v>600</v>
      </c>
      <c r="B322" s="117" t="s">
        <v>326</v>
      </c>
      <c r="C322" s="86">
        <f t="shared" si="10"/>
        <v>-5.1042027813089877E-4</v>
      </c>
      <c r="D322" t="s">
        <v>537</v>
      </c>
      <c r="E322" s="86">
        <f t="shared" si="11"/>
        <v>3.9975772259236826E-2</v>
      </c>
      <c r="F322" s="194">
        <v>17306</v>
      </c>
      <c r="G322" s="194">
        <v>1865</v>
      </c>
      <c r="H322" s="80">
        <v>1790</v>
      </c>
      <c r="I322" s="80">
        <v>1710</v>
      </c>
      <c r="J322" s="80">
        <v>1660</v>
      </c>
      <c r="K322" s="80">
        <v>1560</v>
      </c>
      <c r="L322" s="80">
        <v>1535</v>
      </c>
      <c r="M322" s="99" t="s">
        <v>326</v>
      </c>
      <c r="N322" s="194">
        <v>17306</v>
      </c>
      <c r="O322" s="195">
        <v>17.600000000000001</v>
      </c>
      <c r="P322" s="195">
        <v>17.600000000000001</v>
      </c>
      <c r="Q322" s="195">
        <v>17.600000000000001</v>
      </c>
      <c r="R322" s="195">
        <v>17.5</v>
      </c>
      <c r="S322" s="195">
        <v>17.399999999999999</v>
      </c>
      <c r="T322" s="195">
        <v>17.3</v>
      </c>
      <c r="U322" s="195">
        <v>17.3</v>
      </c>
      <c r="V322" s="195">
        <v>17.2</v>
      </c>
      <c r="W322" s="195">
        <v>17.2</v>
      </c>
    </row>
    <row r="323" spans="1:23" x14ac:dyDescent="0.25">
      <c r="A323" t="s">
        <v>608</v>
      </c>
      <c r="B323" s="117" t="s">
        <v>493</v>
      </c>
      <c r="C323" s="86">
        <f t="shared" si="10"/>
        <v>1.7706306053249332E-3</v>
      </c>
      <c r="D323" t="s">
        <v>509</v>
      </c>
      <c r="E323" s="86">
        <f t="shared" si="11"/>
        <v>2.7473993064817286E-2</v>
      </c>
      <c r="F323" s="194">
        <v>49841</v>
      </c>
      <c r="G323" s="194">
        <v>4140</v>
      </c>
      <c r="H323" s="80">
        <v>3915</v>
      </c>
      <c r="I323" s="80">
        <v>3815</v>
      </c>
      <c r="J323" s="80">
        <v>3735</v>
      </c>
      <c r="K323" s="80">
        <v>3655</v>
      </c>
      <c r="L323" s="80">
        <v>3625</v>
      </c>
      <c r="M323" s="99" t="s">
        <v>493</v>
      </c>
      <c r="N323" s="194">
        <v>49841</v>
      </c>
      <c r="O323" s="195">
        <v>49.6</v>
      </c>
      <c r="P323" s="195">
        <v>49.8</v>
      </c>
      <c r="Q323" s="195">
        <v>50</v>
      </c>
      <c r="R323" s="195">
        <v>50.2</v>
      </c>
      <c r="S323" s="195">
        <v>50.4</v>
      </c>
      <c r="T323" s="195">
        <v>50.5</v>
      </c>
      <c r="U323" s="195">
        <v>50.7</v>
      </c>
      <c r="V323" s="195">
        <v>50.7</v>
      </c>
      <c r="W323" s="195">
        <v>50.9</v>
      </c>
    </row>
    <row r="324" spans="1:23" x14ac:dyDescent="0.25">
      <c r="A324" t="s">
        <v>600</v>
      </c>
      <c r="B324" s="117" t="s">
        <v>327</v>
      </c>
      <c r="C324" s="86">
        <f t="shared" si="10"/>
        <v>5.9015743279361302E-3</v>
      </c>
      <c r="D324" t="s">
        <v>141</v>
      </c>
      <c r="E324" s="86">
        <f t="shared" si="11"/>
        <v>3.5677352637021716E-2</v>
      </c>
      <c r="F324" s="194">
        <v>19331</v>
      </c>
      <c r="G324" s="194">
        <v>2170</v>
      </c>
      <c r="H324" s="80">
        <v>2055</v>
      </c>
      <c r="I324" s="80">
        <v>2010</v>
      </c>
      <c r="J324" s="80">
        <v>1915</v>
      </c>
      <c r="K324" s="80">
        <v>1865</v>
      </c>
      <c r="L324" s="80">
        <v>1825</v>
      </c>
      <c r="M324" s="99" t="s">
        <v>327</v>
      </c>
      <c r="N324" s="194">
        <v>19331</v>
      </c>
      <c r="O324" s="195">
        <v>19.399999999999999</v>
      </c>
      <c r="P324" s="195">
        <v>19.600000000000001</v>
      </c>
      <c r="Q324" s="195">
        <v>19.899999999999999</v>
      </c>
      <c r="R324" s="195">
        <v>20.100000000000001</v>
      </c>
      <c r="S324" s="195">
        <v>20.399999999999999</v>
      </c>
      <c r="T324" s="195">
        <v>20.5</v>
      </c>
      <c r="U324" s="195">
        <v>20.7</v>
      </c>
      <c r="V324" s="195">
        <v>20.8</v>
      </c>
      <c r="W324" s="195">
        <v>20.7</v>
      </c>
    </row>
    <row r="325" spans="1:23" x14ac:dyDescent="0.25">
      <c r="A325" t="s">
        <v>601</v>
      </c>
      <c r="B325" s="117" t="s">
        <v>754</v>
      </c>
      <c r="C325" s="86">
        <f t="shared" si="10"/>
        <v>-1.0034016962423429E-4</v>
      </c>
      <c r="D325" t="s">
        <v>537</v>
      </c>
      <c r="E325" s="86">
        <f t="shared" si="11"/>
        <v>2.1619571401479232E-2</v>
      </c>
      <c r="F325" s="194">
        <f t="shared" ref="F325:L325" si="12">SUM(F410:F412)</f>
        <v>50661</v>
      </c>
      <c r="G325" s="194">
        <f t="shared" si="12"/>
        <v>5630</v>
      </c>
      <c r="H325" s="194">
        <f t="shared" si="12"/>
        <v>5535</v>
      </c>
      <c r="I325" s="194">
        <f t="shared" si="12"/>
        <v>5425</v>
      </c>
      <c r="J325" s="194">
        <f t="shared" si="12"/>
        <v>5275</v>
      </c>
      <c r="K325" s="194">
        <f t="shared" si="12"/>
        <v>5070</v>
      </c>
      <c r="L325" s="194">
        <f t="shared" si="12"/>
        <v>5060</v>
      </c>
      <c r="M325" s="99" t="s">
        <v>754</v>
      </c>
      <c r="N325" s="90">
        <f t="shared" ref="N325:W325" si="13">SUM(N410:N412)</f>
        <v>50661</v>
      </c>
      <c r="O325" s="90">
        <f t="shared" si="13"/>
        <v>50.199999999999996</v>
      </c>
      <c r="P325" s="90">
        <f t="shared" si="13"/>
        <v>50.5</v>
      </c>
      <c r="Q325" s="90">
        <f t="shared" si="13"/>
        <v>50.599999999999994</v>
      </c>
      <c r="R325" s="90">
        <f t="shared" si="13"/>
        <v>50.599999999999994</v>
      </c>
      <c r="S325" s="90">
        <f t="shared" si="13"/>
        <v>50.699999999999996</v>
      </c>
      <c r="T325" s="90">
        <f t="shared" si="13"/>
        <v>50.8</v>
      </c>
      <c r="U325" s="90">
        <f t="shared" si="13"/>
        <v>50.7</v>
      </c>
      <c r="V325" s="90">
        <f t="shared" si="13"/>
        <v>50.7</v>
      </c>
      <c r="W325" s="90">
        <f t="shared" si="13"/>
        <v>50.6</v>
      </c>
    </row>
    <row r="326" spans="1:23" x14ac:dyDescent="0.25">
      <c r="A326" t="s">
        <v>601</v>
      </c>
      <c r="B326" s="117" t="s">
        <v>255</v>
      </c>
      <c r="C326" s="86">
        <f t="shared" si="10"/>
        <v>-1.1927856131704504E-3</v>
      </c>
      <c r="D326" t="s">
        <v>537</v>
      </c>
      <c r="E326" s="86">
        <f t="shared" si="11"/>
        <v>3.3143448990160536E-2</v>
      </c>
      <c r="F326" s="194">
        <v>19073</v>
      </c>
      <c r="G326" s="194">
        <v>2130</v>
      </c>
      <c r="H326" s="80">
        <v>2080</v>
      </c>
      <c r="I326" s="80">
        <v>2005</v>
      </c>
      <c r="J326" s="80">
        <v>1930</v>
      </c>
      <c r="K326" s="80">
        <v>1830</v>
      </c>
      <c r="L326" s="80">
        <v>1810</v>
      </c>
      <c r="M326" s="99" t="s">
        <v>255</v>
      </c>
      <c r="N326" s="194">
        <v>19073</v>
      </c>
      <c r="O326" s="195">
        <v>18.8</v>
      </c>
      <c r="P326" s="195">
        <v>18.8</v>
      </c>
      <c r="Q326" s="195">
        <v>18.8</v>
      </c>
      <c r="R326" s="195">
        <v>18.8</v>
      </c>
      <c r="S326" s="195">
        <v>18.8</v>
      </c>
      <c r="T326" s="195">
        <v>18.8</v>
      </c>
      <c r="U326" s="195">
        <v>18.8</v>
      </c>
      <c r="V326" s="195">
        <v>18.8</v>
      </c>
      <c r="W326" s="195">
        <v>18.8</v>
      </c>
    </row>
    <row r="327" spans="1:23" x14ac:dyDescent="0.25">
      <c r="A327" t="s">
        <v>607</v>
      </c>
      <c r="B327" s="117" t="s">
        <v>755</v>
      </c>
      <c r="C327" s="86">
        <f t="shared" si="10"/>
        <v>-1.1714174150722373E-3</v>
      </c>
      <c r="D327" t="s">
        <v>141</v>
      </c>
      <c r="E327" s="86">
        <f t="shared" si="11"/>
        <v>3.3153750518027353E-2</v>
      </c>
      <c r="F327" s="194">
        <v>61464</v>
      </c>
      <c r="G327" s="194">
        <v>5320</v>
      </c>
      <c r="H327" s="80">
        <v>5155</v>
      </c>
      <c r="I327" s="80">
        <v>5030</v>
      </c>
      <c r="J327" s="80">
        <v>4810</v>
      </c>
      <c r="K327" s="80">
        <v>4615</v>
      </c>
      <c r="L327" s="80">
        <v>4520</v>
      </c>
      <c r="M327" s="99" t="s">
        <v>755</v>
      </c>
      <c r="N327" s="194">
        <v>61464</v>
      </c>
      <c r="O327" s="195">
        <v>61.699999999999996</v>
      </c>
      <c r="P327" s="195">
        <v>61.699999999999996</v>
      </c>
      <c r="Q327" s="195">
        <v>61.699999999999996</v>
      </c>
      <c r="R327" s="195">
        <v>61.699999999999996</v>
      </c>
      <c r="S327" s="195">
        <v>61.499999999999993</v>
      </c>
      <c r="T327" s="195">
        <v>61.4</v>
      </c>
      <c r="U327" s="195">
        <v>61.300000000000004</v>
      </c>
      <c r="V327" s="195">
        <v>61.099999999999994</v>
      </c>
      <c r="W327" s="195">
        <v>60.6</v>
      </c>
    </row>
    <row r="328" spans="1:23" x14ac:dyDescent="0.25">
      <c r="A328" t="s">
        <v>598</v>
      </c>
      <c r="B328" s="117" t="s">
        <v>139</v>
      </c>
      <c r="C328" s="86">
        <f t="shared" si="10"/>
        <v>-5.3631429309899201E-3</v>
      </c>
      <c r="D328" t="s">
        <v>141</v>
      </c>
      <c r="E328" s="86">
        <f t="shared" si="11"/>
        <v>3.7305122494432075E-2</v>
      </c>
      <c r="F328" s="194">
        <v>19345</v>
      </c>
      <c r="G328" s="194">
        <v>1995</v>
      </c>
      <c r="H328" s="80">
        <v>1915</v>
      </c>
      <c r="I328" s="80">
        <v>1860</v>
      </c>
      <c r="J328" s="80">
        <v>1810</v>
      </c>
      <c r="K328" s="80">
        <v>1735</v>
      </c>
      <c r="L328" s="80">
        <v>1660</v>
      </c>
      <c r="M328" s="99" t="s">
        <v>139</v>
      </c>
      <c r="N328" s="194">
        <v>19345</v>
      </c>
      <c r="O328" s="195">
        <v>19</v>
      </c>
      <c r="P328" s="195">
        <v>18.899999999999999</v>
      </c>
      <c r="Q328" s="195">
        <v>18.899999999999999</v>
      </c>
      <c r="R328" s="195">
        <v>18.8</v>
      </c>
      <c r="S328" s="195">
        <v>18.7</v>
      </c>
      <c r="T328" s="195">
        <v>18.600000000000001</v>
      </c>
      <c r="U328" s="195">
        <v>18.5</v>
      </c>
      <c r="V328" s="195">
        <v>18.399999999999999</v>
      </c>
      <c r="W328" s="195">
        <v>18.100000000000001</v>
      </c>
    </row>
    <row r="329" spans="1:23" x14ac:dyDescent="0.25">
      <c r="A329" t="s">
        <v>601</v>
      </c>
      <c r="B329" s="117" t="s">
        <v>256</v>
      </c>
      <c r="C329" s="86">
        <f t="shared" si="10"/>
        <v>-6.9012072928522012E-3</v>
      </c>
      <c r="D329" t="s">
        <v>141</v>
      </c>
      <c r="E329" s="86">
        <f t="shared" si="11"/>
        <v>1.9675925925925927E-2</v>
      </c>
      <c r="F329" s="194">
        <v>14937</v>
      </c>
      <c r="G329" s="194">
        <v>935</v>
      </c>
      <c r="H329" s="80">
        <v>915</v>
      </c>
      <c r="I329" s="80">
        <v>895</v>
      </c>
      <c r="J329" s="80">
        <v>840</v>
      </c>
      <c r="K329" s="80">
        <v>820</v>
      </c>
      <c r="L329" s="80">
        <v>850</v>
      </c>
      <c r="M329" s="99" t="s">
        <v>256</v>
      </c>
      <c r="N329" s="194">
        <v>14937</v>
      </c>
      <c r="O329" s="195">
        <v>15.2</v>
      </c>
      <c r="P329" s="195">
        <v>15</v>
      </c>
      <c r="Q329" s="195">
        <v>14.8</v>
      </c>
      <c r="R329" s="195">
        <v>14.6</v>
      </c>
      <c r="S329" s="195">
        <v>14.4</v>
      </c>
      <c r="T329" s="195">
        <v>14.3</v>
      </c>
      <c r="U329" s="195">
        <v>14.1</v>
      </c>
      <c r="V329" s="195">
        <v>14</v>
      </c>
      <c r="W329" s="195">
        <v>13.7</v>
      </c>
    </row>
    <row r="330" spans="1:23" x14ac:dyDescent="0.25">
      <c r="A330" t="s">
        <v>607</v>
      </c>
      <c r="B330" s="117" t="s">
        <v>756</v>
      </c>
      <c r="C330" s="86">
        <f t="shared" si="10"/>
        <v>3.4859768657898907E-3</v>
      </c>
      <c r="D330" t="s">
        <v>141</v>
      </c>
      <c r="E330" s="86">
        <f t="shared" si="11"/>
        <v>1.9270833333333334E-2</v>
      </c>
      <c r="F330" s="194">
        <v>25244</v>
      </c>
      <c r="G330" s="194">
        <v>2020</v>
      </c>
      <c r="H330" s="80">
        <v>1985</v>
      </c>
      <c r="I330" s="80">
        <v>1975</v>
      </c>
      <c r="J330" s="80">
        <v>1915</v>
      </c>
      <c r="K330" s="80">
        <v>1890</v>
      </c>
      <c r="L330" s="80">
        <v>1835</v>
      </c>
      <c r="M330" s="99" t="s">
        <v>756</v>
      </c>
      <c r="N330" s="194">
        <v>25244</v>
      </c>
      <c r="O330" s="195">
        <v>29.2</v>
      </c>
      <c r="P330" s="195">
        <v>28.7</v>
      </c>
      <c r="Q330" s="195">
        <v>28.400000000000002</v>
      </c>
      <c r="R330" s="195">
        <v>28.1</v>
      </c>
      <c r="S330" s="195">
        <v>27.9</v>
      </c>
      <c r="T330" s="195">
        <v>27.5</v>
      </c>
      <c r="U330" s="195">
        <v>27.3</v>
      </c>
      <c r="V330" s="195">
        <v>27.1</v>
      </c>
      <c r="W330" s="195">
        <v>26.3</v>
      </c>
    </row>
    <row r="331" spans="1:23" x14ac:dyDescent="0.25">
      <c r="A331" t="s">
        <v>603</v>
      </c>
      <c r="B331" s="117" t="s">
        <v>382</v>
      </c>
      <c r="C331" s="86">
        <f t="shared" si="10"/>
        <v>5.6212545436683369E-3</v>
      </c>
      <c r="D331" t="s">
        <v>537</v>
      </c>
      <c r="E331" s="86">
        <f t="shared" si="11"/>
        <v>2.6674937965260544E-2</v>
      </c>
      <c r="F331" s="194">
        <v>108576</v>
      </c>
      <c r="G331" s="194">
        <v>12225</v>
      </c>
      <c r="H331" s="80">
        <v>11800</v>
      </c>
      <c r="I331" s="80">
        <v>11660</v>
      </c>
      <c r="J331" s="80">
        <v>11300</v>
      </c>
      <c r="K331" s="80">
        <v>10940</v>
      </c>
      <c r="L331" s="80">
        <v>10720</v>
      </c>
      <c r="M331" s="99" t="s">
        <v>382</v>
      </c>
      <c r="N331" s="194">
        <v>108576</v>
      </c>
      <c r="O331" s="195">
        <v>107.4</v>
      </c>
      <c r="P331" s="195">
        <v>108.1</v>
      </c>
      <c r="Q331" s="195">
        <v>108.9</v>
      </c>
      <c r="R331" s="195">
        <v>109.8</v>
      </c>
      <c r="S331" s="195">
        <v>110.6</v>
      </c>
      <c r="T331" s="195">
        <v>111.4</v>
      </c>
      <c r="U331" s="195">
        <v>112.2</v>
      </c>
      <c r="V331" s="195">
        <v>113</v>
      </c>
      <c r="W331" s="195">
        <v>115.9</v>
      </c>
    </row>
    <row r="332" spans="1:23" x14ac:dyDescent="0.25">
      <c r="A332" t="s">
        <v>602</v>
      </c>
      <c r="B332" s="117" t="s">
        <v>184</v>
      </c>
      <c r="C332" s="86">
        <f t="shared" si="10"/>
        <v>2.031969655919805E-4</v>
      </c>
      <c r="D332" t="s">
        <v>141</v>
      </c>
      <c r="E332" s="86">
        <f t="shared" si="11"/>
        <v>2.4529128339903637E-2</v>
      </c>
      <c r="F332" s="194">
        <v>25837</v>
      </c>
      <c r="G332" s="194">
        <v>2475</v>
      </c>
      <c r="H332" s="80">
        <v>2385</v>
      </c>
      <c r="I332" s="80">
        <v>2340</v>
      </c>
      <c r="J332" s="80">
        <v>2290</v>
      </c>
      <c r="K332" s="80">
        <v>2205</v>
      </c>
      <c r="L332" s="80">
        <v>2195</v>
      </c>
      <c r="M332" s="99" t="s">
        <v>184</v>
      </c>
      <c r="N332" s="194">
        <v>25837</v>
      </c>
      <c r="O332" s="195">
        <v>25.6</v>
      </c>
      <c r="P332" s="195">
        <v>25.7</v>
      </c>
      <c r="Q332" s="195">
        <v>25.8</v>
      </c>
      <c r="R332" s="195">
        <v>25.9</v>
      </c>
      <c r="S332" s="195">
        <v>25.9</v>
      </c>
      <c r="T332" s="195">
        <v>25.9</v>
      </c>
      <c r="U332" s="195">
        <v>25.9</v>
      </c>
      <c r="V332" s="195">
        <v>25.9</v>
      </c>
      <c r="W332" s="195">
        <v>25.9</v>
      </c>
    </row>
    <row r="333" spans="1:23" x14ac:dyDescent="0.25">
      <c r="A333" t="s">
        <v>603</v>
      </c>
      <c r="B333" s="117" t="s">
        <v>383</v>
      </c>
      <c r="C333" s="86">
        <f t="shared" si="10"/>
        <v>-3.0079299972655183E-3</v>
      </c>
      <c r="D333" t="s">
        <v>537</v>
      </c>
      <c r="E333" s="86">
        <f t="shared" si="11"/>
        <v>2.9456193353474321E-2</v>
      </c>
      <c r="F333" s="194">
        <v>14628</v>
      </c>
      <c r="G333" s="194">
        <v>1460</v>
      </c>
      <c r="H333" s="80">
        <v>1400</v>
      </c>
      <c r="I333" s="80">
        <v>1375</v>
      </c>
      <c r="J333" s="80">
        <v>1315</v>
      </c>
      <c r="K333" s="80">
        <v>1265</v>
      </c>
      <c r="L333" s="80">
        <v>1265</v>
      </c>
      <c r="M333" s="99" t="s">
        <v>383</v>
      </c>
      <c r="N333" s="194">
        <v>14628</v>
      </c>
      <c r="O333" s="195">
        <v>14.2</v>
      </c>
      <c r="P333" s="195">
        <v>14.1</v>
      </c>
      <c r="Q333" s="195">
        <v>14.1</v>
      </c>
      <c r="R333" s="195">
        <v>14.1</v>
      </c>
      <c r="S333" s="195">
        <v>14</v>
      </c>
      <c r="T333" s="195">
        <v>14</v>
      </c>
      <c r="U333" s="195">
        <v>14</v>
      </c>
      <c r="V333" s="195">
        <v>14.1</v>
      </c>
      <c r="W333" s="195">
        <v>14.1</v>
      </c>
    </row>
    <row r="334" spans="1:23" x14ac:dyDescent="0.25">
      <c r="A334" t="s">
        <v>604</v>
      </c>
      <c r="B334" s="117" t="s">
        <v>206</v>
      </c>
      <c r="C334" s="86">
        <f t="shared" si="10"/>
        <v>-1.5232422810981037E-3</v>
      </c>
      <c r="D334" t="s">
        <v>537</v>
      </c>
      <c r="E334" s="86">
        <f t="shared" si="11"/>
        <v>4.0101522842639591E-2</v>
      </c>
      <c r="F334" s="194">
        <v>24345</v>
      </c>
      <c r="G334" s="194">
        <v>2205</v>
      </c>
      <c r="H334" s="80">
        <v>2110</v>
      </c>
      <c r="I334" s="80">
        <v>2050</v>
      </c>
      <c r="J334" s="80">
        <v>1985</v>
      </c>
      <c r="K334" s="80">
        <v>1895</v>
      </c>
      <c r="L334" s="80">
        <v>1810</v>
      </c>
      <c r="M334" s="99" t="s">
        <v>206</v>
      </c>
      <c r="N334" s="194">
        <v>24345</v>
      </c>
      <c r="O334" s="195">
        <v>24</v>
      </c>
      <c r="P334" s="195">
        <v>24</v>
      </c>
      <c r="Q334" s="195">
        <v>24</v>
      </c>
      <c r="R334" s="195">
        <v>24.1</v>
      </c>
      <c r="S334" s="195">
        <v>24</v>
      </c>
      <c r="T334" s="195">
        <v>24</v>
      </c>
      <c r="U334" s="195">
        <v>24</v>
      </c>
      <c r="V334" s="195">
        <v>24</v>
      </c>
      <c r="W334" s="195">
        <v>23.9</v>
      </c>
    </row>
    <row r="335" spans="1:23" x14ac:dyDescent="0.25">
      <c r="A335" t="s">
        <v>601</v>
      </c>
      <c r="B335" s="117" t="s">
        <v>257</v>
      </c>
      <c r="C335" s="86">
        <f t="shared" si="10"/>
        <v>1.1460699774450171E-3</v>
      </c>
      <c r="D335" t="s">
        <v>141</v>
      </c>
      <c r="E335" s="86">
        <f t="shared" si="11"/>
        <v>2.7991387265456781E-2</v>
      </c>
      <c r="F335" s="194">
        <v>40937</v>
      </c>
      <c r="G335" s="194">
        <v>3525</v>
      </c>
      <c r="H335" s="80">
        <v>3435</v>
      </c>
      <c r="I335" s="80">
        <v>3350</v>
      </c>
      <c r="J335" s="80">
        <v>3240</v>
      </c>
      <c r="K335" s="80">
        <v>3160</v>
      </c>
      <c r="L335" s="80">
        <v>3070</v>
      </c>
      <c r="M335" s="99" t="s">
        <v>257</v>
      </c>
      <c r="N335" s="194">
        <v>40937</v>
      </c>
      <c r="O335" s="195">
        <v>41</v>
      </c>
      <c r="P335" s="195">
        <v>41</v>
      </c>
      <c r="Q335" s="195">
        <v>41.1</v>
      </c>
      <c r="R335" s="195">
        <v>41.2</v>
      </c>
      <c r="S335" s="195">
        <v>41.3</v>
      </c>
      <c r="T335" s="195">
        <v>41.4</v>
      </c>
      <c r="U335" s="195">
        <v>41.3</v>
      </c>
      <c r="V335" s="195">
        <v>41.2</v>
      </c>
      <c r="W335" s="195">
        <v>41.5</v>
      </c>
    </row>
    <row r="336" spans="1:23" x14ac:dyDescent="0.25">
      <c r="A336" t="s">
        <v>600</v>
      </c>
      <c r="B336" s="117" t="s">
        <v>328</v>
      </c>
      <c r="C336" s="86">
        <f t="shared" si="10"/>
        <v>-6.3077691731201601E-3</v>
      </c>
      <c r="D336" t="s">
        <v>537</v>
      </c>
      <c r="E336" s="86">
        <f t="shared" si="11"/>
        <v>2.342987308818744E-2</v>
      </c>
      <c r="F336" s="194">
        <v>24018</v>
      </c>
      <c r="G336" s="194">
        <v>3340</v>
      </c>
      <c r="H336" s="80">
        <v>3230</v>
      </c>
      <c r="I336" s="80">
        <v>3135</v>
      </c>
      <c r="J336" s="80">
        <v>3045</v>
      </c>
      <c r="K336" s="80">
        <v>2975</v>
      </c>
      <c r="L336" s="80">
        <v>2980</v>
      </c>
      <c r="M336" s="99" t="s">
        <v>328</v>
      </c>
      <c r="N336" s="194">
        <v>24018</v>
      </c>
      <c r="O336" s="195">
        <v>22.9</v>
      </c>
      <c r="P336" s="195">
        <v>23</v>
      </c>
      <c r="Q336" s="195">
        <v>23</v>
      </c>
      <c r="R336" s="195">
        <v>23</v>
      </c>
      <c r="S336" s="195">
        <v>23</v>
      </c>
      <c r="T336" s="195">
        <v>22.9</v>
      </c>
      <c r="U336" s="195">
        <v>22.8</v>
      </c>
      <c r="V336" s="195">
        <v>22.6</v>
      </c>
      <c r="W336" s="195">
        <v>22.2</v>
      </c>
    </row>
    <row r="337" spans="1:23" x14ac:dyDescent="0.25">
      <c r="A337" t="s">
        <v>606</v>
      </c>
      <c r="B337" s="117" t="s">
        <v>283</v>
      </c>
      <c r="C337" s="86">
        <f t="shared" si="10"/>
        <v>-1.6236726563705482E-3</v>
      </c>
      <c r="D337" t="s">
        <v>537</v>
      </c>
      <c r="E337" s="86">
        <f t="shared" si="11"/>
        <v>2.572653644592663E-2</v>
      </c>
      <c r="F337" s="194">
        <v>23763</v>
      </c>
      <c r="G337" s="194">
        <v>2255</v>
      </c>
      <c r="H337" s="80">
        <v>2200</v>
      </c>
      <c r="I337" s="80">
        <v>2185</v>
      </c>
      <c r="J337" s="80">
        <v>2115</v>
      </c>
      <c r="K337" s="80">
        <v>2010</v>
      </c>
      <c r="L337" s="80">
        <v>1985</v>
      </c>
      <c r="M337" s="99" t="s">
        <v>283</v>
      </c>
      <c r="N337" s="194">
        <v>23763</v>
      </c>
      <c r="O337" s="195">
        <v>23</v>
      </c>
      <c r="P337" s="195">
        <v>23</v>
      </c>
      <c r="Q337" s="195">
        <v>23.1</v>
      </c>
      <c r="R337" s="195">
        <v>23.2</v>
      </c>
      <c r="S337" s="195">
        <v>23.3</v>
      </c>
      <c r="T337" s="195">
        <v>23.3</v>
      </c>
      <c r="U337" s="195">
        <v>23.4</v>
      </c>
      <c r="V337" s="195">
        <v>23.4</v>
      </c>
      <c r="W337" s="195">
        <v>23.3</v>
      </c>
    </row>
    <row r="338" spans="1:23" x14ac:dyDescent="0.25">
      <c r="A338" t="s">
        <v>601</v>
      </c>
      <c r="B338" s="117" t="s">
        <v>258</v>
      </c>
      <c r="C338" s="86">
        <f t="shared" si="10"/>
        <v>-6.3623574451401616E-3</v>
      </c>
      <c r="D338" t="s">
        <v>141</v>
      </c>
      <c r="E338" s="86">
        <f t="shared" si="11"/>
        <v>2.553191489361702E-2</v>
      </c>
      <c r="F338" s="194">
        <v>28907</v>
      </c>
      <c r="G338" s="194">
        <v>2540</v>
      </c>
      <c r="H338" s="80">
        <v>2460</v>
      </c>
      <c r="I338" s="80">
        <v>2405</v>
      </c>
      <c r="J338" s="80">
        <v>2350</v>
      </c>
      <c r="K338" s="80">
        <v>2295</v>
      </c>
      <c r="L338" s="80">
        <v>2240</v>
      </c>
      <c r="M338" s="99" t="s">
        <v>258</v>
      </c>
      <c r="N338" s="194">
        <v>28907</v>
      </c>
      <c r="O338" s="195">
        <v>28.9</v>
      </c>
      <c r="P338" s="195">
        <v>28.7</v>
      </c>
      <c r="Q338" s="195">
        <v>28.5</v>
      </c>
      <c r="R338" s="195">
        <v>28.3</v>
      </c>
      <c r="S338" s="195">
        <v>28.1</v>
      </c>
      <c r="T338" s="195">
        <v>27.9</v>
      </c>
      <c r="U338" s="195">
        <v>27.7</v>
      </c>
      <c r="V338" s="195">
        <v>27.5</v>
      </c>
      <c r="W338" s="195">
        <v>26.7</v>
      </c>
    </row>
    <row r="339" spans="1:23" x14ac:dyDescent="0.25">
      <c r="A339" t="s">
        <v>599</v>
      </c>
      <c r="B339" s="117" t="s">
        <v>459</v>
      </c>
      <c r="C339" s="86">
        <f t="shared" si="10"/>
        <v>-3.6632968909625966E-3</v>
      </c>
      <c r="D339" t="s">
        <v>537</v>
      </c>
      <c r="E339" s="86">
        <f t="shared" si="11"/>
        <v>2.3432552248258392E-2</v>
      </c>
      <c r="F339" s="194">
        <v>21861</v>
      </c>
      <c r="G339" s="194">
        <v>1710</v>
      </c>
      <c r="H339" s="80">
        <v>1665</v>
      </c>
      <c r="I339" s="80">
        <v>1615</v>
      </c>
      <c r="J339" s="80">
        <v>1565</v>
      </c>
      <c r="K339" s="80">
        <v>1525</v>
      </c>
      <c r="L339" s="80">
        <v>1525</v>
      </c>
      <c r="M339" s="99" t="s">
        <v>459</v>
      </c>
      <c r="N339" s="194">
        <v>21861</v>
      </c>
      <c r="O339" s="195">
        <v>21.5</v>
      </c>
      <c r="P339" s="195">
        <v>21.4</v>
      </c>
      <c r="Q339" s="195">
        <v>21.4</v>
      </c>
      <c r="R339" s="195">
        <v>21.3</v>
      </c>
      <c r="S339" s="195">
        <v>21.3</v>
      </c>
      <c r="T339" s="195">
        <v>21.3</v>
      </c>
      <c r="U339" s="195">
        <v>21.2</v>
      </c>
      <c r="V339" s="195">
        <v>21.2</v>
      </c>
      <c r="W339" s="195">
        <v>20.9</v>
      </c>
    </row>
    <row r="340" spans="1:23" x14ac:dyDescent="0.25">
      <c r="A340" t="s">
        <v>606</v>
      </c>
      <c r="B340" s="117" t="s">
        <v>284</v>
      </c>
      <c r="C340" s="86">
        <f t="shared" si="10"/>
        <v>2.8669578320946031E-3</v>
      </c>
      <c r="D340" t="s">
        <v>537</v>
      </c>
      <c r="E340" s="86">
        <f t="shared" si="11"/>
        <v>3.4288103700606316E-2</v>
      </c>
      <c r="F340" s="194">
        <v>52204</v>
      </c>
      <c r="G340" s="194">
        <v>5285</v>
      </c>
      <c r="H340" s="80">
        <v>5105</v>
      </c>
      <c r="I340" s="80">
        <v>4990</v>
      </c>
      <c r="J340" s="80">
        <v>4805</v>
      </c>
      <c r="K340" s="80">
        <v>4550</v>
      </c>
      <c r="L340" s="80">
        <v>4465</v>
      </c>
      <c r="M340" s="99" t="s">
        <v>284</v>
      </c>
      <c r="N340" s="194">
        <v>52204</v>
      </c>
      <c r="O340" s="195">
        <v>52</v>
      </c>
      <c r="P340" s="195">
        <v>52.3</v>
      </c>
      <c r="Q340" s="195">
        <v>52.5</v>
      </c>
      <c r="R340" s="195">
        <v>52.7</v>
      </c>
      <c r="S340" s="195">
        <v>53</v>
      </c>
      <c r="T340" s="195">
        <v>53.2</v>
      </c>
      <c r="U340" s="195">
        <v>53.3</v>
      </c>
      <c r="V340" s="195">
        <v>53.5</v>
      </c>
      <c r="W340" s="195">
        <v>54</v>
      </c>
    </row>
    <row r="341" spans="1:23" x14ac:dyDescent="0.25">
      <c r="A341" t="s">
        <v>600</v>
      </c>
      <c r="B341" s="117" t="s">
        <v>329</v>
      </c>
      <c r="C341" s="86">
        <f t="shared" si="10"/>
        <v>-6.7352436933627239E-4</v>
      </c>
      <c r="D341" t="s">
        <v>537</v>
      </c>
      <c r="E341" s="86">
        <f t="shared" si="11"/>
        <v>2.6153846153846153E-2</v>
      </c>
      <c r="F341" s="194">
        <v>16332</v>
      </c>
      <c r="G341" s="194">
        <v>1420</v>
      </c>
      <c r="H341" s="80">
        <v>1360</v>
      </c>
      <c r="I341" s="80">
        <v>1320</v>
      </c>
      <c r="J341" s="80">
        <v>1300</v>
      </c>
      <c r="K341" s="80">
        <v>1270</v>
      </c>
      <c r="L341" s="80">
        <v>1250</v>
      </c>
      <c r="M341" s="99" t="s">
        <v>329</v>
      </c>
      <c r="N341" s="194">
        <v>16332</v>
      </c>
      <c r="O341" s="195">
        <v>16.100000000000001</v>
      </c>
      <c r="P341" s="195">
        <v>16.2</v>
      </c>
      <c r="Q341" s="195">
        <v>16.2</v>
      </c>
      <c r="R341" s="195">
        <v>16.3</v>
      </c>
      <c r="S341" s="195">
        <v>16.3</v>
      </c>
      <c r="T341" s="195">
        <v>16.3</v>
      </c>
      <c r="U341" s="195">
        <v>16.3</v>
      </c>
      <c r="V341" s="195">
        <v>16.2</v>
      </c>
      <c r="W341" s="195">
        <v>16.2</v>
      </c>
    </row>
    <row r="342" spans="1:23" x14ac:dyDescent="0.25">
      <c r="A342" t="s">
        <v>606</v>
      </c>
      <c r="B342" s="117" t="s">
        <v>285</v>
      </c>
      <c r="C342" s="86">
        <f t="shared" si="10"/>
        <v>7.8174452462337011E-3</v>
      </c>
      <c r="D342" t="s">
        <v>537</v>
      </c>
      <c r="E342" s="86">
        <f t="shared" si="11"/>
        <v>3.5055350553505532E-2</v>
      </c>
      <c r="F342" s="194">
        <v>13165</v>
      </c>
      <c r="G342" s="194">
        <v>1190</v>
      </c>
      <c r="H342" s="80">
        <v>1160</v>
      </c>
      <c r="I342" s="80">
        <v>1135</v>
      </c>
      <c r="J342" s="80">
        <v>1100</v>
      </c>
      <c r="K342" s="80">
        <v>1025</v>
      </c>
      <c r="L342" s="80">
        <v>1000</v>
      </c>
      <c r="M342" s="99" t="s">
        <v>285</v>
      </c>
      <c r="N342" s="194">
        <v>13165</v>
      </c>
      <c r="O342" s="195">
        <v>13</v>
      </c>
      <c r="P342" s="195">
        <v>13.1</v>
      </c>
      <c r="Q342" s="195">
        <v>13.2</v>
      </c>
      <c r="R342" s="195">
        <v>13.3</v>
      </c>
      <c r="S342" s="195">
        <v>13.4</v>
      </c>
      <c r="T342" s="195">
        <v>13.6</v>
      </c>
      <c r="U342" s="195">
        <v>13.7</v>
      </c>
      <c r="V342" s="195">
        <v>13.9</v>
      </c>
      <c r="W342" s="195">
        <v>14.4</v>
      </c>
    </row>
    <row r="343" spans="1:23" x14ac:dyDescent="0.25">
      <c r="A343" t="s">
        <v>600</v>
      </c>
      <c r="B343" s="117" t="s">
        <v>330</v>
      </c>
      <c r="C343" s="86">
        <f t="shared" si="10"/>
        <v>6.2585981510364852E-3</v>
      </c>
      <c r="D343" t="s">
        <v>509</v>
      </c>
      <c r="E343" s="86">
        <f t="shared" si="11"/>
        <v>3.8837539992890156E-2</v>
      </c>
      <c r="F343" s="194">
        <v>155799</v>
      </c>
      <c r="G343" s="194">
        <v>12795</v>
      </c>
      <c r="H343" s="80">
        <v>12080</v>
      </c>
      <c r="I343" s="80">
        <v>11580</v>
      </c>
      <c r="J343" s="80">
        <v>11180</v>
      </c>
      <c r="K343" s="80">
        <v>10810</v>
      </c>
      <c r="L343" s="80">
        <v>10610</v>
      </c>
      <c r="M343" s="99" t="s">
        <v>330</v>
      </c>
      <c r="N343" s="194">
        <v>155799</v>
      </c>
      <c r="O343" s="195">
        <v>156.80000000000001</v>
      </c>
      <c r="P343" s="195">
        <v>157.69999999999999</v>
      </c>
      <c r="Q343" s="195">
        <v>158.6</v>
      </c>
      <c r="R343" s="195">
        <v>159.1</v>
      </c>
      <c r="S343" s="195">
        <v>159.6</v>
      </c>
      <c r="T343" s="195">
        <v>160.5</v>
      </c>
      <c r="U343" s="195">
        <v>161.5</v>
      </c>
      <c r="V343" s="195">
        <v>162.69999999999999</v>
      </c>
      <c r="W343" s="195">
        <v>167.5</v>
      </c>
    </row>
    <row r="344" spans="1:23" x14ac:dyDescent="0.25">
      <c r="A344" t="s">
        <v>601</v>
      </c>
      <c r="B344" s="117" t="s">
        <v>259</v>
      </c>
      <c r="C344" s="86">
        <f t="shared" si="10"/>
        <v>-2.1711613515699169E-3</v>
      </c>
      <c r="D344" t="s">
        <v>537</v>
      </c>
      <c r="E344" s="86">
        <f t="shared" si="11"/>
        <v>2.2624434389140271E-2</v>
      </c>
      <c r="F344" s="194">
        <v>28441</v>
      </c>
      <c r="G344" s="194">
        <v>3090</v>
      </c>
      <c r="H344" s="80">
        <v>3000</v>
      </c>
      <c r="I344" s="80">
        <v>2930</v>
      </c>
      <c r="J344" s="80">
        <v>2885</v>
      </c>
      <c r="K344" s="80">
        <v>2785</v>
      </c>
      <c r="L344" s="80">
        <v>2765</v>
      </c>
      <c r="M344" s="99" t="s">
        <v>259</v>
      </c>
      <c r="N344" s="194">
        <v>28441</v>
      </c>
      <c r="O344" s="195">
        <v>27.5</v>
      </c>
      <c r="P344" s="195">
        <v>27.6</v>
      </c>
      <c r="Q344" s="195">
        <v>27.7</v>
      </c>
      <c r="R344" s="195">
        <v>27.7</v>
      </c>
      <c r="S344" s="195">
        <v>27.8</v>
      </c>
      <c r="T344" s="195">
        <v>27.8</v>
      </c>
      <c r="U344" s="195">
        <v>27.8</v>
      </c>
      <c r="V344" s="195">
        <v>27.8</v>
      </c>
      <c r="W344" s="195">
        <v>27.7</v>
      </c>
    </row>
    <row r="345" spans="1:23" x14ac:dyDescent="0.25">
      <c r="A345" t="s">
        <v>600</v>
      </c>
      <c r="B345" s="117" t="s">
        <v>331</v>
      </c>
      <c r="C345" s="86">
        <f t="shared" si="10"/>
        <v>9.2919313102799335E-3</v>
      </c>
      <c r="D345" t="s">
        <v>141</v>
      </c>
      <c r="E345" s="86">
        <f t="shared" si="11"/>
        <v>3.2702237521514632E-2</v>
      </c>
      <c r="F345" s="194">
        <v>17004</v>
      </c>
      <c r="G345" s="194">
        <v>1925</v>
      </c>
      <c r="H345" s="80">
        <v>1850</v>
      </c>
      <c r="I345" s="80">
        <v>1810</v>
      </c>
      <c r="J345" s="80">
        <v>1740</v>
      </c>
      <c r="K345" s="80">
        <v>1675</v>
      </c>
      <c r="L345" s="80">
        <v>1640</v>
      </c>
      <c r="M345" s="99" t="s">
        <v>331</v>
      </c>
      <c r="N345" s="194">
        <v>17004</v>
      </c>
      <c r="O345" s="195">
        <v>17.7</v>
      </c>
      <c r="P345" s="195">
        <v>17.8</v>
      </c>
      <c r="Q345" s="195">
        <v>17.899999999999999</v>
      </c>
      <c r="R345" s="195">
        <v>17.899999999999999</v>
      </c>
      <c r="S345" s="195">
        <v>18.100000000000001</v>
      </c>
      <c r="T345" s="195">
        <v>18.2</v>
      </c>
      <c r="U345" s="195">
        <v>18.3</v>
      </c>
      <c r="V345" s="195">
        <v>18.399999999999999</v>
      </c>
      <c r="W345" s="195">
        <v>18.899999999999999</v>
      </c>
    </row>
    <row r="346" spans="1:23" x14ac:dyDescent="0.25">
      <c r="A346" t="s">
        <v>605</v>
      </c>
      <c r="B346" s="117" t="s">
        <v>499</v>
      </c>
      <c r="C346" s="86">
        <f t="shared" si="10"/>
        <v>3.3166009322337757E-3</v>
      </c>
      <c r="D346" t="s">
        <v>537</v>
      </c>
      <c r="E346" s="86">
        <f t="shared" si="11"/>
        <v>2.5162689804772233E-2</v>
      </c>
      <c r="F346" s="194">
        <v>22312</v>
      </c>
      <c r="G346" s="194">
        <v>2495</v>
      </c>
      <c r="H346" s="80">
        <v>2420</v>
      </c>
      <c r="I346" s="80">
        <v>2345</v>
      </c>
      <c r="J346" s="80">
        <v>2315</v>
      </c>
      <c r="K346" s="80">
        <v>2240</v>
      </c>
      <c r="L346" s="80">
        <v>2205</v>
      </c>
      <c r="M346" s="99" t="s">
        <v>499</v>
      </c>
      <c r="N346" s="194">
        <v>22312</v>
      </c>
      <c r="O346" s="195">
        <v>23</v>
      </c>
      <c r="P346" s="195">
        <v>22.9</v>
      </c>
      <c r="Q346" s="195">
        <v>22.8</v>
      </c>
      <c r="R346" s="195">
        <v>22.9</v>
      </c>
      <c r="S346" s="195">
        <v>23</v>
      </c>
      <c r="T346" s="195">
        <v>23</v>
      </c>
      <c r="U346" s="195">
        <v>23.1</v>
      </c>
      <c r="V346" s="195">
        <v>23.2</v>
      </c>
      <c r="W346" s="195">
        <v>23.2</v>
      </c>
    </row>
    <row r="347" spans="1:23" x14ac:dyDescent="0.25">
      <c r="A347" t="s">
        <v>606</v>
      </c>
      <c r="B347" s="117" t="s">
        <v>286</v>
      </c>
      <c r="C347" s="86">
        <f t="shared" si="10"/>
        <v>2.2670419011882425E-3</v>
      </c>
      <c r="D347" t="s">
        <v>141</v>
      </c>
      <c r="E347" s="86">
        <f t="shared" si="11"/>
        <v>2.5676855895196506E-2</v>
      </c>
      <c r="F347" s="194">
        <v>63960</v>
      </c>
      <c r="G347" s="194">
        <v>6235</v>
      </c>
      <c r="H347" s="80">
        <v>5995</v>
      </c>
      <c r="I347" s="80">
        <v>5865</v>
      </c>
      <c r="J347" s="80">
        <v>5710</v>
      </c>
      <c r="K347" s="80">
        <v>5555</v>
      </c>
      <c r="L347" s="80">
        <v>5500</v>
      </c>
      <c r="M347" s="99" t="s">
        <v>286</v>
      </c>
      <c r="N347" s="194">
        <v>63960</v>
      </c>
      <c r="O347" s="195">
        <v>63.7</v>
      </c>
      <c r="P347" s="195">
        <v>63.9</v>
      </c>
      <c r="Q347" s="195">
        <v>63.9</v>
      </c>
      <c r="R347" s="195">
        <v>63.8</v>
      </c>
      <c r="S347" s="195">
        <v>63.7</v>
      </c>
      <c r="T347" s="195">
        <v>63.8</v>
      </c>
      <c r="U347" s="195">
        <v>64</v>
      </c>
      <c r="V347" s="195">
        <v>64.2</v>
      </c>
      <c r="W347" s="195">
        <v>65.7</v>
      </c>
    </row>
    <row r="348" spans="1:23" x14ac:dyDescent="0.25">
      <c r="A348" t="s">
        <v>601</v>
      </c>
      <c r="B348" s="117" t="s">
        <v>260</v>
      </c>
      <c r="C348" s="86">
        <f t="shared" si="10"/>
        <v>-5.8802798017177315E-4</v>
      </c>
      <c r="D348" t="s">
        <v>141</v>
      </c>
      <c r="E348" s="86">
        <f t="shared" si="11"/>
        <v>0.10106382978723404</v>
      </c>
      <c r="F348" s="194">
        <v>43507</v>
      </c>
      <c r="G348" s="194">
        <v>3315</v>
      </c>
      <c r="H348" s="80">
        <v>2395</v>
      </c>
      <c r="I348" s="80">
        <v>2305</v>
      </c>
      <c r="J348" s="80">
        <v>2240</v>
      </c>
      <c r="K348" s="80">
        <v>2165</v>
      </c>
      <c r="L348" s="80">
        <v>2175</v>
      </c>
      <c r="M348" s="99" t="s">
        <v>260</v>
      </c>
      <c r="N348" s="194">
        <v>43507</v>
      </c>
      <c r="O348" s="195">
        <v>43</v>
      </c>
      <c r="P348" s="195">
        <v>43.2</v>
      </c>
      <c r="Q348" s="195">
        <v>43.2</v>
      </c>
      <c r="R348" s="195">
        <v>43.3</v>
      </c>
      <c r="S348" s="195">
        <v>43.2</v>
      </c>
      <c r="T348" s="195">
        <v>43.2</v>
      </c>
      <c r="U348" s="195">
        <v>43.199999999999996</v>
      </c>
      <c r="V348" s="195">
        <v>43.2</v>
      </c>
      <c r="W348" s="195">
        <v>43.2</v>
      </c>
    </row>
    <row r="349" spans="1:23" x14ac:dyDescent="0.25">
      <c r="A349" t="s">
        <v>603</v>
      </c>
      <c r="B349" s="117" t="s">
        <v>385</v>
      </c>
      <c r="C349" s="86">
        <f t="shared" si="10"/>
        <v>-2.2989747653004875E-3</v>
      </c>
      <c r="D349" t="s">
        <v>509</v>
      </c>
      <c r="E349" s="86">
        <f t="shared" si="11"/>
        <v>3.9111914289402347E-2</v>
      </c>
      <c r="F349" s="194">
        <v>124947</v>
      </c>
      <c r="G349" s="194">
        <v>8665</v>
      </c>
      <c r="H349" s="80">
        <v>8355</v>
      </c>
      <c r="I349" s="80">
        <v>8135</v>
      </c>
      <c r="J349" s="80">
        <v>7775</v>
      </c>
      <c r="K349" s="80">
        <v>7320</v>
      </c>
      <c r="L349" s="80">
        <v>7150</v>
      </c>
      <c r="M349" s="99" t="s">
        <v>385</v>
      </c>
      <c r="N349" s="194">
        <v>124947</v>
      </c>
      <c r="O349" s="195">
        <v>122.5</v>
      </c>
      <c r="P349" s="195">
        <v>122.7</v>
      </c>
      <c r="Q349" s="195">
        <v>122.7</v>
      </c>
      <c r="R349" s="195">
        <v>122.8</v>
      </c>
      <c r="S349" s="195">
        <v>122.8</v>
      </c>
      <c r="T349" s="195">
        <v>122.8</v>
      </c>
      <c r="U349" s="195">
        <v>122.6</v>
      </c>
      <c r="V349" s="195">
        <v>122.4</v>
      </c>
      <c r="W349" s="195">
        <v>121.5</v>
      </c>
    </row>
    <row r="350" spans="1:23" x14ac:dyDescent="0.25">
      <c r="A350" t="s">
        <v>603</v>
      </c>
      <c r="B350" s="117" t="s">
        <v>386</v>
      </c>
      <c r="C350" s="86">
        <f t="shared" si="10"/>
        <v>5.4135605253816119E-3</v>
      </c>
      <c r="D350" t="s">
        <v>537</v>
      </c>
      <c r="E350" s="86">
        <f t="shared" si="11"/>
        <v>2.3543990086741014E-2</v>
      </c>
      <c r="F350" s="194">
        <v>8451</v>
      </c>
      <c r="G350" s="194">
        <v>885</v>
      </c>
      <c r="H350" s="80">
        <v>840</v>
      </c>
      <c r="I350" s="80">
        <v>815</v>
      </c>
      <c r="J350" s="80">
        <v>805</v>
      </c>
      <c r="K350" s="80">
        <v>785</v>
      </c>
      <c r="L350" s="80">
        <v>790</v>
      </c>
      <c r="M350" s="99" t="s">
        <v>386</v>
      </c>
      <c r="N350" s="194">
        <v>8451</v>
      </c>
      <c r="O350" s="195">
        <v>8.4</v>
      </c>
      <c r="P350" s="195">
        <v>8.5</v>
      </c>
      <c r="Q350" s="195">
        <v>8.6</v>
      </c>
      <c r="R350" s="195">
        <v>8.6999999999999993</v>
      </c>
      <c r="S350" s="195">
        <v>8.8000000000000007</v>
      </c>
      <c r="T350" s="195">
        <v>8.8000000000000007</v>
      </c>
      <c r="U350" s="195">
        <v>8.9</v>
      </c>
      <c r="V350" s="195">
        <v>8.9</v>
      </c>
      <c r="W350" s="195">
        <v>9</v>
      </c>
    </row>
    <row r="351" spans="1:23" x14ac:dyDescent="0.25">
      <c r="A351" t="s">
        <v>603</v>
      </c>
      <c r="B351" s="117" t="s">
        <v>387</v>
      </c>
      <c r="C351" s="86">
        <f t="shared" si="10"/>
        <v>2.2076990826260124E-3</v>
      </c>
      <c r="D351" t="s">
        <v>537</v>
      </c>
      <c r="E351" s="86">
        <f t="shared" si="11"/>
        <v>3.2872423689016439E-2</v>
      </c>
      <c r="F351" s="194">
        <v>42767</v>
      </c>
      <c r="G351" s="194">
        <v>4215</v>
      </c>
      <c r="H351" s="80">
        <v>4075</v>
      </c>
      <c r="I351" s="80">
        <v>4005</v>
      </c>
      <c r="J351" s="80">
        <v>3845</v>
      </c>
      <c r="K351" s="80">
        <v>3655</v>
      </c>
      <c r="L351" s="80">
        <v>3585</v>
      </c>
      <c r="M351" s="99" t="s">
        <v>387</v>
      </c>
      <c r="N351" s="194">
        <v>42767</v>
      </c>
      <c r="O351" s="195">
        <v>42</v>
      </c>
      <c r="P351" s="195">
        <v>42.2</v>
      </c>
      <c r="Q351" s="195">
        <v>42.5</v>
      </c>
      <c r="R351" s="195">
        <v>42.7</v>
      </c>
      <c r="S351" s="195">
        <v>42.9</v>
      </c>
      <c r="T351" s="195">
        <v>43.1</v>
      </c>
      <c r="U351" s="195">
        <v>43.2</v>
      </c>
      <c r="V351" s="195">
        <v>43.4</v>
      </c>
      <c r="W351" s="195">
        <v>43.9</v>
      </c>
    </row>
    <row r="352" spans="1:23" x14ac:dyDescent="0.25">
      <c r="A352" t="s">
        <v>599</v>
      </c>
      <c r="B352" s="117" t="s">
        <v>461</v>
      </c>
      <c r="C352" s="86">
        <f t="shared" si="10"/>
        <v>-4.3316068565791097E-3</v>
      </c>
      <c r="D352" t="s">
        <v>537</v>
      </c>
      <c r="E352" s="86">
        <f t="shared" si="11"/>
        <v>2.5765678172095283E-2</v>
      </c>
      <c r="F352" s="194">
        <v>21624</v>
      </c>
      <c r="G352" s="194">
        <v>2255</v>
      </c>
      <c r="H352" s="80">
        <v>2170</v>
      </c>
      <c r="I352" s="80">
        <v>2110</v>
      </c>
      <c r="J352" s="80">
        <v>2020</v>
      </c>
      <c r="K352" s="80">
        <v>1995</v>
      </c>
      <c r="L352" s="80">
        <v>1990</v>
      </c>
      <c r="M352" s="99" t="s">
        <v>461</v>
      </c>
      <c r="N352" s="194">
        <v>21624</v>
      </c>
      <c r="O352" s="195">
        <v>20.7</v>
      </c>
      <c r="P352" s="195">
        <v>20.5</v>
      </c>
      <c r="Q352" s="195">
        <v>20.399999999999999</v>
      </c>
      <c r="R352" s="195">
        <v>20.3</v>
      </c>
      <c r="S352" s="195">
        <v>20.3</v>
      </c>
      <c r="T352" s="195">
        <v>20.3</v>
      </c>
      <c r="U352" s="195">
        <v>20.3</v>
      </c>
      <c r="V352" s="195">
        <v>20.3</v>
      </c>
      <c r="W352" s="195">
        <v>20.5</v>
      </c>
    </row>
    <row r="353" spans="1:94" x14ac:dyDescent="0.25">
      <c r="A353" t="s">
        <v>601</v>
      </c>
      <c r="B353" s="117" t="s">
        <v>261</v>
      </c>
      <c r="C353" s="86">
        <f t="shared" si="10"/>
        <v>-3.1596821062213351E-3</v>
      </c>
      <c r="D353" t="s">
        <v>509</v>
      </c>
      <c r="E353" s="86">
        <f t="shared" si="11"/>
        <v>3.3010296789824346E-2</v>
      </c>
      <c r="F353" s="194">
        <v>47605</v>
      </c>
      <c r="G353" s="194">
        <v>3645</v>
      </c>
      <c r="H353" s="80">
        <v>3485</v>
      </c>
      <c r="I353" s="80">
        <v>3430</v>
      </c>
      <c r="J353" s="80">
        <v>3325</v>
      </c>
      <c r="K353" s="80">
        <v>3170</v>
      </c>
      <c r="L353" s="80">
        <v>3100</v>
      </c>
      <c r="M353" s="99" t="s">
        <v>261</v>
      </c>
      <c r="N353" s="194">
        <v>47605</v>
      </c>
      <c r="O353" s="195">
        <v>46.6</v>
      </c>
      <c r="P353" s="195">
        <v>46.5</v>
      </c>
      <c r="Q353" s="195">
        <v>46.5</v>
      </c>
      <c r="R353" s="195">
        <v>46.4</v>
      </c>
      <c r="S353" s="195">
        <v>46.4</v>
      </c>
      <c r="T353" s="195">
        <v>46.3</v>
      </c>
      <c r="U353" s="195">
        <v>46.2</v>
      </c>
      <c r="V353" s="195">
        <v>46.1</v>
      </c>
      <c r="W353" s="195">
        <v>45.8</v>
      </c>
    </row>
    <row r="354" spans="1:94" x14ac:dyDescent="0.25">
      <c r="A354" t="s">
        <v>604</v>
      </c>
      <c r="B354" s="117" t="s">
        <v>207</v>
      </c>
      <c r="C354" s="86">
        <f t="shared" si="10"/>
        <v>-1.8590940064586853E-3</v>
      </c>
      <c r="D354" t="s">
        <v>537</v>
      </c>
      <c r="E354" s="86">
        <f t="shared" si="11"/>
        <v>2.1822149481723951E-2</v>
      </c>
      <c r="F354" s="194">
        <v>22502</v>
      </c>
      <c r="G354" s="194">
        <v>1965</v>
      </c>
      <c r="H354" s="80">
        <v>1910</v>
      </c>
      <c r="I354" s="80">
        <v>1875</v>
      </c>
      <c r="J354" s="80">
        <v>1835</v>
      </c>
      <c r="K354" s="80">
        <v>1780</v>
      </c>
      <c r="L354" s="80">
        <v>1765</v>
      </c>
      <c r="M354" s="99" t="s">
        <v>207</v>
      </c>
      <c r="N354" s="194">
        <v>22502</v>
      </c>
      <c r="O354" s="195">
        <v>22.3</v>
      </c>
      <c r="P354" s="195">
        <v>22.3</v>
      </c>
      <c r="Q354" s="195">
        <v>22.2</v>
      </c>
      <c r="R354" s="195">
        <v>22.2</v>
      </c>
      <c r="S354" s="195">
        <v>22.2</v>
      </c>
      <c r="T354" s="195">
        <v>22.2</v>
      </c>
      <c r="U354" s="195">
        <v>22.2</v>
      </c>
      <c r="V354" s="195">
        <v>22.2</v>
      </c>
      <c r="W354" s="195">
        <v>22</v>
      </c>
    </row>
    <row r="355" spans="1:94" x14ac:dyDescent="0.25">
      <c r="A355" t="s">
        <v>603</v>
      </c>
      <c r="B355" s="117" t="s">
        <v>388</v>
      </c>
      <c r="C355" s="86">
        <f t="shared" si="10"/>
        <v>-2.9000761409952074E-3</v>
      </c>
      <c r="D355" t="s">
        <v>141</v>
      </c>
      <c r="E355" s="86">
        <f t="shared" si="11"/>
        <v>2.1876981610653139E-2</v>
      </c>
      <c r="F355" s="194">
        <v>44654</v>
      </c>
      <c r="G355" s="194">
        <v>3375</v>
      </c>
      <c r="H355" s="80">
        <v>3280</v>
      </c>
      <c r="I355" s="80">
        <v>3255</v>
      </c>
      <c r="J355" s="80">
        <v>3160</v>
      </c>
      <c r="K355" s="80">
        <v>3045</v>
      </c>
      <c r="L355" s="80">
        <v>3030</v>
      </c>
      <c r="M355" s="99" t="s">
        <v>388</v>
      </c>
      <c r="N355" s="194">
        <v>44654</v>
      </c>
      <c r="O355" s="195">
        <v>43.9</v>
      </c>
      <c r="P355" s="195">
        <v>43.7</v>
      </c>
      <c r="Q355" s="195">
        <v>43.6</v>
      </c>
      <c r="R355" s="195">
        <v>43.5</v>
      </c>
      <c r="S355" s="195">
        <v>43.4</v>
      </c>
      <c r="T355" s="195">
        <v>43.3</v>
      </c>
      <c r="U355" s="195">
        <v>43.3</v>
      </c>
      <c r="V355" s="195">
        <v>43.3</v>
      </c>
      <c r="W355" s="195">
        <v>43.1</v>
      </c>
    </row>
    <row r="356" spans="1:94" x14ac:dyDescent="0.25">
      <c r="A356" t="s">
        <v>604</v>
      </c>
      <c r="B356" s="117" t="s">
        <v>208</v>
      </c>
      <c r="C356" s="86">
        <f t="shared" si="10"/>
        <v>5.9533147177862136E-3</v>
      </c>
      <c r="D356" t="s">
        <v>509</v>
      </c>
      <c r="E356" s="86">
        <f t="shared" si="11"/>
        <v>3.8448490331335516E-2</v>
      </c>
      <c r="F356" s="194">
        <v>127492</v>
      </c>
      <c r="G356" s="194">
        <v>9905</v>
      </c>
      <c r="H356" s="80">
        <v>9440</v>
      </c>
      <c r="I356" s="80">
        <v>9210</v>
      </c>
      <c r="J356" s="80">
        <v>8885</v>
      </c>
      <c r="K356" s="80">
        <v>8475</v>
      </c>
      <c r="L356" s="80">
        <v>8205</v>
      </c>
      <c r="M356" s="99" t="s">
        <v>208</v>
      </c>
      <c r="N356" s="194">
        <v>127492</v>
      </c>
      <c r="O356" s="195">
        <v>127.8</v>
      </c>
      <c r="P356" s="195">
        <v>128.6</v>
      </c>
      <c r="Q356" s="195">
        <v>129.5</v>
      </c>
      <c r="R356" s="195">
        <v>130.5</v>
      </c>
      <c r="S356" s="195">
        <v>131.30000000000001</v>
      </c>
      <c r="T356" s="195">
        <v>132.1</v>
      </c>
      <c r="U356" s="195">
        <v>132.9</v>
      </c>
      <c r="V356" s="195">
        <v>133.6</v>
      </c>
      <c r="W356" s="195">
        <v>136.6</v>
      </c>
    </row>
    <row r="357" spans="1:94" x14ac:dyDescent="0.25">
      <c r="B357" s="117" t="s">
        <v>510</v>
      </c>
      <c r="C357" s="86">
        <f t="shared" si="10"/>
        <v>2.6714831446896731E-3</v>
      </c>
      <c r="D357" t="s">
        <v>141</v>
      </c>
      <c r="E357" s="86">
        <f t="shared" si="11"/>
        <v>3.2962362260336685E-2</v>
      </c>
      <c r="F357" s="194">
        <f t="shared" ref="F357:L357" si="14">SUM(F2:F356)</f>
        <v>17282753</v>
      </c>
      <c r="G357" s="194">
        <f t="shared" si="14"/>
        <v>1573690</v>
      </c>
      <c r="H357" s="194">
        <f t="shared" si="14"/>
        <v>1507365</v>
      </c>
      <c r="I357" s="194">
        <f t="shared" si="14"/>
        <v>1469500</v>
      </c>
      <c r="J357" s="194">
        <f t="shared" si="14"/>
        <v>1416890</v>
      </c>
      <c r="K357" s="194">
        <f t="shared" si="14"/>
        <v>1359920</v>
      </c>
      <c r="L357" s="194">
        <f t="shared" si="14"/>
        <v>1339870</v>
      </c>
      <c r="M357" s="99" t="s">
        <v>510</v>
      </c>
      <c r="N357" s="194">
        <f t="shared" ref="N357:W357" si="15">SUM(N2:N356)</f>
        <v>17282753</v>
      </c>
      <c r="O357" s="194">
        <f t="shared" si="15"/>
        <v>17273.100000000009</v>
      </c>
      <c r="P357" s="194">
        <f t="shared" si="15"/>
        <v>17338.400000000009</v>
      </c>
      <c r="Q357" s="194">
        <f t="shared" si="15"/>
        <v>17398.499999999993</v>
      </c>
      <c r="R357" s="194">
        <f t="shared" si="15"/>
        <v>17459.200000000004</v>
      </c>
      <c r="S357" s="194">
        <f t="shared" si="15"/>
        <v>17513.600000000002</v>
      </c>
      <c r="T357" s="194">
        <f t="shared" si="15"/>
        <v>17566.599999999984</v>
      </c>
      <c r="U357" s="194">
        <f t="shared" si="15"/>
        <v>17615.899999999998</v>
      </c>
      <c r="V357" s="194">
        <f t="shared" si="15"/>
        <v>17664.600000000013</v>
      </c>
      <c r="W357" s="194">
        <f t="shared" si="15"/>
        <v>17836.800000000017</v>
      </c>
    </row>
    <row r="358" spans="1:94" x14ac:dyDescent="0.25">
      <c r="B358" s="117"/>
      <c r="C358" s="86"/>
      <c r="E358" s="86"/>
      <c r="F358" s="80"/>
      <c r="G358" s="80"/>
      <c r="N358" s="80"/>
      <c r="O358" s="80"/>
      <c r="P358" s="80"/>
      <c r="Q358" s="80"/>
      <c r="R358" s="80"/>
      <c r="S358" s="80"/>
      <c r="T358" s="80"/>
      <c r="U358" s="80"/>
      <c r="V358" s="80"/>
    </row>
    <row r="359" spans="1:94" x14ac:dyDescent="0.25">
      <c r="B359" s="117"/>
      <c r="C359" s="86"/>
      <c r="E359" s="86"/>
      <c r="F359" s="80"/>
      <c r="G359" s="80"/>
      <c r="N359" s="80"/>
      <c r="O359" s="80"/>
      <c r="P359" s="80"/>
      <c r="Q359" s="80"/>
      <c r="R359" s="80"/>
      <c r="S359" s="80"/>
      <c r="T359" s="80"/>
      <c r="U359" s="80"/>
      <c r="V359" s="80"/>
    </row>
    <row r="360" spans="1:94" x14ac:dyDescent="0.25">
      <c r="A360" t="s">
        <v>599</v>
      </c>
      <c r="B360" s="117" t="s">
        <v>402</v>
      </c>
      <c r="C360" s="86">
        <f>(SUM(W360*1000,-N360)/12)/N360</f>
        <v>2.4611106936198992E-3</v>
      </c>
      <c r="D360" t="s">
        <v>537</v>
      </c>
      <c r="E360" s="86">
        <f>SUM(G360,-L360)/(SUM(H360,I360,J360,K360,L360))</f>
        <v>3.6619718309859155E-2</v>
      </c>
      <c r="F360" s="194">
        <v>13307</v>
      </c>
      <c r="G360" s="194">
        <v>1590</v>
      </c>
      <c r="H360" s="80">
        <v>1500</v>
      </c>
      <c r="I360" s="80">
        <v>1480</v>
      </c>
      <c r="J360" s="80">
        <v>1425</v>
      </c>
      <c r="K360" s="80">
        <v>1365</v>
      </c>
      <c r="L360" s="80">
        <v>1330</v>
      </c>
      <c r="M360" s="99" t="s">
        <v>402</v>
      </c>
      <c r="N360" s="194">
        <v>13307</v>
      </c>
      <c r="O360" s="195">
        <v>13.1</v>
      </c>
      <c r="P360" s="195">
        <v>13.1</v>
      </c>
      <c r="Q360" s="195">
        <v>13.2</v>
      </c>
      <c r="R360" s="195">
        <v>13.3</v>
      </c>
      <c r="S360" s="195">
        <v>13.3</v>
      </c>
      <c r="T360" s="195">
        <v>13.4</v>
      </c>
      <c r="U360" s="195">
        <v>13.4</v>
      </c>
      <c r="V360" s="195">
        <v>13.5</v>
      </c>
      <c r="W360" s="195">
        <v>13.7</v>
      </c>
    </row>
    <row r="361" spans="1:94" x14ac:dyDescent="0.25">
      <c r="A361" t="s">
        <v>599</v>
      </c>
      <c r="B361" s="117" t="s">
        <v>458</v>
      </c>
      <c r="C361" s="86">
        <f>(SUM(W361*1000,-N361)/12)/N361</f>
        <v>-1.221001221001221E-3</v>
      </c>
      <c r="D361" t="s">
        <v>537</v>
      </c>
      <c r="E361" s="86">
        <f>SUM(G361,-L361)/(SUM(H361,I361,J361,K361,L361))</f>
        <v>2.1382206949217258E-2</v>
      </c>
      <c r="F361" s="194">
        <v>27300</v>
      </c>
      <c r="G361" s="194">
        <v>2795</v>
      </c>
      <c r="H361" s="80">
        <v>2720</v>
      </c>
      <c r="I361" s="80">
        <v>2685</v>
      </c>
      <c r="J361" s="80">
        <v>2625</v>
      </c>
      <c r="K361" s="80">
        <v>2550</v>
      </c>
      <c r="L361" s="80">
        <v>2515</v>
      </c>
      <c r="M361" s="99" t="s">
        <v>458</v>
      </c>
      <c r="N361" s="194">
        <v>27300</v>
      </c>
      <c r="O361" s="195">
        <v>26.7</v>
      </c>
      <c r="P361" s="195">
        <v>26.8</v>
      </c>
      <c r="Q361" s="195">
        <v>26.9</v>
      </c>
      <c r="R361" s="195">
        <v>26.9</v>
      </c>
      <c r="S361" s="195">
        <v>26.9</v>
      </c>
      <c r="T361" s="195">
        <v>26.9</v>
      </c>
      <c r="U361" s="195">
        <v>26.9</v>
      </c>
      <c r="V361" s="195">
        <v>26.9</v>
      </c>
      <c r="W361" s="195">
        <v>26.9</v>
      </c>
    </row>
    <row r="362" spans="1:94" x14ac:dyDescent="0.25">
      <c r="A362" t="s">
        <v>599</v>
      </c>
      <c r="B362" s="117" t="s">
        <v>460</v>
      </c>
      <c r="C362" s="86">
        <f>(SUM(W362*1000,-N362)/12)/N362</f>
        <v>-3.2918470418470415E-3</v>
      </c>
      <c r="D362" t="s">
        <v>537</v>
      </c>
      <c r="E362" s="86">
        <f>SUM(G362,-L362)/(SUM(H362,I362,J362,K362,L362))</f>
        <v>3.0501089324618737E-2</v>
      </c>
      <c r="F362" s="194">
        <v>14784</v>
      </c>
      <c r="G362" s="194">
        <v>1495</v>
      </c>
      <c r="H362" s="80">
        <v>1435</v>
      </c>
      <c r="I362" s="80">
        <v>1435</v>
      </c>
      <c r="J362" s="80">
        <v>1390</v>
      </c>
      <c r="K362" s="80">
        <v>1340</v>
      </c>
      <c r="L362" s="80">
        <v>1285</v>
      </c>
      <c r="M362" s="99" t="s">
        <v>460</v>
      </c>
      <c r="N362" s="194">
        <v>14784</v>
      </c>
      <c r="O362" s="195">
        <v>14.3</v>
      </c>
      <c r="P362" s="195">
        <v>14.4</v>
      </c>
      <c r="Q362" s="195">
        <v>14.4</v>
      </c>
      <c r="R362" s="195">
        <v>14.4</v>
      </c>
      <c r="S362" s="195">
        <v>14.4</v>
      </c>
      <c r="T362" s="195">
        <v>14.4</v>
      </c>
      <c r="U362" s="195">
        <v>14.4</v>
      </c>
      <c r="V362" s="195">
        <v>14.4</v>
      </c>
      <c r="W362" s="195">
        <v>14.2</v>
      </c>
    </row>
    <row r="363" spans="1:94" x14ac:dyDescent="0.25">
      <c r="A363" t="s">
        <v>599</v>
      </c>
      <c r="B363" s="117" t="s">
        <v>745</v>
      </c>
      <c r="C363" s="86">
        <f>(SUM(W363*1000,-N363)/12)/N363</f>
        <v>-8.8913361376396886E-4</v>
      </c>
      <c r="D363" t="s">
        <v>537</v>
      </c>
      <c r="E363" s="86">
        <f>SUM(G363,-L363)/(SUM(H363,I363,J363,K363,L363))</f>
        <v>2.7695716395864108E-2</v>
      </c>
      <c r="F363" s="194">
        <f>SUM(F360:F362)</f>
        <v>55391</v>
      </c>
      <c r="G363" s="194">
        <f t="shared" ref="G363:L363" si="16">SUM(G360:G362)</f>
        <v>5880</v>
      </c>
      <c r="H363" s="194">
        <f t="shared" si="16"/>
        <v>5655</v>
      </c>
      <c r="I363" s="194">
        <f t="shared" si="16"/>
        <v>5600</v>
      </c>
      <c r="J363" s="194">
        <f t="shared" si="16"/>
        <v>5440</v>
      </c>
      <c r="K363" s="194">
        <f t="shared" si="16"/>
        <v>5255</v>
      </c>
      <c r="L363" s="194">
        <f t="shared" si="16"/>
        <v>5130</v>
      </c>
      <c r="M363" s="99" t="s">
        <v>745</v>
      </c>
      <c r="N363" s="194">
        <f t="shared" ref="N363" si="17">SUM(N360:N362)</f>
        <v>55391</v>
      </c>
      <c r="O363" s="194">
        <f t="shared" ref="O363" si="18">SUM(O360:O362)</f>
        <v>54.099999999999994</v>
      </c>
      <c r="P363" s="194">
        <f t="shared" ref="P363" si="19">SUM(P360:P362)</f>
        <v>54.3</v>
      </c>
      <c r="Q363" s="194">
        <f t="shared" ref="Q363" si="20">SUM(Q360:Q362)</f>
        <v>54.499999999999993</v>
      </c>
      <c r="R363" s="194">
        <f t="shared" ref="R363" si="21">SUM(R360:R362)</f>
        <v>54.6</v>
      </c>
      <c r="S363" s="194">
        <f t="shared" ref="S363" si="22">SUM(S360:S362)</f>
        <v>54.6</v>
      </c>
      <c r="T363" s="194">
        <f t="shared" ref="T363" si="23">SUM(T360:T362)</f>
        <v>54.699999999999996</v>
      </c>
      <c r="U363" s="194">
        <f t="shared" ref="U363" si="24">SUM(U360:U362)</f>
        <v>54.699999999999996</v>
      </c>
      <c r="V363" s="194">
        <f t="shared" ref="V363" si="25">SUM(V360:V362)</f>
        <v>54.8</v>
      </c>
      <c r="W363" s="194">
        <f t="shared" ref="W363" si="26">SUM(W360:W362)</f>
        <v>54.8</v>
      </c>
    </row>
    <row r="364" spans="1:94" x14ac:dyDescent="0.25">
      <c r="A364" s="101"/>
      <c r="B364" s="117"/>
      <c r="C364" s="86"/>
      <c r="E364" s="86"/>
      <c r="F364" s="194"/>
      <c r="G364" s="194"/>
      <c r="J364" s="100"/>
      <c r="L364" s="100"/>
      <c r="M364" s="102"/>
      <c r="P364" s="195"/>
    </row>
    <row r="365" spans="1:94" s="88" customFormat="1" x14ac:dyDescent="0.25">
      <c r="A365" s="250" t="s">
        <v>608</v>
      </c>
      <c r="B365" s="117" t="s">
        <v>479</v>
      </c>
      <c r="C365" s="86">
        <f>(SUM(W365*1000,-N365)/12)/N365</f>
        <v>3.3636223963477538E-3</v>
      </c>
      <c r="D365" t="s">
        <v>141</v>
      </c>
      <c r="E365" s="86">
        <f>SUM(G365,-L365)/(SUM(H365,I365,J365,K365,L365))</f>
        <v>2.0850708924103418E-2</v>
      </c>
      <c r="F365" s="194">
        <v>15187</v>
      </c>
      <c r="G365" s="194">
        <v>1270</v>
      </c>
      <c r="H365" s="80">
        <v>1255</v>
      </c>
      <c r="I365" s="80">
        <v>1215</v>
      </c>
      <c r="J365" s="80">
        <v>1210</v>
      </c>
      <c r="K365" s="80">
        <v>1170</v>
      </c>
      <c r="L365" s="80">
        <v>1145</v>
      </c>
      <c r="M365" s="99" t="s">
        <v>479</v>
      </c>
      <c r="N365" s="194">
        <v>15187</v>
      </c>
      <c r="O365" s="195">
        <v>15.9</v>
      </c>
      <c r="P365" s="195">
        <v>15.9</v>
      </c>
      <c r="Q365" s="195">
        <v>15.8</v>
      </c>
      <c r="R365" s="195">
        <v>15.7</v>
      </c>
      <c r="S365" s="195">
        <v>15.7</v>
      </c>
      <c r="T365" s="195">
        <v>15.7</v>
      </c>
      <c r="U365" s="195">
        <v>15.7</v>
      </c>
      <c r="V365" s="195">
        <v>15.7</v>
      </c>
      <c r="W365" s="195">
        <v>15.8</v>
      </c>
      <c r="X365"/>
      <c r="Y365"/>
      <c r="Z365"/>
      <c r="AA365"/>
      <c r="AB365"/>
      <c r="AC365"/>
      <c r="AD365"/>
      <c r="AE365"/>
      <c r="AF365"/>
      <c r="AG365"/>
      <c r="AH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row>
    <row r="366" spans="1:94" x14ac:dyDescent="0.25">
      <c r="A366" t="s">
        <v>608</v>
      </c>
      <c r="B366" s="117" t="s">
        <v>480</v>
      </c>
      <c r="C366" s="86">
        <f>(SUM(W366*1000,-N366)/12)/N366</f>
        <v>-6.1033166001630409E-3</v>
      </c>
      <c r="D366" t="s">
        <v>141</v>
      </c>
      <c r="E366" s="86">
        <f>SUM(G366,-L366)/(SUM(H366,I366,J366,K366,L366))</f>
        <v>2.7542372881355932E-2</v>
      </c>
      <c r="F366" s="194">
        <v>7769</v>
      </c>
      <c r="G366" s="194">
        <v>515</v>
      </c>
      <c r="H366" s="80">
        <v>495</v>
      </c>
      <c r="I366" s="80">
        <v>495</v>
      </c>
      <c r="J366" s="80">
        <v>470</v>
      </c>
      <c r="K366" s="80">
        <v>450</v>
      </c>
      <c r="L366" s="80">
        <v>450</v>
      </c>
      <c r="M366" s="99" t="s">
        <v>480</v>
      </c>
      <c r="N366" s="194">
        <v>7769</v>
      </c>
      <c r="O366" s="195">
        <v>7.8</v>
      </c>
      <c r="P366" s="195">
        <v>7.8</v>
      </c>
      <c r="Q366" s="195">
        <v>7.8</v>
      </c>
      <c r="R366" s="195">
        <v>7.6</v>
      </c>
      <c r="S366" s="195">
        <v>7.6</v>
      </c>
      <c r="T366" s="195">
        <v>7.6</v>
      </c>
      <c r="U366" s="195">
        <v>7.6</v>
      </c>
      <c r="V366" s="195">
        <v>7.5</v>
      </c>
      <c r="W366" s="195">
        <v>7.2</v>
      </c>
    </row>
    <row r="367" spans="1:94" x14ac:dyDescent="0.25">
      <c r="A367" t="s">
        <v>608</v>
      </c>
      <c r="B367" s="117" t="s">
        <v>484</v>
      </c>
      <c r="C367" s="86">
        <f>(SUM(W367*1000,-N367)/12)/N367</f>
        <v>4.1385973157867257E-3</v>
      </c>
      <c r="D367" t="s">
        <v>141</v>
      </c>
      <c r="E367" s="86">
        <f>SUM(G367,-L367)/(SUM(H367,I367,J367,K367,L367))</f>
        <v>1.7797552836484983E-2</v>
      </c>
      <c r="F367" s="194">
        <v>12766</v>
      </c>
      <c r="G367" s="194">
        <v>950</v>
      </c>
      <c r="H367" s="80">
        <v>935</v>
      </c>
      <c r="I367" s="80">
        <v>895</v>
      </c>
      <c r="J367" s="80">
        <v>905</v>
      </c>
      <c r="K367" s="80">
        <v>890</v>
      </c>
      <c r="L367" s="80">
        <v>870</v>
      </c>
      <c r="M367" s="99" t="s">
        <v>484</v>
      </c>
      <c r="N367" s="194">
        <v>12766</v>
      </c>
      <c r="O367" s="195">
        <v>13.6</v>
      </c>
      <c r="P367" s="195">
        <v>13.8</v>
      </c>
      <c r="Q367" s="195">
        <v>13.9</v>
      </c>
      <c r="R367" s="195">
        <v>14</v>
      </c>
      <c r="S367" s="195">
        <v>13.9</v>
      </c>
      <c r="T367" s="195">
        <v>13.9</v>
      </c>
      <c r="U367" s="195">
        <v>13.8</v>
      </c>
      <c r="V367" s="195">
        <v>13.7</v>
      </c>
      <c r="W367" s="195">
        <v>13.4</v>
      </c>
    </row>
    <row r="368" spans="1:94" x14ac:dyDescent="0.25">
      <c r="A368" t="s">
        <v>608</v>
      </c>
      <c r="B368" s="117" t="s">
        <v>746</v>
      </c>
      <c r="C368" s="86">
        <f>(SUM(W368*1000,-N368)/12)/N368</f>
        <v>1.5816583617938526E-3</v>
      </c>
      <c r="D368" t="s">
        <v>141</v>
      </c>
      <c r="E368" s="86">
        <f>SUM(G368,-L368)/(SUM(H368,I368,J368,K368,L368))</f>
        <v>2.1011673151750974E-2</v>
      </c>
      <c r="F368" s="194">
        <f>SUM(F365:F367)</f>
        <v>35722</v>
      </c>
      <c r="G368" s="194">
        <f t="shared" ref="G368:L368" si="27">SUM(G365:G367)</f>
        <v>2735</v>
      </c>
      <c r="H368" s="194">
        <f t="shared" si="27"/>
        <v>2685</v>
      </c>
      <c r="I368" s="194">
        <f t="shared" si="27"/>
        <v>2605</v>
      </c>
      <c r="J368" s="194">
        <f t="shared" si="27"/>
        <v>2585</v>
      </c>
      <c r="K368" s="194">
        <f t="shared" si="27"/>
        <v>2510</v>
      </c>
      <c r="L368" s="194">
        <f t="shared" si="27"/>
        <v>2465</v>
      </c>
      <c r="M368" s="99" t="s">
        <v>746</v>
      </c>
      <c r="N368" s="194">
        <f t="shared" ref="N368" si="28">SUM(N365:N367)</f>
        <v>35722</v>
      </c>
      <c r="O368" s="194">
        <f t="shared" ref="O368" si="29">SUM(O365:O367)</f>
        <v>37.299999999999997</v>
      </c>
      <c r="P368" s="194">
        <f t="shared" ref="P368" si="30">SUM(P365:P367)</f>
        <v>37.5</v>
      </c>
      <c r="Q368" s="194">
        <f t="shared" ref="Q368" si="31">SUM(Q365:Q367)</f>
        <v>37.5</v>
      </c>
      <c r="R368" s="194">
        <f t="shared" ref="R368" si="32">SUM(R365:R367)</f>
        <v>37.299999999999997</v>
      </c>
      <c r="S368" s="194">
        <f t="shared" ref="S368" si="33">SUM(S365:S367)</f>
        <v>37.199999999999996</v>
      </c>
      <c r="T368" s="194">
        <f t="shared" ref="T368" si="34">SUM(T365:T367)</f>
        <v>37.199999999999996</v>
      </c>
      <c r="U368" s="194">
        <f t="shared" ref="U368" si="35">SUM(U365:U367)</f>
        <v>37.099999999999994</v>
      </c>
      <c r="V368" s="194">
        <f t="shared" ref="V368" si="36">SUM(V365:V367)</f>
        <v>36.9</v>
      </c>
      <c r="W368" s="194">
        <f t="shared" ref="W368" si="37">SUM(W365:W367)</f>
        <v>36.4</v>
      </c>
    </row>
    <row r="369" spans="1:23" x14ac:dyDescent="0.25">
      <c r="B369" s="117"/>
      <c r="C369" s="86"/>
      <c r="E369" s="86"/>
      <c r="F369" s="194"/>
      <c r="G369" s="194"/>
      <c r="P369" s="195"/>
    </row>
    <row r="370" spans="1:23" x14ac:dyDescent="0.25">
      <c r="A370" t="s">
        <v>607</v>
      </c>
      <c r="B370" s="117" t="s">
        <v>143</v>
      </c>
      <c r="C370" s="86">
        <f>(SUM(W370*1000,-N370)/12)/N370</f>
        <v>4.1265146455490885E-3</v>
      </c>
      <c r="D370" t="s">
        <v>141</v>
      </c>
      <c r="E370" s="86">
        <f>SUM(G370,-L370)/(SUM(H370,I370,J370,K370,L370))</f>
        <v>3.2110091743119268E-2</v>
      </c>
      <c r="F370" s="194">
        <v>10481</v>
      </c>
      <c r="G370" s="194">
        <v>725</v>
      </c>
      <c r="H370" s="80">
        <v>695</v>
      </c>
      <c r="I370" s="80">
        <v>695</v>
      </c>
      <c r="J370" s="80">
        <v>650</v>
      </c>
      <c r="K370" s="80">
        <v>610</v>
      </c>
      <c r="L370" s="80">
        <v>620</v>
      </c>
      <c r="M370" s="99" t="s">
        <v>143</v>
      </c>
      <c r="N370" s="194">
        <v>10481</v>
      </c>
      <c r="O370" s="195">
        <v>10.6</v>
      </c>
      <c r="P370" s="195">
        <v>10.7</v>
      </c>
      <c r="Q370" s="195">
        <v>10.7</v>
      </c>
      <c r="R370" s="195">
        <v>10.7</v>
      </c>
      <c r="S370" s="195">
        <v>10.8</v>
      </c>
      <c r="T370" s="195">
        <v>10.8</v>
      </c>
      <c r="U370" s="195">
        <v>10.8</v>
      </c>
      <c r="V370" s="195">
        <v>10.9</v>
      </c>
      <c r="W370" s="195">
        <v>11</v>
      </c>
    </row>
    <row r="371" spans="1:23" x14ac:dyDescent="0.25">
      <c r="A371" t="s">
        <v>607</v>
      </c>
      <c r="B371" s="117" t="s">
        <v>147</v>
      </c>
      <c r="C371" s="86">
        <f>(SUM(W371*1000,-N371)/12)/N371</f>
        <v>-2.778859045889019E-3</v>
      </c>
      <c r="D371" t="s">
        <v>509</v>
      </c>
      <c r="E371" s="86">
        <f>SUM(G371,-L371)/(SUM(H371,I371,J371,K371,L371))</f>
        <v>1.6353229762878167E-2</v>
      </c>
      <c r="F371" s="194">
        <v>15414</v>
      </c>
      <c r="G371" s="194">
        <v>1290</v>
      </c>
      <c r="H371" s="80">
        <v>1260</v>
      </c>
      <c r="I371" s="80">
        <v>1265</v>
      </c>
      <c r="J371" s="80">
        <v>1220</v>
      </c>
      <c r="K371" s="80">
        <v>1180</v>
      </c>
      <c r="L371" s="80">
        <v>1190</v>
      </c>
      <c r="M371" s="99" t="s">
        <v>147</v>
      </c>
      <c r="N371" s="194">
        <v>15414</v>
      </c>
      <c r="O371" s="195">
        <v>15.5</v>
      </c>
      <c r="P371" s="196">
        <v>15.5</v>
      </c>
      <c r="Q371" s="195">
        <v>15.4</v>
      </c>
      <c r="R371" s="195">
        <v>15.3</v>
      </c>
      <c r="S371" s="195">
        <v>15.2</v>
      </c>
      <c r="T371" s="195">
        <v>15.2</v>
      </c>
      <c r="U371" s="195">
        <v>15.1</v>
      </c>
      <c r="V371" s="195">
        <v>15.1</v>
      </c>
      <c r="W371" s="195">
        <v>14.9</v>
      </c>
    </row>
    <row r="372" spans="1:23" x14ac:dyDescent="0.25">
      <c r="A372" t="s">
        <v>607</v>
      </c>
      <c r="B372" s="117" t="s">
        <v>145</v>
      </c>
      <c r="C372" s="86">
        <f>(SUM(W372*1000,-N372)/12)/N372</f>
        <v>-6.06513791957461E-3</v>
      </c>
      <c r="D372" t="s">
        <v>141</v>
      </c>
      <c r="E372" s="86">
        <f>SUM(G372,-L372)/(SUM(H372,I372,J372,K372,L372))</f>
        <v>1.4783526927138331E-2</v>
      </c>
      <c r="F372" s="194">
        <v>10030</v>
      </c>
      <c r="G372" s="194">
        <v>990</v>
      </c>
      <c r="H372" s="80">
        <v>950</v>
      </c>
      <c r="I372" s="80">
        <v>965</v>
      </c>
      <c r="J372" s="80">
        <v>955</v>
      </c>
      <c r="K372" s="80">
        <v>945</v>
      </c>
      <c r="L372" s="80">
        <v>920</v>
      </c>
      <c r="M372" s="99" t="s">
        <v>145</v>
      </c>
      <c r="N372" s="194">
        <v>10030</v>
      </c>
      <c r="O372" s="195">
        <v>10</v>
      </c>
      <c r="P372" s="195">
        <v>9.9</v>
      </c>
      <c r="Q372" s="195">
        <v>9.8000000000000007</v>
      </c>
      <c r="R372" s="195">
        <v>9.6999999999999993</v>
      </c>
      <c r="S372" s="195">
        <v>9.6</v>
      </c>
      <c r="T372" s="195">
        <v>9.6</v>
      </c>
      <c r="U372" s="195">
        <v>9.5</v>
      </c>
      <c r="V372" s="195">
        <v>9.5</v>
      </c>
      <c r="W372" s="195">
        <v>9.3000000000000007</v>
      </c>
    </row>
    <row r="373" spans="1:23" x14ac:dyDescent="0.25">
      <c r="A373" t="s">
        <v>607</v>
      </c>
      <c r="B373" s="117" t="s">
        <v>163</v>
      </c>
      <c r="C373" s="86">
        <f>(SUM(W373*1000,-N373)/12)/N373</f>
        <v>5.6135415895575786E-4</v>
      </c>
      <c r="D373" t="s">
        <v>141</v>
      </c>
      <c r="E373" s="86">
        <f>SUM(G373,-L373)/(SUM(H373,I373,J373,K373,L373))</f>
        <v>2.5227043390514632E-2</v>
      </c>
      <c r="F373" s="194">
        <v>13509</v>
      </c>
      <c r="G373" s="194">
        <v>1065</v>
      </c>
      <c r="H373" s="80">
        <v>1045</v>
      </c>
      <c r="I373" s="80">
        <v>1030</v>
      </c>
      <c r="J373" s="80">
        <v>990</v>
      </c>
      <c r="K373" s="80">
        <v>950</v>
      </c>
      <c r="L373" s="80">
        <v>940</v>
      </c>
      <c r="M373" s="99" t="s">
        <v>163</v>
      </c>
      <c r="N373" s="194">
        <v>13509</v>
      </c>
      <c r="O373" s="195">
        <v>13.8</v>
      </c>
      <c r="P373" s="195">
        <v>13.7</v>
      </c>
      <c r="Q373" s="195">
        <v>13.7</v>
      </c>
      <c r="R373" s="195">
        <v>13.7</v>
      </c>
      <c r="S373" s="195">
        <v>13.7</v>
      </c>
      <c r="T373" s="195">
        <v>13.7</v>
      </c>
      <c r="U373" s="195">
        <v>13.7</v>
      </c>
      <c r="V373" s="195">
        <v>13.7</v>
      </c>
      <c r="W373" s="195">
        <v>13.6</v>
      </c>
    </row>
    <row r="374" spans="1:23" x14ac:dyDescent="0.25">
      <c r="A374" t="s">
        <v>607</v>
      </c>
      <c r="B374" s="117" t="s">
        <v>747</v>
      </c>
      <c r="C374" s="86"/>
      <c r="D374" t="s">
        <v>141</v>
      </c>
      <c r="E374" s="86"/>
      <c r="F374" s="194">
        <f>SUM(F370:F373)</f>
        <v>49434</v>
      </c>
      <c r="G374" s="194">
        <f t="shared" ref="G374:N374" si="38">SUM(G370:G373)</f>
        <v>4070</v>
      </c>
      <c r="H374" s="194">
        <f t="shared" si="38"/>
        <v>3950</v>
      </c>
      <c r="I374" s="194">
        <f t="shared" si="38"/>
        <v>3955</v>
      </c>
      <c r="J374" s="194">
        <f t="shared" si="38"/>
        <v>3815</v>
      </c>
      <c r="K374" s="194">
        <f t="shared" si="38"/>
        <v>3685</v>
      </c>
      <c r="L374" s="194">
        <f t="shared" si="38"/>
        <v>3670</v>
      </c>
      <c r="M374" s="99" t="s">
        <v>747</v>
      </c>
      <c r="N374" s="194">
        <f t="shared" si="38"/>
        <v>49434</v>
      </c>
      <c r="O374" s="194">
        <f t="shared" ref="O374" si="39">SUM(O370:O373)</f>
        <v>49.900000000000006</v>
      </c>
      <c r="P374" s="194">
        <f t="shared" ref="P374" si="40">SUM(P370:P373)</f>
        <v>49.8</v>
      </c>
      <c r="Q374" s="194">
        <f t="shared" ref="Q374" si="41">SUM(Q370:Q373)</f>
        <v>49.600000000000009</v>
      </c>
      <c r="R374" s="194">
        <f t="shared" ref="R374" si="42">SUM(R370:R373)</f>
        <v>49.400000000000006</v>
      </c>
      <c r="S374" s="194">
        <f t="shared" ref="S374" si="43">SUM(S370:S373)</f>
        <v>49.3</v>
      </c>
      <c r="T374" s="194">
        <f t="shared" ref="T374" si="44">SUM(T370:T373)</f>
        <v>49.3</v>
      </c>
      <c r="U374" s="194">
        <f t="shared" ref="U374" si="45">SUM(U370:U373)</f>
        <v>49.099999999999994</v>
      </c>
      <c r="V374" s="194">
        <f t="shared" ref="V374" si="46">SUM(V370:V373)</f>
        <v>49.2</v>
      </c>
      <c r="W374" s="194">
        <f t="shared" ref="W374" si="47">SUM(W370:W373)</f>
        <v>48.800000000000004</v>
      </c>
    </row>
    <row r="375" spans="1:23" x14ac:dyDescent="0.25">
      <c r="C375" s="86"/>
      <c r="E375" s="86"/>
      <c r="F375" s="80"/>
      <c r="G375" s="80"/>
      <c r="P375" s="195"/>
    </row>
    <row r="376" spans="1:23" x14ac:dyDescent="0.25">
      <c r="A376" t="s">
        <v>603</v>
      </c>
      <c r="B376" s="117" t="s">
        <v>336</v>
      </c>
      <c r="C376" s="86">
        <f>(SUM(W376*1000,-N376)/12)/N376</f>
        <v>-2.584530349039544E-3</v>
      </c>
      <c r="D376" t="s">
        <v>537</v>
      </c>
      <c r="E376" s="86">
        <f>SUM(G376,-L376)/(SUM(H376,I376,J376,K376,L376))</f>
        <v>2.8642590286425903E-2</v>
      </c>
      <c r="F376" s="194">
        <v>29309</v>
      </c>
      <c r="G376" s="194">
        <v>2615</v>
      </c>
      <c r="H376" s="80">
        <v>2535</v>
      </c>
      <c r="I376" s="80">
        <v>2485</v>
      </c>
      <c r="J376" s="80">
        <v>2400</v>
      </c>
      <c r="K376" s="80">
        <v>2355</v>
      </c>
      <c r="L376" s="80">
        <v>2270</v>
      </c>
      <c r="M376" s="99" t="s">
        <v>336</v>
      </c>
      <c r="N376" s="194">
        <v>29309</v>
      </c>
      <c r="O376" s="195">
        <v>28.8</v>
      </c>
      <c r="P376" s="195">
        <v>28.9</v>
      </c>
      <c r="Q376" s="195">
        <v>29.1</v>
      </c>
      <c r="R376" s="195">
        <v>29.2</v>
      </c>
      <c r="S376" s="195">
        <v>29.2</v>
      </c>
      <c r="T376" s="195">
        <v>29.1</v>
      </c>
      <c r="U376" s="195">
        <v>28.9</v>
      </c>
      <c r="V376" s="195">
        <v>28.8</v>
      </c>
      <c r="W376" s="195">
        <v>28.4</v>
      </c>
    </row>
    <row r="377" spans="1:23" x14ac:dyDescent="0.25">
      <c r="A377" t="s">
        <v>603</v>
      </c>
      <c r="B377" s="117" t="s">
        <v>340</v>
      </c>
      <c r="C377" s="86">
        <f>(SUM(W377*1000,-N377)/12)/N377</f>
        <v>-7.9315948309216131E-4</v>
      </c>
      <c r="D377" t="s">
        <v>537</v>
      </c>
      <c r="E377" s="86">
        <f>SUM(G377,-L377)/(SUM(H377,I377,J377,K377,L377))</f>
        <v>2.5141930251419302E-2</v>
      </c>
      <c r="F377" s="194">
        <v>12923</v>
      </c>
      <c r="G377" s="194">
        <v>1335</v>
      </c>
      <c r="H377" s="80">
        <v>1310</v>
      </c>
      <c r="I377" s="80">
        <v>1250</v>
      </c>
      <c r="J377" s="80">
        <v>1230</v>
      </c>
      <c r="K377" s="80">
        <v>1195</v>
      </c>
      <c r="L377" s="80">
        <v>1180</v>
      </c>
      <c r="M377" s="99" t="s">
        <v>340</v>
      </c>
      <c r="N377" s="194">
        <v>12923</v>
      </c>
      <c r="O377" s="195">
        <v>12.9</v>
      </c>
      <c r="P377" s="195">
        <v>12.9</v>
      </c>
      <c r="Q377" s="195">
        <v>12.9</v>
      </c>
      <c r="R377" s="195">
        <v>12.9</v>
      </c>
      <c r="S377" s="195">
        <v>12.8</v>
      </c>
      <c r="T377" s="195">
        <v>12.8</v>
      </c>
      <c r="U377" s="195">
        <v>12.8</v>
      </c>
      <c r="V377" s="195">
        <v>12.8</v>
      </c>
      <c r="W377" s="195">
        <v>12.8</v>
      </c>
    </row>
    <row r="378" spans="1:23" x14ac:dyDescent="0.25">
      <c r="A378" t="s">
        <v>603</v>
      </c>
      <c r="B378" s="117" t="s">
        <v>353</v>
      </c>
      <c r="C378" s="86">
        <f>(SUM(W378*1000,-N378)/12)/N378</f>
        <v>-9.3972732381036889E-3</v>
      </c>
      <c r="D378" t="s">
        <v>537</v>
      </c>
      <c r="E378" s="86">
        <f>SUM(G378,-L378)/(SUM(H378,I378,J378,K378,L378))</f>
        <v>1.9251336898395723E-2</v>
      </c>
      <c r="F378" s="194">
        <v>11271</v>
      </c>
      <c r="G378" s="194">
        <v>990</v>
      </c>
      <c r="H378" s="80">
        <v>970</v>
      </c>
      <c r="I378" s="80">
        <v>940</v>
      </c>
      <c r="J378" s="80">
        <v>950</v>
      </c>
      <c r="K378" s="80">
        <v>915</v>
      </c>
      <c r="L378" s="80">
        <v>900</v>
      </c>
      <c r="M378" s="99" t="s">
        <v>353</v>
      </c>
      <c r="N378" s="194">
        <v>11271</v>
      </c>
      <c r="O378" s="195">
        <v>10.5</v>
      </c>
      <c r="P378" s="195">
        <v>10.5</v>
      </c>
      <c r="Q378" s="195">
        <v>10.5</v>
      </c>
      <c r="R378" s="195">
        <v>10.4</v>
      </c>
      <c r="S378" s="195">
        <v>10.4</v>
      </c>
      <c r="T378" s="195">
        <v>10.3</v>
      </c>
      <c r="U378" s="195">
        <v>10.3</v>
      </c>
      <c r="V378" s="195">
        <v>10.199999999999999</v>
      </c>
      <c r="W378" s="195">
        <v>10</v>
      </c>
    </row>
    <row r="379" spans="1:23" x14ac:dyDescent="0.25">
      <c r="A379" t="s">
        <v>603</v>
      </c>
      <c r="B379" s="117" t="s">
        <v>368</v>
      </c>
      <c r="C379" s="86">
        <f>(SUM(W379*1000,-N379)/12)/N379</f>
        <v>-4.3233185574344662E-3</v>
      </c>
      <c r="D379" t="s">
        <v>537</v>
      </c>
      <c r="E379" s="86">
        <f>SUM(G379,-L379)/(SUM(H379,I379,J379,K379,L379))</f>
        <v>2.3638232271325797E-2</v>
      </c>
      <c r="F379" s="194">
        <v>24364</v>
      </c>
      <c r="G379" s="194">
        <v>2090</v>
      </c>
      <c r="H379" s="80">
        <v>2000</v>
      </c>
      <c r="I379" s="80">
        <v>1990</v>
      </c>
      <c r="J379" s="80">
        <v>1965</v>
      </c>
      <c r="K379" s="80">
        <v>1915</v>
      </c>
      <c r="L379" s="80">
        <v>1860</v>
      </c>
      <c r="M379" s="99" t="s">
        <v>368</v>
      </c>
      <c r="N379" s="194">
        <v>24364</v>
      </c>
      <c r="O379" s="195">
        <v>23.5</v>
      </c>
      <c r="P379" s="195">
        <v>23.6</v>
      </c>
      <c r="Q379" s="195">
        <v>23.6</v>
      </c>
      <c r="R379" s="195">
        <v>23.6</v>
      </c>
      <c r="S379" s="195">
        <v>23.6</v>
      </c>
      <c r="T379" s="195">
        <v>23.5</v>
      </c>
      <c r="U379" s="195">
        <v>23.4</v>
      </c>
      <c r="V379" s="195">
        <v>23.3</v>
      </c>
      <c r="W379" s="195">
        <v>23.1</v>
      </c>
    </row>
    <row r="380" spans="1:23" x14ac:dyDescent="0.25">
      <c r="A380" t="s">
        <v>603</v>
      </c>
      <c r="B380" s="117" t="s">
        <v>376</v>
      </c>
      <c r="C380" s="86">
        <f>(SUM(W380*1000,-N380)/12)/N380</f>
        <v>4.0360873694207022E-3</v>
      </c>
      <c r="D380" t="s">
        <v>537</v>
      </c>
      <c r="E380" s="86">
        <f>SUM(G380,-L380)/(SUM(H380,I380,J380,K380,L380))</f>
        <v>1.9767441860465116E-2</v>
      </c>
      <c r="F380" s="194">
        <v>8775</v>
      </c>
      <c r="G380" s="194">
        <v>910</v>
      </c>
      <c r="H380" s="80">
        <v>900</v>
      </c>
      <c r="I380" s="80">
        <v>890</v>
      </c>
      <c r="J380" s="80">
        <v>850</v>
      </c>
      <c r="K380" s="80">
        <v>835</v>
      </c>
      <c r="L380" s="80">
        <v>825</v>
      </c>
      <c r="M380" s="99" t="s">
        <v>376</v>
      </c>
      <c r="N380" s="194">
        <v>8775</v>
      </c>
      <c r="O380" s="195">
        <v>8.9</v>
      </c>
      <c r="P380" s="195">
        <v>9</v>
      </c>
      <c r="Q380" s="195">
        <v>9</v>
      </c>
      <c r="R380" s="195">
        <v>9.1</v>
      </c>
      <c r="S380" s="195">
        <v>9</v>
      </c>
      <c r="T380" s="195">
        <v>9.1</v>
      </c>
      <c r="U380" s="195">
        <v>9.1</v>
      </c>
      <c r="V380" s="195">
        <v>9.1</v>
      </c>
      <c r="W380" s="195">
        <v>9.1999999999999993</v>
      </c>
    </row>
    <row r="381" spans="1:23" x14ac:dyDescent="0.25">
      <c r="A381" t="s">
        <v>603</v>
      </c>
      <c r="B381" s="117" t="s">
        <v>748</v>
      </c>
      <c r="C381" s="86"/>
      <c r="D381" t="s">
        <v>537</v>
      </c>
      <c r="E381" s="86"/>
      <c r="F381" s="194">
        <f>SUM(F376:F380)</f>
        <v>86642</v>
      </c>
      <c r="G381" s="194">
        <f t="shared" ref="G381:L381" si="48">SUM(G376:G380)</f>
        <v>7940</v>
      </c>
      <c r="H381" s="194">
        <f t="shared" si="48"/>
        <v>7715</v>
      </c>
      <c r="I381" s="194">
        <f t="shared" si="48"/>
        <v>7555</v>
      </c>
      <c r="J381" s="194">
        <f t="shared" si="48"/>
        <v>7395</v>
      </c>
      <c r="K381" s="194">
        <f t="shared" si="48"/>
        <v>7215</v>
      </c>
      <c r="L381" s="194">
        <f t="shared" si="48"/>
        <v>7035</v>
      </c>
      <c r="M381" s="99" t="s">
        <v>748</v>
      </c>
      <c r="N381" s="90">
        <f>SUM(N376:N380)</f>
        <v>86642</v>
      </c>
      <c r="O381" s="195">
        <f t="shared" ref="O381:W381" si="49">SUM(O376:O380)</f>
        <v>84.600000000000009</v>
      </c>
      <c r="P381" s="195">
        <f t="shared" si="49"/>
        <v>84.9</v>
      </c>
      <c r="Q381" s="195">
        <f t="shared" si="49"/>
        <v>85.1</v>
      </c>
      <c r="R381" s="195">
        <f t="shared" si="49"/>
        <v>85.199999999999989</v>
      </c>
      <c r="S381" s="195">
        <f t="shared" si="49"/>
        <v>85</v>
      </c>
      <c r="T381" s="195">
        <f t="shared" si="49"/>
        <v>84.8</v>
      </c>
      <c r="U381" s="195">
        <f t="shared" si="49"/>
        <v>84.5</v>
      </c>
      <c r="V381" s="195">
        <f t="shared" si="49"/>
        <v>84.199999999999989</v>
      </c>
      <c r="W381" s="195">
        <f t="shared" si="49"/>
        <v>83.500000000000014</v>
      </c>
    </row>
    <row r="382" spans="1:23" x14ac:dyDescent="0.25">
      <c r="A382" s="116"/>
      <c r="B382" s="117"/>
      <c r="C382" s="86"/>
      <c r="E382" s="86"/>
      <c r="F382" s="194"/>
      <c r="G382" s="194"/>
      <c r="J382" s="100"/>
      <c r="L382" s="100"/>
      <c r="M382" s="102"/>
      <c r="P382" s="195"/>
    </row>
    <row r="383" spans="1:23" x14ac:dyDescent="0.25">
      <c r="A383" t="s">
        <v>600</v>
      </c>
      <c r="B383" s="117" t="s">
        <v>504</v>
      </c>
      <c r="C383" s="86">
        <f>(SUM(W383*1000,-N383)/12)/N383</f>
        <v>1.8801060433912245E-3</v>
      </c>
      <c r="D383" t="s">
        <v>537</v>
      </c>
      <c r="E383" s="86">
        <f>SUM(G383,-L383)/(SUM(H383,I383,J383,K383,L383))</f>
        <v>5.5921052631578948E-2</v>
      </c>
      <c r="F383" s="194">
        <v>6161</v>
      </c>
      <c r="G383" s="194">
        <v>710</v>
      </c>
      <c r="H383" s="80">
        <v>660</v>
      </c>
      <c r="I383" s="80">
        <v>645</v>
      </c>
      <c r="J383" s="80">
        <v>625</v>
      </c>
      <c r="K383" s="80">
        <v>570</v>
      </c>
      <c r="L383" s="80">
        <v>540</v>
      </c>
      <c r="M383" s="99" t="s">
        <v>504</v>
      </c>
      <c r="N383" s="194">
        <v>6161</v>
      </c>
      <c r="O383" s="195">
        <v>5.8</v>
      </c>
      <c r="P383" s="195">
        <v>5.9</v>
      </c>
      <c r="Q383" s="195">
        <v>5.9</v>
      </c>
      <c r="R383" s="195">
        <v>6</v>
      </c>
      <c r="S383" s="195">
        <v>6</v>
      </c>
      <c r="T383" s="195">
        <v>6.1</v>
      </c>
      <c r="U383" s="195">
        <v>6.1</v>
      </c>
      <c r="V383" s="195">
        <v>6.2</v>
      </c>
      <c r="W383" s="195">
        <v>6.3</v>
      </c>
    </row>
    <row r="384" spans="1:23" x14ac:dyDescent="0.25">
      <c r="A384" t="s">
        <v>600</v>
      </c>
      <c r="B384" s="117" t="s">
        <v>302</v>
      </c>
      <c r="C384" s="86">
        <f>(SUM(W384*1000,-N384)/12)/N384</f>
        <v>8.9703412534388755E-3</v>
      </c>
      <c r="D384" t="s">
        <v>537</v>
      </c>
      <c r="E384" s="86">
        <f>SUM(G384,-L384)/(SUM(H384,I384,J384,K384,L384))</f>
        <v>3.0917739227756015E-2</v>
      </c>
      <c r="F384" s="194">
        <v>148062</v>
      </c>
      <c r="G384" s="194">
        <v>15795</v>
      </c>
      <c r="H384" s="80">
        <v>14990</v>
      </c>
      <c r="I384" s="80">
        <v>14770</v>
      </c>
      <c r="J384" s="80">
        <v>14310</v>
      </c>
      <c r="K384" s="80">
        <v>13825</v>
      </c>
      <c r="L384" s="80">
        <v>13585</v>
      </c>
      <c r="M384" s="99" t="s">
        <v>302</v>
      </c>
      <c r="N384" s="194">
        <v>148062</v>
      </c>
      <c r="O384" s="195">
        <v>149.30000000000001</v>
      </c>
      <c r="P384" s="195">
        <v>150.80000000000001</v>
      </c>
      <c r="Q384" s="195">
        <v>152.4</v>
      </c>
      <c r="R384" s="195">
        <v>154</v>
      </c>
      <c r="S384" s="195">
        <v>155.5</v>
      </c>
      <c r="T384" s="195">
        <v>156.9</v>
      </c>
      <c r="U384" s="195">
        <v>158.30000000000001</v>
      </c>
      <c r="V384" s="195">
        <v>159.6</v>
      </c>
      <c r="W384" s="195">
        <v>164</v>
      </c>
    </row>
    <row r="385" spans="1:94" x14ac:dyDescent="0.25">
      <c r="A385" t="s">
        <v>600</v>
      </c>
      <c r="B385" s="117" t="s">
        <v>302</v>
      </c>
      <c r="C385" s="86"/>
      <c r="D385" t="s">
        <v>537</v>
      </c>
      <c r="E385" s="86"/>
      <c r="F385" s="194">
        <f>SUM(F383:F384)</f>
        <v>154223</v>
      </c>
      <c r="G385" s="194">
        <f t="shared" ref="G385:L385" si="50">SUM(G383:G384)</f>
        <v>16505</v>
      </c>
      <c r="H385" s="194">
        <f t="shared" si="50"/>
        <v>15650</v>
      </c>
      <c r="I385" s="194">
        <f t="shared" si="50"/>
        <v>15415</v>
      </c>
      <c r="J385" s="194">
        <f t="shared" si="50"/>
        <v>14935</v>
      </c>
      <c r="K385" s="194">
        <f t="shared" si="50"/>
        <v>14395</v>
      </c>
      <c r="L385" s="194">
        <f t="shared" si="50"/>
        <v>14125</v>
      </c>
      <c r="M385" s="99" t="s">
        <v>302</v>
      </c>
      <c r="N385" s="90">
        <f>SUM(N383:N384)</f>
        <v>154223</v>
      </c>
      <c r="O385" s="195">
        <f t="shared" ref="O385:W385" si="51">SUM(O383:O384)</f>
        <v>155.10000000000002</v>
      </c>
      <c r="P385" s="195">
        <f t="shared" si="51"/>
        <v>156.70000000000002</v>
      </c>
      <c r="Q385" s="195">
        <f t="shared" si="51"/>
        <v>158.30000000000001</v>
      </c>
      <c r="R385" s="195">
        <f t="shared" si="51"/>
        <v>160</v>
      </c>
      <c r="S385" s="195">
        <f t="shared" si="51"/>
        <v>161.5</v>
      </c>
      <c r="T385" s="195">
        <f t="shared" si="51"/>
        <v>163</v>
      </c>
      <c r="U385" s="195">
        <f t="shared" si="51"/>
        <v>164.4</v>
      </c>
      <c r="V385" s="195">
        <f t="shared" si="51"/>
        <v>165.79999999999998</v>
      </c>
      <c r="W385" s="195">
        <f t="shared" si="51"/>
        <v>170.3</v>
      </c>
    </row>
    <row r="386" spans="1:94" x14ac:dyDescent="0.25">
      <c r="B386" s="117"/>
      <c r="C386" s="86"/>
      <c r="E386" s="86"/>
      <c r="F386" s="194"/>
      <c r="G386" s="194"/>
      <c r="P386" s="195"/>
    </row>
    <row r="387" spans="1:94" x14ac:dyDescent="0.25">
      <c r="A387" t="s">
        <v>607</v>
      </c>
      <c r="B387" s="117" t="s">
        <v>148</v>
      </c>
      <c r="C387" s="86">
        <f>(SUM(W387*1000,-N387)/12)/N387</f>
        <v>5.0086338840704837E-3</v>
      </c>
      <c r="D387" t="s">
        <v>509</v>
      </c>
      <c r="E387" s="86">
        <f>SUM(G387,-L387)/(SUM(H387,I387,J387,K387,L387))</f>
        <v>3.6880783886771913E-2</v>
      </c>
      <c r="F387" s="194">
        <v>203848</v>
      </c>
      <c r="G387" s="194">
        <v>16455</v>
      </c>
      <c r="H387" s="80">
        <v>15690</v>
      </c>
      <c r="I387" s="80">
        <v>15335</v>
      </c>
      <c r="J387" s="80">
        <v>14695</v>
      </c>
      <c r="K387" s="80">
        <v>14015</v>
      </c>
      <c r="L387" s="80">
        <v>13745</v>
      </c>
      <c r="M387" s="99" t="s">
        <v>148</v>
      </c>
      <c r="N387" s="194">
        <v>203848</v>
      </c>
      <c r="O387" s="195">
        <v>207.9</v>
      </c>
      <c r="P387" s="195">
        <v>209.3</v>
      </c>
      <c r="Q387" s="195">
        <v>210.8</v>
      </c>
      <c r="R387" s="195">
        <v>212.5</v>
      </c>
      <c r="S387" s="195">
        <v>214</v>
      </c>
      <c r="T387" s="195">
        <v>215.3</v>
      </c>
      <c r="U387" s="195">
        <v>216.2</v>
      </c>
      <c r="V387" s="195">
        <v>216.7</v>
      </c>
      <c r="W387" s="195">
        <v>216.1</v>
      </c>
    </row>
    <row r="388" spans="1:94" x14ac:dyDescent="0.25">
      <c r="A388" t="s">
        <v>607</v>
      </c>
      <c r="B388" s="117" t="s">
        <v>160</v>
      </c>
      <c r="C388" s="86">
        <f>(SUM(W388*1000,-N388)/12)/N388</f>
        <v>2.2596548890714873E-3</v>
      </c>
      <c r="D388" t="s">
        <v>537</v>
      </c>
      <c r="E388" s="86">
        <f>SUM(G388,-L388)/(SUM(H388,I388,J388,K388,L388))</f>
        <v>1.8518518518518517E-2</v>
      </c>
      <c r="F388" s="194">
        <v>7302</v>
      </c>
      <c r="G388" s="194">
        <v>565</v>
      </c>
      <c r="H388" s="80">
        <v>560</v>
      </c>
      <c r="I388" s="80">
        <v>555</v>
      </c>
      <c r="J388" s="80">
        <v>535</v>
      </c>
      <c r="K388" s="80">
        <v>535</v>
      </c>
      <c r="L388" s="80">
        <v>515</v>
      </c>
      <c r="M388" s="99" t="s">
        <v>160</v>
      </c>
      <c r="N388" s="194">
        <v>7302</v>
      </c>
      <c r="O388" s="195">
        <v>7.5</v>
      </c>
      <c r="P388" s="195">
        <v>7.5</v>
      </c>
      <c r="Q388" s="195">
        <v>7.5</v>
      </c>
      <c r="R388" s="195">
        <v>7.5</v>
      </c>
      <c r="S388" s="195">
        <v>7.5</v>
      </c>
      <c r="T388" s="195">
        <v>7.5</v>
      </c>
      <c r="U388" s="195">
        <v>7.5</v>
      </c>
      <c r="V388" s="195">
        <v>7.5</v>
      </c>
      <c r="W388" s="195">
        <v>7.5</v>
      </c>
    </row>
    <row r="389" spans="1:94" x14ac:dyDescent="0.25">
      <c r="A389" t="s">
        <v>607</v>
      </c>
      <c r="B389" s="117" t="s">
        <v>150</v>
      </c>
      <c r="C389" s="86">
        <f>(SUM(W389*1000,-N389)/12)/N389</f>
        <v>3.2831782485316435E-3</v>
      </c>
      <c r="D389" t="s">
        <v>537</v>
      </c>
      <c r="E389" s="86">
        <f>SUM(G389,-L389)/(SUM(H389,I389,J389,K389,L389))</f>
        <v>4.0181464679196373E-2</v>
      </c>
      <c r="F389" s="194">
        <v>20204</v>
      </c>
      <c r="G389" s="194">
        <v>1730</v>
      </c>
      <c r="H389" s="80">
        <v>1675</v>
      </c>
      <c r="I389" s="80">
        <v>1605</v>
      </c>
      <c r="J389" s="80">
        <v>1545</v>
      </c>
      <c r="K389" s="80">
        <v>1470</v>
      </c>
      <c r="L389" s="80">
        <v>1420</v>
      </c>
      <c r="M389" s="99" t="s">
        <v>150</v>
      </c>
      <c r="N389" s="194">
        <v>20204</v>
      </c>
      <c r="O389" s="195">
        <v>19.899999999999999</v>
      </c>
      <c r="P389" s="195">
        <v>20.100000000000001</v>
      </c>
      <c r="Q389" s="195">
        <v>20.2</v>
      </c>
      <c r="R389" s="195">
        <v>20.399999999999999</v>
      </c>
      <c r="S389" s="195">
        <v>20.5</v>
      </c>
      <c r="T389" s="195">
        <v>20.5</v>
      </c>
      <c r="U389" s="195">
        <v>20.6</v>
      </c>
      <c r="V389" s="195">
        <v>20.7</v>
      </c>
      <c r="W389" s="195">
        <v>21</v>
      </c>
      <c r="X389" s="101"/>
      <c r="Y389" s="101"/>
      <c r="Z389" s="101"/>
      <c r="AA389" s="101"/>
      <c r="AD389" s="101"/>
      <c r="AE389" s="101"/>
      <c r="AF389" s="101"/>
      <c r="AG389" s="101"/>
      <c r="AH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row>
    <row r="390" spans="1:94" x14ac:dyDescent="0.25">
      <c r="A390" t="s">
        <v>607</v>
      </c>
      <c r="B390" s="117" t="s">
        <v>148</v>
      </c>
      <c r="C390" s="86"/>
      <c r="D390" t="s">
        <v>509</v>
      </c>
      <c r="E390" s="86"/>
      <c r="F390" s="194">
        <f>SUM(F387:F389)</f>
        <v>231354</v>
      </c>
      <c r="G390" s="194">
        <f t="shared" ref="G390:L390" si="52">SUM(G387:G389)</f>
        <v>18750</v>
      </c>
      <c r="H390" s="194">
        <f t="shared" si="52"/>
        <v>17925</v>
      </c>
      <c r="I390" s="194">
        <f t="shared" si="52"/>
        <v>17495</v>
      </c>
      <c r="J390" s="194">
        <f t="shared" si="52"/>
        <v>16775</v>
      </c>
      <c r="K390" s="194">
        <f t="shared" si="52"/>
        <v>16020</v>
      </c>
      <c r="L390" s="194">
        <f t="shared" si="52"/>
        <v>15680</v>
      </c>
      <c r="M390" s="99" t="s">
        <v>148</v>
      </c>
      <c r="N390" s="90">
        <f>SUM(N387:N389)</f>
        <v>231354</v>
      </c>
      <c r="O390" s="90">
        <f t="shared" ref="O390:W390" si="53">SUM(O387:O389)</f>
        <v>235.3</v>
      </c>
      <c r="P390" s="90">
        <f t="shared" si="53"/>
        <v>236.9</v>
      </c>
      <c r="Q390" s="90">
        <f t="shared" si="53"/>
        <v>238.5</v>
      </c>
      <c r="R390" s="90">
        <f t="shared" si="53"/>
        <v>240.4</v>
      </c>
      <c r="S390" s="90">
        <f t="shared" si="53"/>
        <v>242</v>
      </c>
      <c r="T390" s="90">
        <f t="shared" si="53"/>
        <v>243.3</v>
      </c>
      <c r="U390" s="90">
        <f t="shared" si="53"/>
        <v>244.29999999999998</v>
      </c>
      <c r="V390" s="90">
        <f t="shared" si="53"/>
        <v>244.89999999999998</v>
      </c>
      <c r="W390" s="90">
        <f t="shared" si="53"/>
        <v>244.6</v>
      </c>
    </row>
    <row r="391" spans="1:94" x14ac:dyDescent="0.25">
      <c r="C391" s="86"/>
      <c r="E391" s="86"/>
      <c r="F391" s="80"/>
      <c r="G391" s="80"/>
      <c r="P391" s="195"/>
    </row>
    <row r="392" spans="1:94" x14ac:dyDescent="0.25">
      <c r="A392" t="s">
        <v>603</v>
      </c>
      <c r="B392" s="117" t="s">
        <v>363</v>
      </c>
      <c r="C392" s="86">
        <f>(SUM(W392*1000,-N392)/12)/N392</f>
        <v>-9.0913223328333096E-5</v>
      </c>
      <c r="D392" t="s">
        <v>537</v>
      </c>
      <c r="E392" s="86">
        <f>SUM(G392,-L392)/(SUM(H392,I392,J392,K392,L392))</f>
        <v>2.6422764227642278E-2</v>
      </c>
      <c r="F392" s="194">
        <v>29332</v>
      </c>
      <c r="G392" s="194">
        <v>2670</v>
      </c>
      <c r="H392" s="80">
        <v>2560</v>
      </c>
      <c r="I392" s="80">
        <v>2525</v>
      </c>
      <c r="J392" s="80">
        <v>2460</v>
      </c>
      <c r="K392" s="80">
        <v>2410</v>
      </c>
      <c r="L392" s="80">
        <v>2345</v>
      </c>
      <c r="M392" s="99" t="s">
        <v>363</v>
      </c>
      <c r="N392" s="194">
        <v>29332</v>
      </c>
      <c r="O392" s="195">
        <v>29.3</v>
      </c>
      <c r="P392" s="195">
        <v>29.4</v>
      </c>
      <c r="Q392" s="195">
        <v>29.5</v>
      </c>
      <c r="R392" s="195">
        <v>29.6</v>
      </c>
      <c r="S392" s="195">
        <v>29.6</v>
      </c>
      <c r="T392" s="195">
        <v>29.6</v>
      </c>
      <c r="U392" s="195">
        <v>29.6</v>
      </c>
      <c r="V392" s="195">
        <v>29.6</v>
      </c>
      <c r="W392" s="195">
        <v>29.3</v>
      </c>
    </row>
    <row r="393" spans="1:94" x14ac:dyDescent="0.25">
      <c r="A393" t="s">
        <v>603</v>
      </c>
      <c r="B393" s="117" t="s">
        <v>343</v>
      </c>
      <c r="C393" s="86">
        <f>(SUM(W393*1000,-N393)/12)/N393</f>
        <v>2.6423183621065178E-3</v>
      </c>
      <c r="D393" t="s">
        <v>537</v>
      </c>
      <c r="E393" s="86">
        <f>SUM(G393,-L393)/(SUM(H393,I393,J393,K393,L393))</f>
        <v>2.2207267833109019E-2</v>
      </c>
      <c r="F393" s="194">
        <v>14539</v>
      </c>
      <c r="G393" s="194">
        <v>1610</v>
      </c>
      <c r="H393" s="80">
        <v>1550</v>
      </c>
      <c r="I393" s="80">
        <v>1505</v>
      </c>
      <c r="J393" s="80">
        <v>1485</v>
      </c>
      <c r="K393" s="80">
        <v>1445</v>
      </c>
      <c r="L393" s="80">
        <v>1445</v>
      </c>
      <c r="M393" s="99" t="s">
        <v>343</v>
      </c>
      <c r="N393" s="194">
        <v>14539</v>
      </c>
      <c r="O393" s="195">
        <v>14.8</v>
      </c>
      <c r="P393" s="195">
        <v>14.9</v>
      </c>
      <c r="Q393" s="195">
        <v>14.9</v>
      </c>
      <c r="R393" s="195">
        <v>14.9</v>
      </c>
      <c r="S393" s="195">
        <v>14.9</v>
      </c>
      <c r="T393" s="195">
        <v>15</v>
      </c>
      <c r="U393" s="195">
        <v>15</v>
      </c>
      <c r="V393" s="195">
        <v>15</v>
      </c>
      <c r="W393" s="195">
        <v>15</v>
      </c>
    </row>
    <row r="394" spans="1:94" x14ac:dyDescent="0.25">
      <c r="A394" t="s">
        <v>603</v>
      </c>
      <c r="B394" s="117" t="s">
        <v>750</v>
      </c>
      <c r="C394" s="86"/>
      <c r="D394" t="s">
        <v>537</v>
      </c>
      <c r="E394" s="86"/>
      <c r="F394" s="194">
        <f>SUM(F392:F393)</f>
        <v>43871</v>
      </c>
      <c r="G394" s="194">
        <f t="shared" ref="G394:L394" si="54">SUM(G392:G393)</f>
        <v>4280</v>
      </c>
      <c r="H394" s="194">
        <f t="shared" si="54"/>
        <v>4110</v>
      </c>
      <c r="I394" s="194">
        <f t="shared" si="54"/>
        <v>4030</v>
      </c>
      <c r="J394" s="194">
        <f t="shared" si="54"/>
        <v>3945</v>
      </c>
      <c r="K394" s="194">
        <f t="shared" si="54"/>
        <v>3855</v>
      </c>
      <c r="L394" s="194">
        <f t="shared" si="54"/>
        <v>3790</v>
      </c>
      <c r="M394" s="99" t="s">
        <v>750</v>
      </c>
      <c r="N394" s="90">
        <f>SUM(N392:N393)</f>
        <v>43871</v>
      </c>
      <c r="O394" s="195">
        <f t="shared" ref="O394:W394" si="55">SUM(O392:O393)</f>
        <v>44.1</v>
      </c>
      <c r="P394" s="195">
        <f t="shared" si="55"/>
        <v>44.3</v>
      </c>
      <c r="Q394" s="195">
        <f t="shared" si="55"/>
        <v>44.4</v>
      </c>
      <c r="R394" s="195">
        <f t="shared" si="55"/>
        <v>44.5</v>
      </c>
      <c r="S394" s="195">
        <f t="shared" si="55"/>
        <v>44.5</v>
      </c>
      <c r="T394" s="195">
        <f t="shared" si="55"/>
        <v>44.6</v>
      </c>
      <c r="U394" s="195">
        <f t="shared" si="55"/>
        <v>44.6</v>
      </c>
      <c r="V394" s="195">
        <f t="shared" si="55"/>
        <v>44.6</v>
      </c>
      <c r="W394" s="195">
        <f t="shared" si="55"/>
        <v>44.3</v>
      </c>
    </row>
    <row r="395" spans="1:94" x14ac:dyDescent="0.25">
      <c r="C395" s="86"/>
      <c r="E395" s="86"/>
      <c r="F395" s="80"/>
      <c r="G395" s="80"/>
      <c r="P395" s="195"/>
    </row>
    <row r="396" spans="1:94" x14ac:dyDescent="0.25">
      <c r="A396" t="s">
        <v>603</v>
      </c>
      <c r="B396" s="117" t="s">
        <v>365</v>
      </c>
      <c r="C396" s="86">
        <f>(SUM(W396*1000,-N396)/12)/N396</f>
        <v>1.0592977495892714E-2</v>
      </c>
      <c r="D396" t="s">
        <v>141</v>
      </c>
      <c r="E396" s="86">
        <f>SUM(G396,-L396)/(SUM(H396,I396,J396,K396,L396))</f>
        <v>3.8565368299267259E-2</v>
      </c>
      <c r="F396" s="194">
        <v>26173</v>
      </c>
      <c r="G396" s="194">
        <v>2890</v>
      </c>
      <c r="H396" s="80">
        <v>2820</v>
      </c>
      <c r="I396" s="80">
        <v>2720</v>
      </c>
      <c r="J396" s="80">
        <v>2560</v>
      </c>
      <c r="K396" s="80">
        <v>2475</v>
      </c>
      <c r="L396" s="80">
        <v>2390</v>
      </c>
      <c r="M396" s="99" t="s">
        <v>365</v>
      </c>
      <c r="N396" s="194">
        <v>26173</v>
      </c>
      <c r="O396" s="195">
        <v>26.5</v>
      </c>
      <c r="P396" s="195">
        <v>26.9</v>
      </c>
      <c r="Q396" s="195">
        <v>27.3</v>
      </c>
      <c r="R396" s="195">
        <v>27.7</v>
      </c>
      <c r="S396" s="195">
        <v>28.1</v>
      </c>
      <c r="T396" s="195">
        <v>28.3</v>
      </c>
      <c r="U396" s="195">
        <v>28.5</v>
      </c>
      <c r="V396" s="195">
        <v>28.7</v>
      </c>
      <c r="W396" s="195">
        <v>29.5</v>
      </c>
    </row>
    <row r="397" spans="1:94" x14ac:dyDescent="0.25">
      <c r="A397" t="s">
        <v>603</v>
      </c>
      <c r="B397" s="117" t="s">
        <v>366</v>
      </c>
      <c r="C397" s="86">
        <f>(SUM(W397*1000,-N397)/12)/N397</f>
        <v>5.0535314797059763E-3</v>
      </c>
      <c r="D397" t="s">
        <v>537</v>
      </c>
      <c r="E397" s="86">
        <f>SUM(G397,-L397)/(SUM(H397,I397,J397,K397,L397))</f>
        <v>3.2786885245901641E-2</v>
      </c>
      <c r="F397" s="194">
        <v>16688</v>
      </c>
      <c r="G397" s="194">
        <v>1690</v>
      </c>
      <c r="H397" s="80">
        <v>1635</v>
      </c>
      <c r="I397" s="80">
        <v>1585</v>
      </c>
      <c r="J397" s="80">
        <v>1510</v>
      </c>
      <c r="K397" s="80">
        <v>1455</v>
      </c>
      <c r="L397" s="80">
        <v>1440</v>
      </c>
      <c r="M397" s="99" t="s">
        <v>366</v>
      </c>
      <c r="N397" s="194">
        <v>16688</v>
      </c>
      <c r="O397" s="195">
        <v>16.600000000000001</v>
      </c>
      <c r="P397" s="195">
        <v>16.7</v>
      </c>
      <c r="Q397" s="195">
        <v>16.8</v>
      </c>
      <c r="R397" s="195">
        <v>16.899999999999999</v>
      </c>
      <c r="S397" s="195">
        <v>17</v>
      </c>
      <c r="T397" s="195">
        <v>17.100000000000001</v>
      </c>
      <c r="U397" s="195">
        <v>17.3</v>
      </c>
      <c r="V397" s="195">
        <v>17.3</v>
      </c>
      <c r="W397" s="195">
        <v>17.7</v>
      </c>
    </row>
    <row r="398" spans="1:94" x14ac:dyDescent="0.25">
      <c r="A398" t="s">
        <v>603</v>
      </c>
      <c r="B398" s="117" t="s">
        <v>365</v>
      </c>
      <c r="D398" t="s">
        <v>141</v>
      </c>
      <c r="F398" s="194">
        <f>SUM(F396:F397)</f>
        <v>42861</v>
      </c>
      <c r="G398" s="194">
        <f t="shared" ref="G398:L398" si="56">SUM(G396:G397)</f>
        <v>4580</v>
      </c>
      <c r="H398" s="194">
        <f t="shared" si="56"/>
        <v>4455</v>
      </c>
      <c r="I398" s="194">
        <f t="shared" si="56"/>
        <v>4305</v>
      </c>
      <c r="J398" s="194">
        <f t="shared" si="56"/>
        <v>4070</v>
      </c>
      <c r="K398" s="194">
        <f t="shared" si="56"/>
        <v>3930</v>
      </c>
      <c r="L398" s="194">
        <f t="shared" si="56"/>
        <v>3830</v>
      </c>
      <c r="M398" s="99" t="s">
        <v>365</v>
      </c>
      <c r="N398" s="90">
        <f>SUM(N396:N397)</f>
        <v>42861</v>
      </c>
      <c r="O398" s="90">
        <f t="shared" ref="O398:W398" si="57">SUM(O396:O397)</f>
        <v>43.1</v>
      </c>
      <c r="P398" s="90">
        <f t="shared" si="57"/>
        <v>43.599999999999994</v>
      </c>
      <c r="Q398" s="90">
        <f t="shared" si="57"/>
        <v>44.1</v>
      </c>
      <c r="R398" s="90">
        <f t="shared" si="57"/>
        <v>44.599999999999994</v>
      </c>
      <c r="S398" s="90">
        <f t="shared" si="57"/>
        <v>45.1</v>
      </c>
      <c r="T398" s="90">
        <f t="shared" si="57"/>
        <v>45.400000000000006</v>
      </c>
      <c r="U398" s="90">
        <f t="shared" si="57"/>
        <v>45.8</v>
      </c>
      <c r="V398" s="90">
        <f t="shared" si="57"/>
        <v>46</v>
      </c>
      <c r="W398" s="90">
        <f t="shared" si="57"/>
        <v>47.2</v>
      </c>
    </row>
    <row r="399" spans="1:94" x14ac:dyDescent="0.25">
      <c r="P399" s="195"/>
    </row>
    <row r="400" spans="1:94" x14ac:dyDescent="0.25">
      <c r="A400" t="s">
        <v>602</v>
      </c>
      <c r="B400" s="117" t="s">
        <v>168</v>
      </c>
      <c r="C400" s="86">
        <f>(SUM(W400*1000,-N400)/12)/N400</f>
        <v>-2.8856243441762854E-3</v>
      </c>
      <c r="D400" t="s">
        <v>141</v>
      </c>
      <c r="E400" s="86">
        <f>SUM(G400,-L400)/(SUM(H400,I400,J400,K400,L400))</f>
        <v>2.3398328690807799E-2</v>
      </c>
      <c r="F400" s="194">
        <v>23825</v>
      </c>
      <c r="G400" s="194">
        <v>1930</v>
      </c>
      <c r="H400" s="80">
        <v>1870</v>
      </c>
      <c r="I400" s="80">
        <v>1835</v>
      </c>
      <c r="J400" s="80">
        <v>1805</v>
      </c>
      <c r="K400" s="80">
        <v>1745</v>
      </c>
      <c r="L400" s="80">
        <v>1720</v>
      </c>
      <c r="M400" s="99" t="s">
        <v>168</v>
      </c>
      <c r="N400" s="194">
        <v>23825</v>
      </c>
      <c r="O400" s="195">
        <v>23.7</v>
      </c>
      <c r="P400" s="195">
        <v>23.6</v>
      </c>
      <c r="Q400" s="195">
        <v>23.5</v>
      </c>
      <c r="R400" s="195">
        <v>23.5</v>
      </c>
      <c r="S400" s="195">
        <v>23.4</v>
      </c>
      <c r="T400" s="195">
        <v>23.3</v>
      </c>
      <c r="U400" s="195">
        <v>23.3</v>
      </c>
      <c r="V400" s="195">
        <v>23.2</v>
      </c>
      <c r="W400" s="195">
        <v>23</v>
      </c>
    </row>
    <row r="401" spans="1:23" x14ac:dyDescent="0.25">
      <c r="A401" t="s">
        <v>602</v>
      </c>
      <c r="B401" s="117" t="s">
        <v>169</v>
      </c>
      <c r="C401" s="86">
        <f>(SUM(W401*1000,-N401)/12)/N401</f>
        <v>3.600762972478493E-4</v>
      </c>
      <c r="D401" t="s">
        <v>141</v>
      </c>
      <c r="E401" s="86">
        <f>SUM(G401,-L401)/(SUM(H401,I401,J401,K401,L401))</f>
        <v>1.951951951951952E-2</v>
      </c>
      <c r="F401" s="194">
        <v>8563</v>
      </c>
      <c r="G401" s="194">
        <v>695</v>
      </c>
      <c r="H401" s="80">
        <v>690</v>
      </c>
      <c r="I401" s="80">
        <v>685</v>
      </c>
      <c r="J401" s="80">
        <v>670</v>
      </c>
      <c r="K401" s="80">
        <v>655</v>
      </c>
      <c r="L401" s="80">
        <v>630</v>
      </c>
      <c r="M401" s="99" t="s">
        <v>169</v>
      </c>
      <c r="N401" s="194">
        <v>8563</v>
      </c>
      <c r="O401" s="195">
        <v>8.8000000000000007</v>
      </c>
      <c r="P401" s="195">
        <v>8.8000000000000007</v>
      </c>
      <c r="Q401" s="195">
        <v>8.8000000000000007</v>
      </c>
      <c r="R401" s="195">
        <v>8.8000000000000007</v>
      </c>
      <c r="S401" s="195">
        <v>8.8000000000000007</v>
      </c>
      <c r="T401" s="195">
        <v>8.8000000000000007</v>
      </c>
      <c r="U401" s="195">
        <v>8.6999999999999993</v>
      </c>
      <c r="V401" s="195">
        <v>8.6999999999999993</v>
      </c>
      <c r="W401" s="195">
        <v>8.6</v>
      </c>
    </row>
    <row r="402" spans="1:23" x14ac:dyDescent="0.25">
      <c r="A402" t="s">
        <v>602</v>
      </c>
      <c r="B402" s="117" t="s">
        <v>500</v>
      </c>
      <c r="C402" s="86">
        <f>(SUM(W402*1000,-N402)/12)/N402</f>
        <v>2.2473084561513536E-3</v>
      </c>
      <c r="D402" t="s">
        <v>141</v>
      </c>
      <c r="E402" s="86">
        <f>SUM(G402,-L402)/(SUM(H402,I402,J402,K402,L402))</f>
        <v>3.0185004868549171E-2</v>
      </c>
      <c r="F402" s="194">
        <v>12756</v>
      </c>
      <c r="G402" s="194">
        <v>1125</v>
      </c>
      <c r="H402" s="80">
        <v>1090</v>
      </c>
      <c r="I402" s="80">
        <v>1055</v>
      </c>
      <c r="J402" s="80">
        <v>1020</v>
      </c>
      <c r="K402" s="80">
        <v>1000</v>
      </c>
      <c r="L402" s="80">
        <v>970</v>
      </c>
      <c r="M402" s="99" t="s">
        <v>500</v>
      </c>
      <c r="N402" s="194">
        <v>12756</v>
      </c>
      <c r="O402" s="195">
        <v>13.1</v>
      </c>
      <c r="P402" s="195">
        <v>13.1</v>
      </c>
      <c r="Q402" s="195">
        <v>13.1</v>
      </c>
      <c r="R402" s="195">
        <v>13.1</v>
      </c>
      <c r="S402" s="195">
        <v>13.1</v>
      </c>
      <c r="T402" s="195">
        <v>13.1</v>
      </c>
      <c r="U402" s="195">
        <v>13.1</v>
      </c>
      <c r="V402" s="195">
        <v>13.1</v>
      </c>
      <c r="W402" s="195">
        <v>13.1</v>
      </c>
    </row>
    <row r="403" spans="1:23" x14ac:dyDescent="0.25">
      <c r="A403" t="s">
        <v>602</v>
      </c>
      <c r="B403" s="117" t="s">
        <v>751</v>
      </c>
      <c r="D403" t="s">
        <v>141</v>
      </c>
      <c r="F403" s="194">
        <f>SUM(F400:F402)</f>
        <v>45144</v>
      </c>
      <c r="G403" s="194">
        <f t="shared" ref="G403:L403" si="58">SUM(G400:G402)</f>
        <v>3750</v>
      </c>
      <c r="H403" s="194">
        <f t="shared" si="58"/>
        <v>3650</v>
      </c>
      <c r="I403" s="194">
        <f t="shared" si="58"/>
        <v>3575</v>
      </c>
      <c r="J403" s="194">
        <f t="shared" si="58"/>
        <v>3495</v>
      </c>
      <c r="K403" s="194">
        <f t="shared" si="58"/>
        <v>3400</v>
      </c>
      <c r="L403" s="194">
        <f t="shared" si="58"/>
        <v>3320</v>
      </c>
      <c r="M403" s="99" t="s">
        <v>751</v>
      </c>
      <c r="N403" s="90">
        <f>SUM(N400:N402)</f>
        <v>45144</v>
      </c>
      <c r="O403" s="90">
        <f t="shared" ref="O403:W403" si="59">SUM(O400:O402)</f>
        <v>45.6</v>
      </c>
      <c r="P403" s="90">
        <f t="shared" si="59"/>
        <v>45.500000000000007</v>
      </c>
      <c r="Q403" s="90">
        <f t="shared" si="59"/>
        <v>45.4</v>
      </c>
      <c r="R403" s="90">
        <f t="shared" si="59"/>
        <v>45.4</v>
      </c>
      <c r="S403" s="90">
        <f t="shared" si="59"/>
        <v>45.300000000000004</v>
      </c>
      <c r="T403" s="90">
        <f t="shared" si="59"/>
        <v>45.2</v>
      </c>
      <c r="U403" s="90">
        <f t="shared" si="59"/>
        <v>45.1</v>
      </c>
      <c r="V403" s="90">
        <f t="shared" si="59"/>
        <v>45</v>
      </c>
      <c r="W403" s="90">
        <f t="shared" si="59"/>
        <v>44.7</v>
      </c>
    </row>
    <row r="404" spans="1:23" x14ac:dyDescent="0.25">
      <c r="P404" s="195"/>
    </row>
    <row r="405" spans="1:23" x14ac:dyDescent="0.25">
      <c r="A405" t="s">
        <v>606</v>
      </c>
      <c r="B405" s="117" t="s">
        <v>282</v>
      </c>
      <c r="C405" s="86">
        <f>(SUM(W405*1000,-N405)/12)/N405</f>
        <v>7.1002590800215088E-3</v>
      </c>
      <c r="D405" t="s">
        <v>537</v>
      </c>
      <c r="E405" s="86">
        <f>SUM(G405,-L405)/(SUM(H405,I405,J405,K405,L405))</f>
        <v>3.3526011560693639E-2</v>
      </c>
      <c r="F405" s="194">
        <v>20457</v>
      </c>
      <c r="G405" s="194">
        <v>1935</v>
      </c>
      <c r="H405" s="80">
        <v>1835</v>
      </c>
      <c r="I405" s="80">
        <v>1775</v>
      </c>
      <c r="J405" s="80">
        <v>1725</v>
      </c>
      <c r="K405" s="80">
        <v>1670</v>
      </c>
      <c r="L405" s="80">
        <v>1645</v>
      </c>
      <c r="M405" s="99" t="s">
        <v>282</v>
      </c>
      <c r="N405" s="194">
        <v>20457</v>
      </c>
      <c r="O405" s="195">
        <v>20.2</v>
      </c>
      <c r="P405" s="195">
        <v>20.3</v>
      </c>
      <c r="Q405" s="195">
        <v>20.6</v>
      </c>
      <c r="R405" s="195">
        <v>20.8</v>
      </c>
      <c r="S405" s="195">
        <v>21</v>
      </c>
      <c r="T405" s="195">
        <v>21.2</v>
      </c>
      <c r="U405" s="195">
        <v>21.4</v>
      </c>
      <c r="V405" s="195">
        <v>21.6</v>
      </c>
      <c r="W405" s="195">
        <v>22.2</v>
      </c>
    </row>
    <row r="406" spans="1:23" x14ac:dyDescent="0.25">
      <c r="A406" t="s">
        <v>603</v>
      </c>
      <c r="B406" s="117" t="s">
        <v>384</v>
      </c>
      <c r="C406" s="86">
        <f>(SUM(W406*1000,-N406)/12)/N406</f>
        <v>4.5758159214623594E-4</v>
      </c>
      <c r="D406" t="s">
        <v>537</v>
      </c>
      <c r="E406" s="86">
        <f>SUM(G406,-L406)/(SUM(H406,I406,J406,K406,L406))</f>
        <v>3.2397408207343416E-2</v>
      </c>
      <c r="F406" s="194">
        <v>14023</v>
      </c>
      <c r="G406" s="194">
        <v>1525</v>
      </c>
      <c r="H406" s="80">
        <v>1475</v>
      </c>
      <c r="I406" s="80">
        <v>1445</v>
      </c>
      <c r="J406" s="80">
        <v>1390</v>
      </c>
      <c r="K406" s="80">
        <v>1335</v>
      </c>
      <c r="L406" s="80">
        <v>1300</v>
      </c>
      <c r="M406" s="99" t="s">
        <v>384</v>
      </c>
      <c r="N406" s="194">
        <v>14023</v>
      </c>
      <c r="O406" s="195">
        <v>13.9</v>
      </c>
      <c r="P406" s="195">
        <v>14</v>
      </c>
      <c r="Q406" s="195">
        <v>14</v>
      </c>
      <c r="R406" s="195">
        <v>14.1</v>
      </c>
      <c r="S406" s="195">
        <v>14.1</v>
      </c>
      <c r="T406" s="195">
        <v>14.1</v>
      </c>
      <c r="U406" s="195">
        <v>14.1</v>
      </c>
      <c r="V406" s="195">
        <v>14.1</v>
      </c>
      <c r="W406" s="195">
        <v>14.1</v>
      </c>
    </row>
    <row r="407" spans="1:23" x14ac:dyDescent="0.25">
      <c r="A407" t="s">
        <v>603</v>
      </c>
      <c r="B407" s="117" t="s">
        <v>356</v>
      </c>
      <c r="C407" s="86">
        <f>(SUM(W407*1000,-N407)/12)/N407</f>
        <v>3.8362468391210797E-3</v>
      </c>
      <c r="D407" t="s">
        <v>141</v>
      </c>
      <c r="E407" s="86">
        <f>SUM(G407,-L407)/(SUM(H407,I407,J407,K407,L407))</f>
        <v>2.8629856850715747E-2</v>
      </c>
      <c r="F407" s="194">
        <v>21223</v>
      </c>
      <c r="G407" s="194">
        <v>1600</v>
      </c>
      <c r="H407" s="80">
        <v>1545</v>
      </c>
      <c r="I407" s="80">
        <v>1535</v>
      </c>
      <c r="J407" s="80">
        <v>1455</v>
      </c>
      <c r="K407" s="80">
        <v>1410</v>
      </c>
      <c r="L407" s="80">
        <v>1390</v>
      </c>
      <c r="M407" s="99" t="s">
        <v>356</v>
      </c>
      <c r="N407" s="194">
        <v>21223</v>
      </c>
      <c r="O407" s="195">
        <v>21</v>
      </c>
      <c r="P407" s="195">
        <v>21.2</v>
      </c>
      <c r="Q407" s="195">
        <v>21.3</v>
      </c>
      <c r="R407" s="195">
        <v>21.5</v>
      </c>
      <c r="S407" s="195">
        <v>21.6</v>
      </c>
      <c r="T407" s="195">
        <v>21.7</v>
      </c>
      <c r="U407" s="195">
        <v>21.7</v>
      </c>
      <c r="V407" s="195">
        <v>21.9</v>
      </c>
      <c r="W407" s="195">
        <v>22.2</v>
      </c>
    </row>
    <row r="408" spans="1:23" x14ac:dyDescent="0.25">
      <c r="A408" t="s">
        <v>606</v>
      </c>
      <c r="B408" s="117" t="s">
        <v>752</v>
      </c>
      <c r="F408" s="194">
        <f>SUM(F405:F407)</f>
        <v>55703</v>
      </c>
      <c r="G408" s="194">
        <f t="shared" ref="G408:L408" si="60">SUM(G405:G407)</f>
        <v>5060</v>
      </c>
      <c r="H408" s="194">
        <f t="shared" si="60"/>
        <v>4855</v>
      </c>
      <c r="I408" s="194">
        <f t="shared" si="60"/>
        <v>4755</v>
      </c>
      <c r="J408" s="194">
        <f t="shared" si="60"/>
        <v>4570</v>
      </c>
      <c r="K408" s="194">
        <f t="shared" si="60"/>
        <v>4415</v>
      </c>
      <c r="L408" s="194">
        <f t="shared" si="60"/>
        <v>4335</v>
      </c>
      <c r="M408" s="99" t="s">
        <v>752</v>
      </c>
      <c r="N408" s="90">
        <f>SUM(N405:N407)</f>
        <v>55703</v>
      </c>
      <c r="O408" s="90">
        <f t="shared" ref="O408:W408" si="61">SUM(O405:O407)</f>
        <v>55.1</v>
      </c>
      <c r="P408" s="90">
        <f t="shared" si="61"/>
        <v>55.5</v>
      </c>
      <c r="Q408" s="90">
        <f t="shared" si="61"/>
        <v>55.900000000000006</v>
      </c>
      <c r="R408" s="90">
        <f t="shared" si="61"/>
        <v>56.4</v>
      </c>
      <c r="S408" s="90">
        <f t="shared" si="61"/>
        <v>56.7</v>
      </c>
      <c r="T408" s="90">
        <f t="shared" si="61"/>
        <v>57</v>
      </c>
      <c r="U408" s="90">
        <f t="shared" si="61"/>
        <v>57.2</v>
      </c>
      <c r="V408" s="90">
        <f t="shared" si="61"/>
        <v>57.6</v>
      </c>
      <c r="W408" s="90">
        <f t="shared" si="61"/>
        <v>58.5</v>
      </c>
    </row>
    <row r="409" spans="1:23" x14ac:dyDescent="0.25">
      <c r="P409" s="195"/>
    </row>
    <row r="410" spans="1:23" x14ac:dyDescent="0.25">
      <c r="A410" t="s">
        <v>601</v>
      </c>
      <c r="B410" s="117" t="s">
        <v>238</v>
      </c>
      <c r="C410" s="86">
        <f>(SUM(W410*1000,-N410)/12)/N410</f>
        <v>-3.8792297625724432E-3</v>
      </c>
      <c r="D410" t="s">
        <v>537</v>
      </c>
      <c r="E410" s="86">
        <f>SUM(G410,-L410)/(SUM(H410,I410,J410,K410,L410))</f>
        <v>1.8043025676613464E-2</v>
      </c>
      <c r="F410" s="194">
        <v>12481</v>
      </c>
      <c r="G410" s="194">
        <v>1520</v>
      </c>
      <c r="H410" s="80">
        <v>1495</v>
      </c>
      <c r="I410" s="80">
        <v>1500</v>
      </c>
      <c r="J410" s="80">
        <v>1445</v>
      </c>
      <c r="K410" s="80">
        <v>1375</v>
      </c>
      <c r="L410" s="80">
        <v>1390</v>
      </c>
      <c r="M410" s="99" t="s">
        <v>238</v>
      </c>
      <c r="N410" s="194">
        <v>12481</v>
      </c>
      <c r="O410" s="195">
        <v>12.2</v>
      </c>
      <c r="P410" s="195">
        <v>12.3</v>
      </c>
      <c r="Q410" s="195">
        <v>12.2</v>
      </c>
      <c r="R410" s="195">
        <v>12.2</v>
      </c>
      <c r="S410" s="195">
        <v>12.2</v>
      </c>
      <c r="T410" s="195">
        <v>12.2</v>
      </c>
      <c r="U410" s="195">
        <v>12.1</v>
      </c>
      <c r="V410" s="195">
        <v>12.1</v>
      </c>
      <c r="W410" s="195">
        <v>11.9</v>
      </c>
    </row>
    <row r="411" spans="1:23" x14ac:dyDescent="0.25">
      <c r="A411" t="s">
        <v>601</v>
      </c>
      <c r="B411" s="117" t="s">
        <v>227</v>
      </c>
      <c r="C411" s="86">
        <f>(SUM(W411*1000,-N411)/12)/N411</f>
        <v>-1.2041496850685438E-3</v>
      </c>
      <c r="D411" t="s">
        <v>537</v>
      </c>
      <c r="E411" s="86">
        <f>SUM(G411,-L411)/(SUM(H411,I411,J411,K411,L411))</f>
        <v>2.1033868092691622E-2</v>
      </c>
      <c r="F411" s="194">
        <v>26990</v>
      </c>
      <c r="G411" s="194">
        <v>2995</v>
      </c>
      <c r="H411" s="80">
        <v>2950</v>
      </c>
      <c r="I411" s="80">
        <v>2865</v>
      </c>
      <c r="J411" s="80">
        <v>2805</v>
      </c>
      <c r="K411" s="80">
        <v>2705</v>
      </c>
      <c r="L411" s="80">
        <v>2700</v>
      </c>
      <c r="M411" s="99" t="s">
        <v>227</v>
      </c>
      <c r="N411" s="194">
        <v>26990</v>
      </c>
      <c r="O411" s="195">
        <v>26.4</v>
      </c>
      <c r="P411" s="195">
        <v>26.5</v>
      </c>
      <c r="Q411" s="195">
        <v>26.6</v>
      </c>
      <c r="R411" s="195">
        <v>26.6</v>
      </c>
      <c r="S411" s="195">
        <v>26.6</v>
      </c>
      <c r="T411" s="195">
        <v>26.6</v>
      </c>
      <c r="U411" s="195">
        <v>26.6</v>
      </c>
      <c r="V411" s="195">
        <v>26.6</v>
      </c>
      <c r="W411" s="195">
        <v>26.6</v>
      </c>
    </row>
    <row r="412" spans="1:23" x14ac:dyDescent="0.25">
      <c r="A412" t="s">
        <v>601</v>
      </c>
      <c r="B412" s="117" t="s">
        <v>232</v>
      </c>
      <c r="C412" s="86">
        <f>(SUM(W412*1000,-N412)/12)/N412</f>
        <v>6.7768841227286263E-3</v>
      </c>
      <c r="D412" t="s">
        <v>537</v>
      </c>
      <c r="E412" s="86">
        <f>SUM(G412,-L412)/(SUM(H412,I412,J412,K412,L412))</f>
        <v>2.8237585199610515E-2</v>
      </c>
      <c r="F412" s="194">
        <v>11190</v>
      </c>
      <c r="G412" s="194">
        <v>1115</v>
      </c>
      <c r="H412" s="80">
        <v>1090</v>
      </c>
      <c r="I412" s="80">
        <v>1060</v>
      </c>
      <c r="J412" s="80">
        <v>1025</v>
      </c>
      <c r="K412" s="80">
        <v>990</v>
      </c>
      <c r="L412" s="80">
        <v>970</v>
      </c>
      <c r="M412" s="99" t="s">
        <v>232</v>
      </c>
      <c r="N412" s="194">
        <v>11190</v>
      </c>
      <c r="O412" s="195">
        <v>11.6</v>
      </c>
      <c r="P412" s="195">
        <v>11.7</v>
      </c>
      <c r="Q412" s="195">
        <v>11.8</v>
      </c>
      <c r="R412" s="195">
        <v>11.8</v>
      </c>
      <c r="S412" s="195">
        <v>11.9</v>
      </c>
      <c r="T412" s="195">
        <v>12</v>
      </c>
      <c r="U412" s="195">
        <v>12</v>
      </c>
      <c r="V412" s="195">
        <v>12</v>
      </c>
      <c r="W412" s="195">
        <v>12.1</v>
      </c>
    </row>
    <row r="414" spans="1:23" x14ac:dyDescent="0.25">
      <c r="A414" t="s">
        <v>607</v>
      </c>
      <c r="B414" s="117" t="s">
        <v>149</v>
      </c>
      <c r="C414" s="86">
        <f>(SUM(W414*1000,-N414)/12)/N414</f>
        <v>2.9160505996385739E-3</v>
      </c>
      <c r="D414" t="s">
        <v>141</v>
      </c>
      <c r="E414" s="86">
        <f>SUM(G414,-L414)/(SUM(H414,I414,J414,K414,L414))</f>
        <v>3.6659877800407331E-2</v>
      </c>
      <c r="F414" s="194">
        <v>12174</v>
      </c>
      <c r="G414" s="194">
        <v>1095</v>
      </c>
      <c r="H414" s="80">
        <v>1045</v>
      </c>
      <c r="I414" s="80">
        <v>1040</v>
      </c>
      <c r="J414" s="80">
        <v>990</v>
      </c>
      <c r="K414" s="80">
        <v>920</v>
      </c>
      <c r="L414" s="80">
        <v>915</v>
      </c>
      <c r="M414" s="99" t="s">
        <v>149</v>
      </c>
      <c r="N414" s="194">
        <v>12174</v>
      </c>
      <c r="O414" s="195">
        <v>12.5</v>
      </c>
      <c r="P414" s="195">
        <v>12.6</v>
      </c>
      <c r="Q414" s="195">
        <v>12.6</v>
      </c>
      <c r="R414" s="195">
        <v>12.7</v>
      </c>
      <c r="S414" s="195">
        <v>12.7</v>
      </c>
      <c r="T414" s="195">
        <v>12.7</v>
      </c>
      <c r="U414" s="195">
        <v>12.7</v>
      </c>
      <c r="V414" s="195">
        <v>12.7</v>
      </c>
      <c r="W414" s="195">
        <v>12.6</v>
      </c>
    </row>
    <row r="415" spans="1:23" x14ac:dyDescent="0.25">
      <c r="A415" t="s">
        <v>607</v>
      </c>
      <c r="B415" s="117" t="s">
        <v>152</v>
      </c>
      <c r="C415" s="86">
        <f>(SUM(W415*1000,-N415)/12)/N415</f>
        <v>-1.0173412356685747E-3</v>
      </c>
      <c r="D415" t="s">
        <v>141</v>
      </c>
      <c r="E415" s="86">
        <f>SUM(G415,-L415)/(SUM(H415,I415,J415,K415,L415))</f>
        <v>2.9374999999999998E-2</v>
      </c>
      <c r="F415" s="194">
        <v>19741</v>
      </c>
      <c r="G415" s="194">
        <v>1755</v>
      </c>
      <c r="H415" s="80">
        <v>1700</v>
      </c>
      <c r="I415" s="80">
        <v>1655</v>
      </c>
      <c r="J415" s="80">
        <v>1575</v>
      </c>
      <c r="K415" s="80">
        <v>1550</v>
      </c>
      <c r="L415" s="80">
        <v>1520</v>
      </c>
      <c r="M415" s="99" t="s">
        <v>152</v>
      </c>
      <c r="N415" s="194">
        <v>19741</v>
      </c>
      <c r="O415" s="195">
        <v>19.8</v>
      </c>
      <c r="P415" s="195">
        <v>19.7</v>
      </c>
      <c r="Q415" s="195">
        <v>19.7</v>
      </c>
      <c r="R415" s="195">
        <v>19.7</v>
      </c>
      <c r="S415" s="195">
        <v>19.600000000000001</v>
      </c>
      <c r="T415" s="195">
        <v>19.5</v>
      </c>
      <c r="U415" s="195">
        <v>19.5</v>
      </c>
      <c r="V415" s="195">
        <v>19.399999999999999</v>
      </c>
      <c r="W415" s="195">
        <v>19.5</v>
      </c>
    </row>
    <row r="416" spans="1:23" x14ac:dyDescent="0.25">
      <c r="A416" t="s">
        <v>607</v>
      </c>
      <c r="B416" s="117" t="s">
        <v>154</v>
      </c>
      <c r="C416" s="86">
        <f>(SUM(W416*1000,-N416)/12)/N416</f>
        <v>-4.6269795840488456E-3</v>
      </c>
      <c r="D416" t="s">
        <v>141</v>
      </c>
      <c r="E416" s="86">
        <f>SUM(G416,-L416)/(SUM(H416,I416,J416,K416,L416))</f>
        <v>4.1128084606345476E-2</v>
      </c>
      <c r="F416" s="194">
        <v>10482</v>
      </c>
      <c r="G416" s="194">
        <v>955</v>
      </c>
      <c r="H416" s="80">
        <v>915</v>
      </c>
      <c r="I416" s="80">
        <v>895</v>
      </c>
      <c r="J416" s="80">
        <v>860</v>
      </c>
      <c r="K416" s="80">
        <v>805</v>
      </c>
      <c r="L416" s="80">
        <v>780</v>
      </c>
      <c r="M416" s="99" t="s">
        <v>154</v>
      </c>
      <c r="N416" s="194">
        <v>10482</v>
      </c>
      <c r="O416" s="195">
        <v>10.5</v>
      </c>
      <c r="P416" s="195">
        <v>10.5</v>
      </c>
      <c r="Q416" s="195">
        <v>10.5</v>
      </c>
      <c r="R416" s="195">
        <v>10.4</v>
      </c>
      <c r="S416" s="195">
        <v>10.3</v>
      </c>
      <c r="T416" s="195">
        <v>10.3</v>
      </c>
      <c r="U416" s="195">
        <v>10.199999999999999</v>
      </c>
      <c r="V416" s="195">
        <v>10.1</v>
      </c>
      <c r="W416" s="195">
        <v>9.9</v>
      </c>
    </row>
    <row r="417" spans="1:23" x14ac:dyDescent="0.25">
      <c r="A417" t="s">
        <v>607</v>
      </c>
      <c r="B417" s="117" t="s">
        <v>164</v>
      </c>
      <c r="C417" s="86">
        <f>(SUM(W417*1000,-N417)/12)/N417</f>
        <v>-2.0410482334224924E-3</v>
      </c>
      <c r="D417" t="s">
        <v>537</v>
      </c>
      <c r="E417" s="86">
        <f>SUM(G417,-L417)/(SUM(H417,I417,J417,K417,L417))</f>
        <v>3.015075376884422E-2</v>
      </c>
      <c r="F417" s="194">
        <v>19067</v>
      </c>
      <c r="G417" s="194">
        <v>1515</v>
      </c>
      <c r="H417" s="80">
        <v>1495</v>
      </c>
      <c r="I417" s="80">
        <v>1440</v>
      </c>
      <c r="J417" s="80">
        <v>1385</v>
      </c>
      <c r="K417" s="80">
        <v>1340</v>
      </c>
      <c r="L417" s="80">
        <v>1305</v>
      </c>
      <c r="M417" s="99" t="s">
        <v>164</v>
      </c>
      <c r="N417" s="194">
        <v>19067</v>
      </c>
      <c r="O417" s="195">
        <v>18.899999999999999</v>
      </c>
      <c r="P417" s="195">
        <v>18.899999999999999</v>
      </c>
      <c r="Q417" s="195">
        <v>18.899999999999999</v>
      </c>
      <c r="R417" s="195">
        <v>18.899999999999999</v>
      </c>
      <c r="S417" s="195">
        <v>18.899999999999999</v>
      </c>
      <c r="T417" s="195">
        <v>18.899999999999999</v>
      </c>
      <c r="U417" s="195">
        <v>18.899999999999999</v>
      </c>
      <c r="V417" s="195">
        <v>18.899999999999999</v>
      </c>
      <c r="W417" s="195">
        <v>18.600000000000001</v>
      </c>
    </row>
    <row r="418" spans="1:23" x14ac:dyDescent="0.25">
      <c r="A418" t="s">
        <v>607</v>
      </c>
      <c r="B418" s="117" t="s">
        <v>755</v>
      </c>
      <c r="D418" t="s">
        <v>141</v>
      </c>
      <c r="F418" s="194">
        <f>SUM(F414:F417)</f>
        <v>61464</v>
      </c>
      <c r="G418" s="194">
        <f t="shared" ref="G418:L418" si="62">SUM(G414:G417)</f>
        <v>5320</v>
      </c>
      <c r="H418" s="194">
        <f t="shared" si="62"/>
        <v>5155</v>
      </c>
      <c r="I418" s="194">
        <f t="shared" si="62"/>
        <v>5030</v>
      </c>
      <c r="J418" s="194">
        <f t="shared" si="62"/>
        <v>4810</v>
      </c>
      <c r="K418" s="194">
        <f t="shared" si="62"/>
        <v>4615</v>
      </c>
      <c r="L418" s="194">
        <f t="shared" si="62"/>
        <v>4520</v>
      </c>
      <c r="M418" s="99" t="s">
        <v>755</v>
      </c>
      <c r="N418" s="90">
        <f>SUM(N414:N417)</f>
        <v>61464</v>
      </c>
      <c r="O418" s="90">
        <f t="shared" ref="O418:W418" si="63">SUM(O414:O417)</f>
        <v>61.699999999999996</v>
      </c>
      <c r="P418" s="90">
        <f t="shared" si="63"/>
        <v>61.699999999999996</v>
      </c>
      <c r="Q418" s="90">
        <f t="shared" si="63"/>
        <v>61.699999999999996</v>
      </c>
      <c r="R418" s="90">
        <f t="shared" si="63"/>
        <v>61.699999999999996</v>
      </c>
      <c r="S418" s="90">
        <f t="shared" si="63"/>
        <v>61.499999999999993</v>
      </c>
      <c r="T418" s="90">
        <f t="shared" si="63"/>
        <v>61.4</v>
      </c>
      <c r="U418" s="90">
        <f t="shared" si="63"/>
        <v>61.300000000000004</v>
      </c>
      <c r="V418" s="90">
        <f t="shared" si="63"/>
        <v>61.099999999999994</v>
      </c>
      <c r="W418" s="90">
        <f t="shared" si="63"/>
        <v>60.6</v>
      </c>
    </row>
    <row r="419" spans="1:23" x14ac:dyDescent="0.25">
      <c r="P419" s="195"/>
    </row>
    <row r="420" spans="1:23" x14ac:dyDescent="0.25">
      <c r="P420" s="195"/>
    </row>
    <row r="421" spans="1:23" x14ac:dyDescent="0.25">
      <c r="P421" s="195"/>
    </row>
    <row r="422" spans="1:23" x14ac:dyDescent="0.25">
      <c r="P422" s="195"/>
    </row>
    <row r="423" spans="1:23" x14ac:dyDescent="0.25">
      <c r="P423" s="195"/>
    </row>
    <row r="424" spans="1:23" x14ac:dyDescent="0.25">
      <c r="P424" s="195"/>
    </row>
    <row r="425" spans="1:23" x14ac:dyDescent="0.25">
      <c r="P425" s="195"/>
    </row>
    <row r="426" spans="1:23" x14ac:dyDescent="0.25">
      <c r="P426" s="195"/>
    </row>
    <row r="427" spans="1:23" x14ac:dyDescent="0.25">
      <c r="P427" s="195"/>
    </row>
    <row r="428" spans="1:23" x14ac:dyDescent="0.25">
      <c r="P428" s="195"/>
    </row>
    <row r="429" spans="1:23" x14ac:dyDescent="0.25">
      <c r="P429" s="195"/>
    </row>
    <row r="430" spans="1:23" x14ac:dyDescent="0.25">
      <c r="P430" s="195"/>
    </row>
    <row r="431" spans="1:23" x14ac:dyDescent="0.25">
      <c r="P431" s="195"/>
    </row>
    <row r="432" spans="1:23" x14ac:dyDescent="0.25">
      <c r="P432" s="195"/>
    </row>
    <row r="433" spans="16:16" x14ac:dyDescent="0.25">
      <c r="P433" s="195"/>
    </row>
    <row r="434" spans="16:16" x14ac:dyDescent="0.25">
      <c r="P434" s="195"/>
    </row>
  </sheetData>
  <sheetProtection algorithmName="SHA-512" hashValue="fjgs7QQw+sQcgLl5RvVWrpZYic4QyNvxdgpO4nliVevWePvCBcuQJLIhOJdXKYKbSPyO1AymdI2gynJ9jHly0A==" saltValue="JgfFJd0EwV7BFnDcHmHoxQ==" spinCount="100000" sheet="1" objects="1" scenarios="1" selectLockedCells="1" selectUnlockedCells="1"/>
  <sortState ref="AB2:AC467">
    <sortCondition ref="AB2:AB467"/>
  </sortState>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421"/>
  <sheetViews>
    <sheetView workbookViewId="0">
      <pane xSplit="2" ySplit="1" topLeftCell="C257" activePane="bottomRight" state="frozen"/>
      <selection pane="topRight" activeCell="C1" sqref="C1"/>
      <selection pane="bottomLeft" activeCell="A2" sqref="A2"/>
      <selection pane="bottomRight" activeCell="AF2" sqref="AF2"/>
    </sheetView>
  </sheetViews>
  <sheetFormatPr defaultColWidth="9.109375" defaultRowHeight="10.199999999999999" x14ac:dyDescent="0.2"/>
  <cols>
    <col min="1" max="1" width="10" style="117" bestFit="1" customWidth="1"/>
    <col min="2" max="2" width="28.88671875" style="117" bestFit="1" customWidth="1"/>
    <col min="3" max="3" width="21.5546875" style="117" bestFit="1" customWidth="1"/>
    <col min="4" max="4" width="22.5546875" style="117" bestFit="1" customWidth="1"/>
    <col min="5" max="5" width="18.33203125" style="117" bestFit="1" customWidth="1"/>
    <col min="6" max="6" width="13.88671875" style="117" bestFit="1" customWidth="1"/>
    <col min="7" max="7" width="20.88671875" style="117" bestFit="1" customWidth="1"/>
    <col min="8" max="8" width="22" style="117" bestFit="1" customWidth="1"/>
    <col min="9" max="9" width="20.88671875" style="117" bestFit="1" customWidth="1"/>
    <col min="10" max="10" width="22" style="117" bestFit="1" customWidth="1"/>
    <col min="11" max="11" width="21.88671875" style="117" bestFit="1" customWidth="1"/>
    <col min="12" max="12" width="22.88671875" style="117" bestFit="1" customWidth="1"/>
    <col min="13" max="13" width="21.88671875" style="117" bestFit="1" customWidth="1"/>
    <col min="14" max="14" width="22.88671875" style="117" bestFit="1" customWidth="1"/>
    <col min="15" max="15" width="21.88671875" style="117" bestFit="1" customWidth="1"/>
    <col min="16" max="16" width="22.88671875" style="117" bestFit="1" customWidth="1"/>
    <col min="17" max="17" width="21.88671875" style="117" bestFit="1" customWidth="1"/>
    <col min="18" max="18" width="22.88671875" style="117" bestFit="1" customWidth="1"/>
    <col min="19" max="19" width="21.88671875" style="117" bestFit="1" customWidth="1"/>
    <col min="20" max="20" width="22.88671875" style="117" bestFit="1" customWidth="1"/>
    <col min="21" max="21" width="21.88671875" style="117" bestFit="1" customWidth="1"/>
    <col min="22" max="22" width="22.88671875" style="117" bestFit="1" customWidth="1"/>
    <col min="23" max="26" width="22.88671875" style="117" customWidth="1"/>
    <col min="27" max="27" width="20.6640625" style="117" bestFit="1" customWidth="1"/>
    <col min="28" max="28" width="26.33203125" style="117" bestFit="1" customWidth="1"/>
    <col min="29" max="29" width="19.109375" style="117" bestFit="1" customWidth="1"/>
    <col min="30" max="30" width="27.33203125" style="117" bestFit="1" customWidth="1"/>
    <col min="31" max="31" width="27.6640625" style="117" bestFit="1" customWidth="1"/>
    <col min="32" max="32" width="29.33203125" style="117" bestFit="1" customWidth="1"/>
    <col min="33" max="33" width="14.88671875" style="117" bestFit="1" customWidth="1"/>
    <col min="34" max="34" width="25.88671875" style="117" bestFit="1" customWidth="1"/>
    <col min="35" max="35" width="26.33203125" style="117" bestFit="1" customWidth="1"/>
    <col min="36" max="36" width="25.88671875" style="117" bestFit="1" customWidth="1"/>
    <col min="37" max="37" width="26.6640625" style="117" bestFit="1" customWidth="1"/>
    <col min="38" max="38" width="9.109375" style="117"/>
    <col min="39" max="39" width="28.5546875" style="117" bestFit="1" customWidth="1"/>
    <col min="40" max="40" width="29.6640625" style="117" bestFit="1" customWidth="1"/>
    <col min="41" max="16384" width="9.109375" style="117"/>
  </cols>
  <sheetData>
    <row r="1" spans="1:33" x14ac:dyDescent="0.2">
      <c r="A1" s="117" t="s">
        <v>651</v>
      </c>
      <c r="B1" s="117" t="s">
        <v>612</v>
      </c>
      <c r="C1" s="117" t="s">
        <v>675</v>
      </c>
      <c r="D1" s="117" t="s">
        <v>676</v>
      </c>
      <c r="E1" s="117" t="s">
        <v>709</v>
      </c>
      <c r="F1" s="117" t="s">
        <v>684</v>
      </c>
      <c r="G1" s="117" t="s">
        <v>845</v>
      </c>
      <c r="H1" s="117" t="s">
        <v>846</v>
      </c>
      <c r="I1" s="117" t="s">
        <v>710</v>
      </c>
      <c r="J1" s="117" t="s">
        <v>711</v>
      </c>
      <c r="K1" s="117" t="s">
        <v>712</v>
      </c>
      <c r="L1" s="117" t="s">
        <v>713</v>
      </c>
      <c r="M1" s="117" t="s">
        <v>714</v>
      </c>
      <c r="N1" s="117" t="s">
        <v>715</v>
      </c>
      <c r="O1" s="117" t="s">
        <v>716</v>
      </c>
      <c r="P1" s="117" t="s">
        <v>717</v>
      </c>
      <c r="Q1" s="117" t="s">
        <v>718</v>
      </c>
      <c r="R1" s="117" t="s">
        <v>719</v>
      </c>
      <c r="S1" s="117" t="s">
        <v>720</v>
      </c>
      <c r="T1" s="117" t="s">
        <v>721</v>
      </c>
      <c r="U1" s="117" t="s">
        <v>722</v>
      </c>
      <c r="V1" s="117" t="s">
        <v>723</v>
      </c>
      <c r="W1" s="117" t="s">
        <v>847</v>
      </c>
      <c r="X1" s="117" t="s">
        <v>848</v>
      </c>
      <c r="Y1" s="117" t="s">
        <v>849</v>
      </c>
      <c r="Z1" s="117" t="s">
        <v>850</v>
      </c>
      <c r="AA1" s="117" t="s">
        <v>851</v>
      </c>
      <c r="AB1" s="117" t="s">
        <v>852</v>
      </c>
      <c r="AC1" s="117" t="s">
        <v>853</v>
      </c>
      <c r="AD1" s="117" t="s">
        <v>854</v>
      </c>
      <c r="AE1" s="117" t="s">
        <v>855</v>
      </c>
      <c r="AF1" s="117">
        <f>7251000000</f>
        <v>7251000000</v>
      </c>
      <c r="AG1" s="117">
        <f>53638000000</f>
        <v>53638000000</v>
      </c>
    </row>
    <row r="2" spans="1:33" x14ac:dyDescent="0.2">
      <c r="A2" s="117" t="s">
        <v>598</v>
      </c>
      <c r="B2" s="117" t="s">
        <v>129</v>
      </c>
      <c r="C2" s="117">
        <f>SUM(S2,U2,W2,Y2)/4</f>
        <v>1756.5</v>
      </c>
      <c r="D2" s="117">
        <f>SUM(T2,V2,X2,Z2)/4</f>
        <v>1588.5</v>
      </c>
      <c r="E2" s="117">
        <f>AC2*152.81</f>
        <v>3879234.66</v>
      </c>
      <c r="F2" s="117">
        <f>AC2*$AF$3</f>
        <v>6788343.3299999991</v>
      </c>
      <c r="G2" s="117">
        <v>2518</v>
      </c>
      <c r="H2" s="117">
        <v>3502</v>
      </c>
      <c r="I2" s="117">
        <v>7057</v>
      </c>
      <c r="J2" s="117">
        <v>5609</v>
      </c>
      <c r="K2" s="117">
        <v>1879</v>
      </c>
      <c r="L2" s="117">
        <v>1330</v>
      </c>
      <c r="M2" s="117">
        <v>1826</v>
      </c>
      <c r="N2" s="117">
        <v>1563</v>
      </c>
      <c r="O2" s="117">
        <v>836</v>
      </c>
      <c r="P2" s="117">
        <v>3010</v>
      </c>
      <c r="Q2" s="117">
        <v>1050</v>
      </c>
      <c r="R2" s="117">
        <v>2751</v>
      </c>
      <c r="S2" s="117">
        <v>1079</v>
      </c>
      <c r="T2" s="117">
        <v>1146</v>
      </c>
      <c r="U2" s="117">
        <v>2653</v>
      </c>
      <c r="V2" s="117">
        <v>969</v>
      </c>
      <c r="W2" s="117">
        <v>827</v>
      </c>
      <c r="X2" s="117">
        <v>737</v>
      </c>
      <c r="Y2" s="117">
        <v>2467</v>
      </c>
      <c r="Z2" s="117">
        <v>3502</v>
      </c>
      <c r="AA2" s="117">
        <v>25279</v>
      </c>
      <c r="AB2" s="117">
        <v>25399</v>
      </c>
      <c r="AC2" s="117">
        <v>25386</v>
      </c>
      <c r="AD2" s="117">
        <v>33404</v>
      </c>
      <c r="AE2" s="117">
        <v>38101</v>
      </c>
      <c r="AF2" s="117">
        <v>17184010</v>
      </c>
      <c r="AG2" s="117">
        <f>16779575*138.66</f>
        <v>2326655869.5</v>
      </c>
    </row>
    <row r="3" spans="1:33" x14ac:dyDescent="0.2">
      <c r="A3" s="117" t="s">
        <v>600</v>
      </c>
      <c r="B3" s="117" t="s">
        <v>287</v>
      </c>
      <c r="C3" s="117">
        <f t="shared" ref="C3:C66" si="0">SUM(S3,U3,W3,Y3)/4</f>
        <v>7267.25</v>
      </c>
      <c r="D3" s="117">
        <f t="shared" ref="D3:D66" si="1">SUM(T3,V3,X3,Z3)/4</f>
        <v>8080.75</v>
      </c>
      <c r="E3" s="225">
        <f t="shared" ref="E3:E66" si="2">AC3*152.81</f>
        <v>4847744.4400000004</v>
      </c>
      <c r="F3" s="117">
        <f t="shared" ref="F3:F66" si="3">AC3*$AF$3</f>
        <v>8483156.2199999988</v>
      </c>
      <c r="G3" s="117">
        <v>9129</v>
      </c>
      <c r="H3" s="117">
        <v>9181</v>
      </c>
      <c r="I3" s="117">
        <v>11667</v>
      </c>
      <c r="J3" s="117">
        <v>12579</v>
      </c>
      <c r="K3" s="117">
        <v>20691</v>
      </c>
      <c r="L3" s="117">
        <v>24236</v>
      </c>
      <c r="M3" s="117">
        <v>8687</v>
      </c>
      <c r="N3" s="117">
        <v>12064</v>
      </c>
      <c r="O3" s="117">
        <v>15410</v>
      </c>
      <c r="P3" s="117">
        <v>18059</v>
      </c>
      <c r="Q3" s="117">
        <v>12188</v>
      </c>
      <c r="R3" s="117">
        <v>8962</v>
      </c>
      <c r="S3" s="117">
        <v>9234</v>
      </c>
      <c r="T3" s="117">
        <v>10129</v>
      </c>
      <c r="U3" s="117">
        <v>10725</v>
      </c>
      <c r="V3" s="117">
        <v>10828</v>
      </c>
      <c r="W3" s="117">
        <v>4592</v>
      </c>
      <c r="X3" s="117">
        <v>2185</v>
      </c>
      <c r="Y3" s="117">
        <v>4518</v>
      </c>
      <c r="Z3" s="117">
        <v>9181</v>
      </c>
      <c r="AA3" s="117">
        <v>31382</v>
      </c>
      <c r="AB3" s="117">
        <v>31502</v>
      </c>
      <c r="AC3" s="117">
        <v>31724</v>
      </c>
      <c r="AD3" s="117">
        <v>49476</v>
      </c>
      <c r="AE3" s="117">
        <v>46730</v>
      </c>
      <c r="AF3" s="224">
        <v>267.40499999999997</v>
      </c>
      <c r="AG3" s="207">
        <f>AG2/AG1</f>
        <v>4.3377006404041914E-2</v>
      </c>
    </row>
    <row r="4" spans="1:33" ht="13.2" x14ac:dyDescent="0.25">
      <c r="A4" s="117" t="s">
        <v>601</v>
      </c>
      <c r="B4" s="117" t="s">
        <v>209</v>
      </c>
      <c r="C4" s="117">
        <f t="shared" si="0"/>
        <v>1664</v>
      </c>
      <c r="D4" s="117">
        <f t="shared" si="1"/>
        <v>2304</v>
      </c>
      <c r="E4" s="225">
        <f t="shared" si="2"/>
        <v>4126939.67</v>
      </c>
      <c r="F4" s="117">
        <f t="shared" si="3"/>
        <v>7221806.834999999</v>
      </c>
      <c r="G4" s="117">
        <v>1401</v>
      </c>
      <c r="H4" s="117">
        <v>1380</v>
      </c>
      <c r="I4" s="117">
        <v>3760</v>
      </c>
      <c r="J4" s="117">
        <v>5019</v>
      </c>
      <c r="K4" s="117">
        <v>3876</v>
      </c>
      <c r="L4" s="117">
        <v>3238</v>
      </c>
      <c r="M4" s="117">
        <v>4575</v>
      </c>
      <c r="N4" s="117">
        <v>5650</v>
      </c>
      <c r="O4" s="117">
        <v>4863</v>
      </c>
      <c r="P4" s="117">
        <v>6053</v>
      </c>
      <c r="Q4" s="117">
        <v>1112</v>
      </c>
      <c r="R4" s="117">
        <v>1680</v>
      </c>
      <c r="S4" s="117">
        <v>2543</v>
      </c>
      <c r="T4" s="117">
        <v>3803</v>
      </c>
      <c r="U4" s="117">
        <v>2295</v>
      </c>
      <c r="V4" s="117">
        <v>3054</v>
      </c>
      <c r="W4" s="117">
        <v>866</v>
      </c>
      <c r="X4" s="117">
        <v>979</v>
      </c>
      <c r="Y4" s="117">
        <v>952</v>
      </c>
      <c r="Z4" s="117">
        <v>1380</v>
      </c>
      <c r="AA4" s="117">
        <v>27050</v>
      </c>
      <c r="AB4" s="117">
        <v>26963</v>
      </c>
      <c r="AC4" s="117">
        <v>27007</v>
      </c>
      <c r="AD4" s="117">
        <v>34989</v>
      </c>
      <c r="AE4" s="117">
        <v>43742</v>
      </c>
      <c r="AF4"/>
      <c r="AG4"/>
    </row>
    <row r="5" spans="1:33" ht="13.2" x14ac:dyDescent="0.25">
      <c r="A5" s="117" t="s">
        <v>602</v>
      </c>
      <c r="B5" s="117" t="s">
        <v>165</v>
      </c>
      <c r="C5" s="117">
        <f t="shared" si="0"/>
        <v>3147.25</v>
      </c>
      <c r="D5" s="117">
        <f t="shared" si="1"/>
        <v>1683.5</v>
      </c>
      <c r="E5" s="225">
        <f t="shared" si="2"/>
        <v>4258967.51</v>
      </c>
      <c r="F5" s="117">
        <f t="shared" si="3"/>
        <v>7452844.754999999</v>
      </c>
      <c r="G5" s="117">
        <v>900</v>
      </c>
      <c r="H5" s="117">
        <v>772</v>
      </c>
      <c r="I5" s="117">
        <v>3584</v>
      </c>
      <c r="J5" s="117">
        <v>2976</v>
      </c>
      <c r="K5" s="117">
        <v>3103</v>
      </c>
      <c r="L5" s="117">
        <v>3970</v>
      </c>
      <c r="M5" s="117">
        <v>7337</v>
      </c>
      <c r="N5" s="117">
        <v>6059</v>
      </c>
      <c r="O5" s="117">
        <v>2801</v>
      </c>
      <c r="P5" s="117">
        <v>2857</v>
      </c>
      <c r="Q5" s="117">
        <v>3129</v>
      </c>
      <c r="R5" s="117">
        <v>3216</v>
      </c>
      <c r="S5" s="117">
        <v>2867</v>
      </c>
      <c r="T5" s="117">
        <v>1876</v>
      </c>
      <c r="U5" s="117">
        <v>2027</v>
      </c>
      <c r="V5" s="117">
        <v>1965</v>
      </c>
      <c r="W5" s="117">
        <v>5949</v>
      </c>
      <c r="X5" s="117">
        <v>2121</v>
      </c>
      <c r="Y5" s="117">
        <v>1746</v>
      </c>
      <c r="Z5" s="117">
        <v>772</v>
      </c>
      <c r="AA5" s="117">
        <v>27894</v>
      </c>
      <c r="AB5" s="117">
        <v>27924</v>
      </c>
      <c r="AC5" s="117">
        <v>27871</v>
      </c>
      <c r="AD5" s="117">
        <v>64156</v>
      </c>
      <c r="AE5" s="117">
        <v>64419</v>
      </c>
      <c r="AF5"/>
      <c r="AG5" s="117">
        <v>60203412000</v>
      </c>
    </row>
    <row r="6" spans="1:33" ht="13.2" x14ac:dyDescent="0.25">
      <c r="A6" s="117" t="s">
        <v>603</v>
      </c>
      <c r="B6" s="117" t="s">
        <v>332</v>
      </c>
      <c r="C6" s="117">
        <f t="shared" si="0"/>
        <v>2375.5</v>
      </c>
      <c r="D6" s="117">
        <f t="shared" si="1"/>
        <v>2497.25</v>
      </c>
      <c r="E6" s="225">
        <f t="shared" si="2"/>
        <v>3065368.6</v>
      </c>
      <c r="F6" s="117">
        <f t="shared" si="3"/>
        <v>5364144.3</v>
      </c>
      <c r="G6" s="117">
        <v>3948</v>
      </c>
      <c r="H6" s="117">
        <v>3947</v>
      </c>
      <c r="I6" s="117">
        <v>3904</v>
      </c>
      <c r="J6" s="117">
        <v>1760</v>
      </c>
      <c r="K6" s="117">
        <v>11108</v>
      </c>
      <c r="L6" s="117">
        <v>10710</v>
      </c>
      <c r="M6" s="117">
        <v>7415</v>
      </c>
      <c r="N6" s="117">
        <v>8180</v>
      </c>
      <c r="O6" s="117">
        <v>2273</v>
      </c>
      <c r="P6" s="117">
        <v>3066</v>
      </c>
      <c r="Q6" s="117">
        <v>2542</v>
      </c>
      <c r="R6" s="117">
        <v>2280</v>
      </c>
      <c r="S6" s="117">
        <v>1684</v>
      </c>
      <c r="T6" s="117">
        <v>1994</v>
      </c>
      <c r="U6" s="117">
        <v>1744</v>
      </c>
      <c r="V6" s="117">
        <v>1752</v>
      </c>
      <c r="W6" s="117">
        <v>3063</v>
      </c>
      <c r="X6" s="117">
        <v>2296</v>
      </c>
      <c r="Y6" s="117">
        <v>3011</v>
      </c>
      <c r="Z6" s="117">
        <v>3947</v>
      </c>
      <c r="AA6" s="117">
        <v>20015</v>
      </c>
      <c r="AB6" s="117">
        <v>20013</v>
      </c>
      <c r="AC6" s="117">
        <v>20060</v>
      </c>
      <c r="AD6" s="117">
        <v>46855</v>
      </c>
      <c r="AE6" s="117">
        <v>44784</v>
      </c>
      <c r="AF6"/>
      <c r="AG6" s="117">
        <f>AG3*AG5</f>
        <v>2611443787.869174</v>
      </c>
    </row>
    <row r="7" spans="1:33" ht="13.2" x14ac:dyDescent="0.25">
      <c r="A7" s="117" t="s">
        <v>603</v>
      </c>
      <c r="B7" s="117" t="s">
        <v>333</v>
      </c>
      <c r="C7" s="117">
        <f t="shared" si="0"/>
        <v>8847.75</v>
      </c>
      <c r="D7" s="117">
        <f t="shared" si="1"/>
        <v>9444</v>
      </c>
      <c r="E7" s="225">
        <f t="shared" si="2"/>
        <v>3864870.52</v>
      </c>
      <c r="F7" s="117">
        <f t="shared" si="3"/>
        <v>6763207.2599999988</v>
      </c>
      <c r="G7" s="117">
        <v>9624</v>
      </c>
      <c r="H7" s="117">
        <v>9639</v>
      </c>
      <c r="I7" s="117">
        <v>5428</v>
      </c>
      <c r="J7" s="117">
        <v>7141</v>
      </c>
      <c r="K7" s="117">
        <v>6696</v>
      </c>
      <c r="L7" s="117">
        <v>7027</v>
      </c>
      <c r="M7" s="117">
        <v>5125</v>
      </c>
      <c r="N7" s="117">
        <v>4974</v>
      </c>
      <c r="O7" s="117">
        <v>7786</v>
      </c>
      <c r="P7" s="117">
        <v>9705</v>
      </c>
      <c r="Q7" s="117">
        <v>7876</v>
      </c>
      <c r="R7" s="117">
        <v>7956</v>
      </c>
      <c r="S7" s="117">
        <v>15407</v>
      </c>
      <c r="T7" s="117">
        <v>15303</v>
      </c>
      <c r="U7" s="117">
        <v>9156</v>
      </c>
      <c r="V7" s="117">
        <v>10330</v>
      </c>
      <c r="W7" s="117">
        <v>2260</v>
      </c>
      <c r="X7" s="117">
        <v>2504</v>
      </c>
      <c r="Y7" s="117">
        <v>8568</v>
      </c>
      <c r="Z7" s="117">
        <v>9639</v>
      </c>
      <c r="AA7" s="117">
        <v>25106</v>
      </c>
      <c r="AB7" s="117">
        <v>25226</v>
      </c>
      <c r="AC7" s="117">
        <v>25292</v>
      </c>
      <c r="AD7" s="117">
        <v>49696</v>
      </c>
      <c r="AE7" s="117">
        <v>55073</v>
      </c>
      <c r="AF7"/>
      <c r="AG7" s="208">
        <f>AG6/$AA$357</f>
        <v>152.80814267954386</v>
      </c>
    </row>
    <row r="8" spans="1:33" ht="13.2" x14ac:dyDescent="0.25">
      <c r="A8" s="117" t="s">
        <v>600</v>
      </c>
      <c r="B8" s="117" t="s">
        <v>288</v>
      </c>
      <c r="C8" s="117">
        <f t="shared" si="0"/>
        <v>34693.25</v>
      </c>
      <c r="D8" s="117">
        <f t="shared" si="1"/>
        <v>32686.75</v>
      </c>
      <c r="E8" s="225">
        <f t="shared" si="2"/>
        <v>16591804.18</v>
      </c>
      <c r="F8" s="117">
        <f t="shared" si="3"/>
        <v>29034300.089999996</v>
      </c>
      <c r="G8" s="117">
        <v>33759</v>
      </c>
      <c r="H8" s="117">
        <v>34182</v>
      </c>
      <c r="I8" s="117">
        <v>25603</v>
      </c>
      <c r="J8" s="117">
        <v>32919</v>
      </c>
      <c r="K8" s="117">
        <v>52511</v>
      </c>
      <c r="L8" s="117">
        <v>52625</v>
      </c>
      <c r="M8" s="117">
        <v>51641</v>
      </c>
      <c r="N8" s="117">
        <v>52240</v>
      </c>
      <c r="O8" s="117">
        <v>43740</v>
      </c>
      <c r="P8" s="117">
        <v>44282</v>
      </c>
      <c r="Q8" s="117">
        <v>28058</v>
      </c>
      <c r="R8" s="117">
        <v>36505</v>
      </c>
      <c r="S8" s="117">
        <v>36174</v>
      </c>
      <c r="T8" s="117">
        <v>35078</v>
      </c>
      <c r="U8" s="117">
        <v>44556</v>
      </c>
      <c r="V8" s="117">
        <v>43282</v>
      </c>
      <c r="W8" s="117">
        <v>21378</v>
      </c>
      <c r="X8" s="117">
        <v>18205</v>
      </c>
      <c r="Y8" s="117">
        <v>36665</v>
      </c>
      <c r="Z8" s="117">
        <v>34182</v>
      </c>
      <c r="AA8" s="117">
        <v>108437</v>
      </c>
      <c r="AB8" s="117">
        <v>108500</v>
      </c>
      <c r="AC8" s="117">
        <v>108578</v>
      </c>
      <c r="AD8" s="117">
        <v>462767</v>
      </c>
      <c r="AE8" s="117">
        <v>424192</v>
      </c>
      <c r="AF8"/>
      <c r="AG8"/>
    </row>
    <row r="9" spans="1:33" ht="13.2" x14ac:dyDescent="0.25">
      <c r="A9" s="117" t="s">
        <v>604</v>
      </c>
      <c r="B9" s="117" t="s">
        <v>185</v>
      </c>
      <c r="C9" s="117">
        <f t="shared" si="0"/>
        <v>14072.25</v>
      </c>
      <c r="D9" s="117">
        <f t="shared" si="1"/>
        <v>16634.75</v>
      </c>
      <c r="E9" s="225">
        <f t="shared" si="2"/>
        <v>11137251.23</v>
      </c>
      <c r="F9" s="117">
        <f t="shared" si="3"/>
        <v>19489278.614999998</v>
      </c>
      <c r="G9" s="117">
        <v>5561</v>
      </c>
      <c r="H9" s="117">
        <v>5243</v>
      </c>
      <c r="I9" s="117">
        <v>30083</v>
      </c>
      <c r="J9" s="117">
        <v>22578</v>
      </c>
      <c r="K9" s="117">
        <v>61429</v>
      </c>
      <c r="L9" s="117">
        <v>116258</v>
      </c>
      <c r="M9" s="117">
        <v>55271</v>
      </c>
      <c r="N9" s="117">
        <v>54625</v>
      </c>
      <c r="O9" s="117">
        <v>55150</v>
      </c>
      <c r="P9" s="117">
        <v>60563</v>
      </c>
      <c r="Q9" s="117">
        <v>81597</v>
      </c>
      <c r="R9" s="117">
        <v>140066</v>
      </c>
      <c r="S9" s="117">
        <v>22927</v>
      </c>
      <c r="T9" s="117">
        <v>26747</v>
      </c>
      <c r="U9" s="117">
        <v>24251</v>
      </c>
      <c r="V9" s="117">
        <v>32080</v>
      </c>
      <c r="W9" s="117">
        <v>2090</v>
      </c>
      <c r="X9" s="117">
        <v>2469</v>
      </c>
      <c r="Y9" s="117">
        <v>7021</v>
      </c>
      <c r="Z9" s="117">
        <v>5243</v>
      </c>
      <c r="AA9" s="117">
        <v>72487</v>
      </c>
      <c r="AB9" s="117">
        <v>72611</v>
      </c>
      <c r="AC9" s="117">
        <v>72883</v>
      </c>
      <c r="AD9" s="117">
        <v>265798</v>
      </c>
      <c r="AE9" s="117">
        <v>274361</v>
      </c>
      <c r="AF9"/>
      <c r="AG9"/>
    </row>
    <row r="10" spans="1:33" ht="13.2" x14ac:dyDescent="0.25">
      <c r="A10" s="117" t="s">
        <v>605</v>
      </c>
      <c r="B10" s="117" t="s">
        <v>494</v>
      </c>
      <c r="C10" s="117">
        <f t="shared" si="0"/>
        <v>117631.5</v>
      </c>
      <c r="D10" s="117">
        <f t="shared" si="1"/>
        <v>107910.5</v>
      </c>
      <c r="E10" s="225">
        <f t="shared" si="2"/>
        <v>31756821.390000001</v>
      </c>
      <c r="F10" s="117">
        <f t="shared" si="3"/>
        <v>55571839.694999993</v>
      </c>
      <c r="G10" s="117">
        <v>107799</v>
      </c>
      <c r="H10" s="117">
        <v>97371</v>
      </c>
      <c r="I10" s="117">
        <v>108287</v>
      </c>
      <c r="J10" s="117">
        <v>104672</v>
      </c>
      <c r="K10" s="117">
        <v>178453</v>
      </c>
      <c r="L10" s="117">
        <v>144319</v>
      </c>
      <c r="M10" s="117">
        <v>134032</v>
      </c>
      <c r="N10" s="117">
        <v>159886</v>
      </c>
      <c r="O10" s="117">
        <v>103524</v>
      </c>
      <c r="P10" s="117">
        <v>110536</v>
      </c>
      <c r="Q10" s="117">
        <v>84793</v>
      </c>
      <c r="R10" s="117">
        <v>154627</v>
      </c>
      <c r="S10" s="117">
        <v>133158</v>
      </c>
      <c r="T10" s="117">
        <v>162639</v>
      </c>
      <c r="U10" s="117">
        <v>98324</v>
      </c>
      <c r="V10" s="117">
        <v>101023</v>
      </c>
      <c r="W10" s="117">
        <v>128991</v>
      </c>
      <c r="X10" s="117">
        <v>70609</v>
      </c>
      <c r="Y10" s="117">
        <v>110053</v>
      </c>
      <c r="Z10" s="117">
        <v>97371</v>
      </c>
      <c r="AA10" s="117">
        <v>200954</v>
      </c>
      <c r="AB10" s="117">
        <v>203997</v>
      </c>
      <c r="AC10" s="117">
        <v>207819</v>
      </c>
      <c r="AD10" s="117">
        <v>719744</v>
      </c>
      <c r="AE10" s="117">
        <v>697149</v>
      </c>
      <c r="AF10"/>
      <c r="AG10"/>
    </row>
    <row r="11" spans="1:33" ht="13.2" x14ac:dyDescent="0.25">
      <c r="A11" s="117" t="s">
        <v>603</v>
      </c>
      <c r="B11" s="117" t="s">
        <v>334</v>
      </c>
      <c r="C11" s="117">
        <f t="shared" si="0"/>
        <v>23452.75</v>
      </c>
      <c r="D11" s="117">
        <f t="shared" si="1"/>
        <v>19379.75</v>
      </c>
      <c r="E11" s="225">
        <f t="shared" si="2"/>
        <v>16967411.16</v>
      </c>
      <c r="F11" s="117">
        <f t="shared" si="3"/>
        <v>29691581.579999998</v>
      </c>
      <c r="G11" s="117">
        <v>10468</v>
      </c>
      <c r="H11" s="117">
        <v>12472</v>
      </c>
      <c r="I11" s="117">
        <v>53214</v>
      </c>
      <c r="J11" s="117">
        <v>63505</v>
      </c>
      <c r="K11" s="117">
        <v>46371</v>
      </c>
      <c r="L11" s="117">
        <v>51651</v>
      </c>
      <c r="M11" s="117">
        <v>48615</v>
      </c>
      <c r="N11" s="117">
        <v>62658</v>
      </c>
      <c r="O11" s="117">
        <v>36477</v>
      </c>
      <c r="P11" s="117">
        <v>67936</v>
      </c>
      <c r="Q11" s="117">
        <v>27961</v>
      </c>
      <c r="R11" s="117">
        <v>37830</v>
      </c>
      <c r="S11" s="117">
        <v>35172</v>
      </c>
      <c r="T11" s="117">
        <v>34370</v>
      </c>
      <c r="U11" s="117">
        <v>28827</v>
      </c>
      <c r="V11" s="117">
        <v>17905</v>
      </c>
      <c r="W11" s="117">
        <v>17951</v>
      </c>
      <c r="X11" s="117">
        <v>12772</v>
      </c>
      <c r="Y11" s="117">
        <v>11861</v>
      </c>
      <c r="Z11" s="117">
        <v>12472</v>
      </c>
      <c r="AA11" s="117">
        <v>108918</v>
      </c>
      <c r="AB11" s="117">
        <v>109667</v>
      </c>
      <c r="AC11" s="117">
        <v>111036</v>
      </c>
      <c r="AD11" s="117">
        <v>282626</v>
      </c>
      <c r="AE11" s="117">
        <v>301826</v>
      </c>
      <c r="AF11"/>
      <c r="AG11"/>
    </row>
    <row r="12" spans="1:33" ht="13.2" x14ac:dyDescent="0.25">
      <c r="A12" s="117" t="s">
        <v>599</v>
      </c>
      <c r="B12" s="117" t="s">
        <v>403</v>
      </c>
      <c r="C12" s="117">
        <f t="shared" si="0"/>
        <v>2954</v>
      </c>
      <c r="D12" s="117">
        <f t="shared" si="1"/>
        <v>2368.25</v>
      </c>
      <c r="E12" s="225">
        <f t="shared" si="2"/>
        <v>1549340.59</v>
      </c>
      <c r="F12" s="117">
        <f t="shared" si="3"/>
        <v>2711219.2949999999</v>
      </c>
      <c r="G12" s="117">
        <v>1897</v>
      </c>
      <c r="H12" s="117">
        <v>1134</v>
      </c>
      <c r="I12" s="117">
        <v>1450</v>
      </c>
      <c r="J12" s="117">
        <v>1767</v>
      </c>
      <c r="K12" s="117">
        <v>4558</v>
      </c>
      <c r="L12" s="117">
        <v>4792</v>
      </c>
      <c r="M12" s="117">
        <v>2880</v>
      </c>
      <c r="N12" s="117">
        <v>2674</v>
      </c>
      <c r="O12" s="117">
        <v>1641</v>
      </c>
      <c r="P12" s="117">
        <v>1409</v>
      </c>
      <c r="Q12" s="117">
        <v>1495</v>
      </c>
      <c r="R12" s="117">
        <v>1364</v>
      </c>
      <c r="S12" s="117">
        <v>2821</v>
      </c>
      <c r="T12" s="117">
        <v>2607</v>
      </c>
      <c r="U12" s="117">
        <v>3029</v>
      </c>
      <c r="V12" s="117">
        <v>2314</v>
      </c>
      <c r="W12" s="117">
        <v>4126</v>
      </c>
      <c r="X12" s="117">
        <v>3418</v>
      </c>
      <c r="Y12" s="117">
        <v>1840</v>
      </c>
      <c r="Z12" s="117">
        <v>1134</v>
      </c>
      <c r="AA12" s="117">
        <v>10052</v>
      </c>
      <c r="AB12" s="117">
        <v>10083</v>
      </c>
      <c r="AC12" s="117">
        <v>10139</v>
      </c>
      <c r="AD12" s="117">
        <v>17245</v>
      </c>
      <c r="AE12" s="117">
        <v>18129</v>
      </c>
      <c r="AF12"/>
      <c r="AG12"/>
    </row>
    <row r="13" spans="1:33" ht="13.2" x14ac:dyDescent="0.25">
      <c r="A13" s="117" t="s">
        <v>599</v>
      </c>
      <c r="B13" s="117" t="s">
        <v>745</v>
      </c>
      <c r="C13" s="117">
        <f t="shared" si="0"/>
        <v>15127.5</v>
      </c>
      <c r="D13" s="117">
        <f t="shared" si="1"/>
        <v>10794.5</v>
      </c>
      <c r="E13" s="225">
        <f t="shared" si="2"/>
        <v>8464298.7100000009</v>
      </c>
      <c r="F13" s="117">
        <f t="shared" si="3"/>
        <v>14811830.354999999</v>
      </c>
      <c r="G13" s="271">
        <f>W13</f>
        <v>16806</v>
      </c>
      <c r="H13" s="271">
        <f>X13</f>
        <v>16278</v>
      </c>
      <c r="I13" s="117">
        <v>41626</v>
      </c>
      <c r="J13" s="117">
        <v>41280</v>
      </c>
      <c r="K13" s="117">
        <v>26088</v>
      </c>
      <c r="L13" s="117">
        <v>27269</v>
      </c>
      <c r="M13" s="117">
        <v>20760</v>
      </c>
      <c r="N13" s="117">
        <v>22744</v>
      </c>
      <c r="O13" s="117">
        <v>10567</v>
      </c>
      <c r="P13" s="117">
        <v>11229</v>
      </c>
      <c r="Q13" s="117">
        <v>36917</v>
      </c>
      <c r="R13" s="117">
        <v>42936</v>
      </c>
      <c r="S13" s="117">
        <v>15764</v>
      </c>
      <c r="T13" s="117">
        <v>12849</v>
      </c>
      <c r="U13" s="117">
        <v>15924</v>
      </c>
      <c r="V13" s="117">
        <v>14051</v>
      </c>
      <c r="W13" s="117">
        <v>16806</v>
      </c>
      <c r="X13" s="117">
        <v>16278</v>
      </c>
      <c r="Y13" s="117">
        <v>12016</v>
      </c>
      <c r="Z13" s="117">
        <v>0</v>
      </c>
      <c r="AA13" s="117">
        <v>54451</v>
      </c>
      <c r="AB13" s="117">
        <v>54757</v>
      </c>
      <c r="AC13" s="117">
        <v>55391</v>
      </c>
      <c r="AD13" s="117">
        <v>106026</v>
      </c>
      <c r="AE13" s="117">
        <v>106403</v>
      </c>
      <c r="AF13"/>
      <c r="AG13"/>
    </row>
    <row r="14" spans="1:33" ht="13.2" x14ac:dyDescent="0.25">
      <c r="A14" s="117" t="s">
        <v>602</v>
      </c>
      <c r="B14" s="117" t="s">
        <v>166</v>
      </c>
      <c r="C14" s="117">
        <f t="shared" si="0"/>
        <v>67.25</v>
      </c>
      <c r="D14" s="117">
        <f t="shared" si="1"/>
        <v>89.25</v>
      </c>
      <c r="E14" s="225">
        <f t="shared" si="2"/>
        <v>561423.94000000006</v>
      </c>
      <c r="F14" s="117">
        <f t="shared" si="3"/>
        <v>982445.96999999986</v>
      </c>
      <c r="G14" s="117">
        <v>0</v>
      </c>
      <c r="H14" s="117">
        <v>0</v>
      </c>
      <c r="I14" s="117">
        <v>607</v>
      </c>
      <c r="J14" s="117">
        <v>608</v>
      </c>
      <c r="K14" s="117">
        <v>517</v>
      </c>
      <c r="L14" s="117">
        <v>580</v>
      </c>
      <c r="M14" s="117">
        <v>281</v>
      </c>
      <c r="N14" s="117">
        <v>281</v>
      </c>
      <c r="O14" s="117">
        <v>22</v>
      </c>
      <c r="P14" s="117">
        <v>22</v>
      </c>
      <c r="Q14" s="117">
        <v>9</v>
      </c>
      <c r="R14" s="117">
        <v>10</v>
      </c>
      <c r="S14" s="117">
        <v>21</v>
      </c>
      <c r="T14" s="117">
        <v>21</v>
      </c>
      <c r="U14" s="117">
        <v>248</v>
      </c>
      <c r="V14" s="117">
        <v>317</v>
      </c>
      <c r="W14" s="117">
        <v>0</v>
      </c>
      <c r="X14" s="117">
        <v>19</v>
      </c>
      <c r="Y14" s="117">
        <v>0</v>
      </c>
      <c r="Z14" s="117">
        <v>0</v>
      </c>
      <c r="AA14" s="117">
        <v>3633</v>
      </c>
      <c r="AB14" s="117">
        <v>3654</v>
      </c>
      <c r="AC14" s="117">
        <v>3674</v>
      </c>
      <c r="AD14" s="117">
        <v>27275</v>
      </c>
      <c r="AE14" s="117">
        <v>29560</v>
      </c>
      <c r="AF14"/>
      <c r="AG14"/>
    </row>
    <row r="15" spans="1:33" ht="13.2" x14ac:dyDescent="0.25">
      <c r="A15" s="117" t="s">
        <v>606</v>
      </c>
      <c r="B15" s="117" t="s">
        <v>262</v>
      </c>
      <c r="C15" s="117">
        <f t="shared" si="0"/>
        <v>38197.5</v>
      </c>
      <c r="D15" s="117">
        <f t="shared" si="1"/>
        <v>43528.25</v>
      </c>
      <c r="E15" s="225">
        <f t="shared" si="2"/>
        <v>23883286.140000001</v>
      </c>
      <c r="F15" s="117">
        <f t="shared" si="3"/>
        <v>41793797.069999993</v>
      </c>
      <c r="G15" s="117">
        <v>8560</v>
      </c>
      <c r="H15" s="117">
        <v>8662</v>
      </c>
      <c r="I15" s="117">
        <v>75003</v>
      </c>
      <c r="J15" s="117">
        <v>80674</v>
      </c>
      <c r="K15" s="117">
        <v>91094</v>
      </c>
      <c r="L15" s="117">
        <v>112404</v>
      </c>
      <c r="M15" s="117">
        <v>41199</v>
      </c>
      <c r="N15" s="117">
        <v>52917</v>
      </c>
      <c r="O15" s="117">
        <v>61019</v>
      </c>
      <c r="P15" s="117">
        <v>80693</v>
      </c>
      <c r="Q15" s="117">
        <v>39513</v>
      </c>
      <c r="R15" s="117">
        <v>45157</v>
      </c>
      <c r="S15" s="117">
        <v>68614</v>
      </c>
      <c r="T15" s="117">
        <v>68627</v>
      </c>
      <c r="U15" s="117">
        <v>57237</v>
      </c>
      <c r="V15" s="117">
        <v>50582</v>
      </c>
      <c r="W15" s="117">
        <v>26939</v>
      </c>
      <c r="X15" s="117">
        <v>46242</v>
      </c>
      <c r="Y15" s="117">
        <v>0</v>
      </c>
      <c r="Z15" s="117">
        <v>8662</v>
      </c>
      <c r="AA15" s="117">
        <v>154338</v>
      </c>
      <c r="AB15" s="117">
        <v>155215</v>
      </c>
      <c r="AC15" s="117">
        <v>156294</v>
      </c>
      <c r="AD15" s="117">
        <v>480635</v>
      </c>
      <c r="AE15" s="117">
        <v>351919</v>
      </c>
      <c r="AF15"/>
      <c r="AG15"/>
    </row>
    <row r="16" spans="1:33" ht="13.2" x14ac:dyDescent="0.25">
      <c r="A16" s="117" t="s">
        <v>600</v>
      </c>
      <c r="B16" s="117" t="s">
        <v>289</v>
      </c>
      <c r="C16" s="117">
        <f t="shared" si="0"/>
        <v>20055</v>
      </c>
      <c r="D16" s="117">
        <f t="shared" si="1"/>
        <v>14248.25</v>
      </c>
      <c r="E16" s="225">
        <f t="shared" si="2"/>
        <v>13879273.870000001</v>
      </c>
      <c r="F16" s="117">
        <f t="shared" si="3"/>
        <v>24287593.934999999</v>
      </c>
      <c r="G16" s="117">
        <v>10305</v>
      </c>
      <c r="H16" s="117">
        <v>6680</v>
      </c>
      <c r="I16" s="117">
        <v>21056</v>
      </c>
      <c r="J16" s="117">
        <v>16390</v>
      </c>
      <c r="K16" s="117">
        <v>63170</v>
      </c>
      <c r="L16" s="117">
        <v>62197</v>
      </c>
      <c r="M16" s="117">
        <v>37403</v>
      </c>
      <c r="N16" s="117">
        <v>38365</v>
      </c>
      <c r="O16" s="117">
        <v>21318</v>
      </c>
      <c r="P16" s="117">
        <v>18727</v>
      </c>
      <c r="Q16" s="117">
        <v>17065</v>
      </c>
      <c r="R16" s="117">
        <v>15570</v>
      </c>
      <c r="S16" s="117">
        <v>43358</v>
      </c>
      <c r="T16" s="117">
        <v>31764</v>
      </c>
      <c r="U16" s="117">
        <v>18755</v>
      </c>
      <c r="V16" s="117">
        <v>14503</v>
      </c>
      <c r="W16" s="117">
        <v>5818</v>
      </c>
      <c r="X16" s="117">
        <v>4046</v>
      </c>
      <c r="Y16" s="117">
        <v>12289</v>
      </c>
      <c r="Z16" s="117">
        <v>6680</v>
      </c>
      <c r="AA16" s="117">
        <v>89298</v>
      </c>
      <c r="AB16" s="117">
        <v>89895</v>
      </c>
      <c r="AC16" s="117">
        <v>90827</v>
      </c>
      <c r="AD16" s="117">
        <v>204291</v>
      </c>
      <c r="AE16" s="117">
        <v>201154</v>
      </c>
      <c r="AF16"/>
      <c r="AG16"/>
    </row>
    <row r="17" spans="1:33" ht="13.2" x14ac:dyDescent="0.25">
      <c r="A17" s="117" t="s">
        <v>600</v>
      </c>
      <c r="B17" s="117" t="s">
        <v>290</v>
      </c>
      <c r="C17" s="117">
        <f t="shared" si="0"/>
        <v>825889.75</v>
      </c>
      <c r="D17" s="117">
        <f t="shared" si="1"/>
        <v>563262</v>
      </c>
      <c r="E17" s="225">
        <f t="shared" si="2"/>
        <v>131905897.62</v>
      </c>
      <c r="F17" s="117">
        <f t="shared" si="3"/>
        <v>230824530.80999997</v>
      </c>
      <c r="G17" s="117">
        <v>540641</v>
      </c>
      <c r="H17" s="117">
        <v>333126</v>
      </c>
      <c r="I17" s="117">
        <v>966851</v>
      </c>
      <c r="J17" s="117">
        <v>935807</v>
      </c>
      <c r="K17" s="117">
        <v>793908</v>
      </c>
      <c r="L17" s="117">
        <v>682078</v>
      </c>
      <c r="M17" s="117">
        <v>971884</v>
      </c>
      <c r="N17" s="117">
        <v>1068193</v>
      </c>
      <c r="O17" s="117">
        <v>1019834</v>
      </c>
      <c r="P17" s="117">
        <v>595748</v>
      </c>
      <c r="Q17" s="117">
        <v>1133742</v>
      </c>
      <c r="R17" s="117">
        <v>957530</v>
      </c>
      <c r="S17" s="117">
        <v>1072643</v>
      </c>
      <c r="T17" s="117">
        <v>708096</v>
      </c>
      <c r="U17" s="117">
        <v>1038622</v>
      </c>
      <c r="V17" s="117">
        <v>790309</v>
      </c>
      <c r="W17" s="117">
        <v>671167</v>
      </c>
      <c r="X17" s="117">
        <v>421517</v>
      </c>
      <c r="Y17" s="117">
        <v>521127</v>
      </c>
      <c r="Z17" s="117">
        <v>333126</v>
      </c>
      <c r="AA17" s="117">
        <v>848861</v>
      </c>
      <c r="AB17" s="117">
        <v>855896</v>
      </c>
      <c r="AC17" s="117">
        <v>863202</v>
      </c>
      <c r="AD17" s="117">
        <v>10984907</v>
      </c>
      <c r="AE17" s="117">
        <v>10566090</v>
      </c>
      <c r="AF17"/>
      <c r="AG17"/>
    </row>
    <row r="18" spans="1:33" ht="13.2" x14ac:dyDescent="0.25">
      <c r="A18" s="117" t="s">
        <v>601</v>
      </c>
      <c r="B18" s="117" t="s">
        <v>210</v>
      </c>
      <c r="C18" s="117">
        <f t="shared" si="0"/>
        <v>41418.25</v>
      </c>
      <c r="D18" s="117">
        <f t="shared" si="1"/>
        <v>32507.75</v>
      </c>
      <c r="E18" s="225">
        <f t="shared" si="2"/>
        <v>24824901.359999999</v>
      </c>
      <c r="F18" s="117">
        <f t="shared" si="3"/>
        <v>43441546.679999992</v>
      </c>
      <c r="G18" s="117">
        <v>33000</v>
      </c>
      <c r="H18" s="117">
        <v>33238</v>
      </c>
      <c r="I18" s="117">
        <v>58587</v>
      </c>
      <c r="J18" s="117">
        <v>106864</v>
      </c>
      <c r="K18" s="117">
        <v>38072</v>
      </c>
      <c r="L18" s="117">
        <v>163102</v>
      </c>
      <c r="M18" s="117">
        <v>76986</v>
      </c>
      <c r="N18" s="117">
        <v>45522</v>
      </c>
      <c r="O18" s="117">
        <v>33987</v>
      </c>
      <c r="P18" s="117">
        <v>49696</v>
      </c>
      <c r="Q18" s="117">
        <v>22478</v>
      </c>
      <c r="R18" s="117">
        <v>31632</v>
      </c>
      <c r="S18" s="117">
        <v>49320</v>
      </c>
      <c r="T18" s="117">
        <v>47146</v>
      </c>
      <c r="U18" s="117">
        <v>46741</v>
      </c>
      <c r="V18" s="117">
        <v>26665</v>
      </c>
      <c r="W18" s="117">
        <v>36612</v>
      </c>
      <c r="X18" s="117">
        <v>22982</v>
      </c>
      <c r="Y18" s="117">
        <v>33000</v>
      </c>
      <c r="Z18" s="117">
        <v>33238</v>
      </c>
      <c r="AA18" s="117">
        <v>160059</v>
      </c>
      <c r="AB18" s="117">
        <v>161181</v>
      </c>
      <c r="AC18" s="117">
        <v>162456</v>
      </c>
      <c r="AD18" s="117">
        <v>529372</v>
      </c>
      <c r="AE18" s="117">
        <v>549689</v>
      </c>
      <c r="AF18"/>
      <c r="AG18"/>
    </row>
    <row r="19" spans="1:33" ht="13.2" x14ac:dyDescent="0.25">
      <c r="A19" s="117" t="s">
        <v>607</v>
      </c>
      <c r="B19" s="117" t="s">
        <v>142</v>
      </c>
      <c r="C19" s="117">
        <f t="shared" si="0"/>
        <v>671.25</v>
      </c>
      <c r="D19" s="117">
        <f t="shared" si="1"/>
        <v>755.5</v>
      </c>
      <c r="E19" s="225">
        <f t="shared" si="2"/>
        <v>1789863.53</v>
      </c>
      <c r="F19" s="117">
        <f t="shared" si="3"/>
        <v>3132114.7649999997</v>
      </c>
      <c r="G19" s="117">
        <v>36</v>
      </c>
      <c r="H19" s="117">
        <v>71</v>
      </c>
      <c r="I19" s="117">
        <v>2079</v>
      </c>
      <c r="J19" s="117">
        <v>3413</v>
      </c>
      <c r="K19" s="117">
        <v>1037</v>
      </c>
      <c r="L19" s="117">
        <v>3025</v>
      </c>
      <c r="M19" s="117">
        <v>1193</v>
      </c>
      <c r="N19" s="117">
        <v>1700</v>
      </c>
      <c r="O19" s="117">
        <v>696</v>
      </c>
      <c r="P19" s="117">
        <v>832</v>
      </c>
      <c r="Q19" s="117">
        <v>329</v>
      </c>
      <c r="R19" s="117">
        <v>380</v>
      </c>
      <c r="S19" s="117">
        <v>1906</v>
      </c>
      <c r="T19" s="117">
        <v>1958</v>
      </c>
      <c r="U19" s="117">
        <v>742</v>
      </c>
      <c r="V19" s="117">
        <v>781</v>
      </c>
      <c r="W19" s="117">
        <v>-5</v>
      </c>
      <c r="X19" s="117">
        <v>212</v>
      </c>
      <c r="Y19" s="117">
        <v>42</v>
      </c>
      <c r="Z19" s="117">
        <v>71</v>
      </c>
      <c r="AA19" s="117">
        <v>11967</v>
      </c>
      <c r="AB19" s="117">
        <v>11806</v>
      </c>
      <c r="AC19" s="117">
        <v>11713</v>
      </c>
      <c r="AD19" s="117">
        <v>20299</v>
      </c>
      <c r="AE19" s="117">
        <v>19451</v>
      </c>
      <c r="AF19"/>
      <c r="AG19"/>
    </row>
    <row r="20" spans="1:33" ht="13.2" x14ac:dyDescent="0.25">
      <c r="A20" s="117" t="s">
        <v>601</v>
      </c>
      <c r="B20" s="117" t="s">
        <v>211</v>
      </c>
      <c r="C20" s="117">
        <f t="shared" si="0"/>
        <v>43490.75</v>
      </c>
      <c r="D20" s="117">
        <f t="shared" si="1"/>
        <v>32797</v>
      </c>
      <c r="E20" s="225">
        <f t="shared" si="2"/>
        <v>24339118.370000001</v>
      </c>
      <c r="F20" s="117">
        <f t="shared" si="3"/>
        <v>42591466.184999995</v>
      </c>
      <c r="G20" s="117">
        <v>26495</v>
      </c>
      <c r="H20" s="117">
        <v>26718</v>
      </c>
      <c r="I20" s="117">
        <v>200973</v>
      </c>
      <c r="J20" s="117">
        <v>213990</v>
      </c>
      <c r="K20" s="117">
        <v>80406</v>
      </c>
      <c r="L20" s="117">
        <v>100649</v>
      </c>
      <c r="M20" s="117">
        <v>86518</v>
      </c>
      <c r="N20" s="117">
        <v>99646</v>
      </c>
      <c r="O20" s="117">
        <v>67024</v>
      </c>
      <c r="P20" s="117">
        <v>77480</v>
      </c>
      <c r="Q20" s="117">
        <v>47872</v>
      </c>
      <c r="R20" s="117">
        <v>48761</v>
      </c>
      <c r="S20" s="117">
        <v>52451</v>
      </c>
      <c r="T20" s="117">
        <v>62936</v>
      </c>
      <c r="U20" s="117">
        <v>33888</v>
      </c>
      <c r="V20" s="117">
        <v>34126</v>
      </c>
      <c r="W20" s="117">
        <v>57898</v>
      </c>
      <c r="X20" s="117">
        <v>34126</v>
      </c>
      <c r="Y20" s="117">
        <v>29726</v>
      </c>
      <c r="Z20" s="271">
        <v>0</v>
      </c>
      <c r="AA20" s="117">
        <v>155721</v>
      </c>
      <c r="AB20" s="117">
        <v>157277</v>
      </c>
      <c r="AC20" s="117">
        <v>159277</v>
      </c>
      <c r="AD20" s="117">
        <v>681425</v>
      </c>
      <c r="AE20" s="117">
        <v>684051</v>
      </c>
      <c r="AF20"/>
      <c r="AG20"/>
    </row>
    <row r="21" spans="1:33" ht="13.2" x14ac:dyDescent="0.25">
      <c r="A21" s="117" t="s">
        <v>598</v>
      </c>
      <c r="B21" s="117" t="s">
        <v>130</v>
      </c>
      <c r="C21" s="117">
        <f t="shared" si="0"/>
        <v>34542</v>
      </c>
      <c r="D21" s="117">
        <f t="shared" si="1"/>
        <v>32547.5</v>
      </c>
      <c r="E21" s="225">
        <f t="shared" si="2"/>
        <v>10386495.699999999</v>
      </c>
      <c r="F21" s="117">
        <f t="shared" si="3"/>
        <v>18175517.849999998</v>
      </c>
      <c r="G21" s="117">
        <v>10675</v>
      </c>
      <c r="H21" s="117">
        <v>10567</v>
      </c>
      <c r="I21" s="117">
        <v>16589</v>
      </c>
      <c r="J21" s="117">
        <v>19354</v>
      </c>
      <c r="K21" s="117">
        <v>11757</v>
      </c>
      <c r="L21" s="117">
        <v>17528</v>
      </c>
      <c r="M21" s="117">
        <v>6927</v>
      </c>
      <c r="N21" s="117">
        <v>15560</v>
      </c>
      <c r="O21" s="117">
        <v>5658</v>
      </c>
      <c r="P21" s="117">
        <v>16814</v>
      </c>
      <c r="Q21" s="117">
        <v>16271</v>
      </c>
      <c r="R21" s="117">
        <v>25100</v>
      </c>
      <c r="S21" s="117">
        <v>119098</v>
      </c>
      <c r="T21" s="117">
        <v>106596</v>
      </c>
      <c r="U21" s="117">
        <v>7671</v>
      </c>
      <c r="V21" s="117">
        <v>7837</v>
      </c>
      <c r="W21" s="117">
        <v>2968</v>
      </c>
      <c r="X21" s="117">
        <v>5190</v>
      </c>
      <c r="Y21" s="117">
        <v>8431</v>
      </c>
      <c r="Z21" s="117">
        <v>10567</v>
      </c>
      <c r="AA21" s="117">
        <v>67555</v>
      </c>
      <c r="AB21" s="117">
        <v>67688</v>
      </c>
      <c r="AC21" s="117">
        <v>67970</v>
      </c>
      <c r="AD21" s="117">
        <v>361077</v>
      </c>
      <c r="AE21" s="117">
        <v>347627</v>
      </c>
      <c r="AF21"/>
      <c r="AG21"/>
    </row>
    <row r="22" spans="1:33" ht="13.2" x14ac:dyDescent="0.25">
      <c r="A22" s="117" t="s">
        <v>599</v>
      </c>
      <c r="B22" s="117" t="s">
        <v>404</v>
      </c>
      <c r="C22" s="117">
        <f t="shared" si="0"/>
        <v>3294.5</v>
      </c>
      <c r="D22" s="117">
        <f t="shared" si="1"/>
        <v>2689</v>
      </c>
      <c r="E22" s="225">
        <f t="shared" si="2"/>
        <v>2554066.34</v>
      </c>
      <c r="F22" s="117">
        <f t="shared" si="3"/>
        <v>4469407.17</v>
      </c>
      <c r="G22" s="117">
        <v>420</v>
      </c>
      <c r="H22" s="117">
        <v>-513</v>
      </c>
      <c r="I22" s="117">
        <v>3133</v>
      </c>
      <c r="J22" s="117">
        <v>2571</v>
      </c>
      <c r="K22" s="117">
        <v>2438</v>
      </c>
      <c r="L22" s="117">
        <v>3079</v>
      </c>
      <c r="M22" s="117">
        <v>6152</v>
      </c>
      <c r="N22" s="117">
        <v>5970</v>
      </c>
      <c r="O22" s="117">
        <v>798</v>
      </c>
      <c r="P22" s="117">
        <v>1002</v>
      </c>
      <c r="Q22" s="117">
        <v>3539</v>
      </c>
      <c r="R22" s="117">
        <v>3426</v>
      </c>
      <c r="S22" s="117">
        <v>1697</v>
      </c>
      <c r="T22" s="117">
        <v>1697</v>
      </c>
      <c r="U22" s="117">
        <v>5300</v>
      </c>
      <c r="V22" s="117">
        <v>4366</v>
      </c>
      <c r="W22" s="117">
        <v>5761</v>
      </c>
      <c r="X22" s="117">
        <v>5206</v>
      </c>
      <c r="Y22" s="117">
        <v>420</v>
      </c>
      <c r="Z22" s="117">
        <v>-513</v>
      </c>
      <c r="AA22" s="117">
        <v>16709</v>
      </c>
      <c r="AB22" s="117">
        <v>16708</v>
      </c>
      <c r="AC22" s="117">
        <v>16714</v>
      </c>
      <c r="AD22" s="117">
        <v>22245</v>
      </c>
      <c r="AE22" s="117">
        <v>24473</v>
      </c>
      <c r="AF22"/>
      <c r="AG22"/>
    </row>
    <row r="23" spans="1:33" ht="13.2" x14ac:dyDescent="0.25">
      <c r="A23" s="117" t="s">
        <v>599</v>
      </c>
      <c r="B23" s="117" t="s">
        <v>405</v>
      </c>
      <c r="C23" s="117">
        <f t="shared" si="0"/>
        <v>915.75</v>
      </c>
      <c r="D23" s="117">
        <f t="shared" si="1"/>
        <v>782.25</v>
      </c>
      <c r="E23" s="225">
        <f t="shared" si="2"/>
        <v>1046442.88</v>
      </c>
      <c r="F23" s="117">
        <f t="shared" si="3"/>
        <v>1831189.4399999997</v>
      </c>
      <c r="G23" s="117">
        <v>818</v>
      </c>
      <c r="H23" s="117">
        <v>818</v>
      </c>
      <c r="I23" s="117">
        <v>2666</v>
      </c>
      <c r="J23" s="117">
        <v>873</v>
      </c>
      <c r="K23" s="117">
        <v>395</v>
      </c>
      <c r="L23" s="117">
        <v>392</v>
      </c>
      <c r="M23" s="117">
        <v>597</v>
      </c>
      <c r="N23" s="117">
        <v>596</v>
      </c>
      <c r="O23" s="117">
        <v>835</v>
      </c>
      <c r="P23" s="117">
        <v>153</v>
      </c>
      <c r="Q23" s="117">
        <v>598</v>
      </c>
      <c r="R23" s="117">
        <v>459</v>
      </c>
      <c r="S23" s="117">
        <v>1863</v>
      </c>
      <c r="T23" s="117">
        <v>1377</v>
      </c>
      <c r="U23" s="117">
        <v>467</v>
      </c>
      <c r="V23" s="117">
        <v>238</v>
      </c>
      <c r="W23" s="117">
        <v>635</v>
      </c>
      <c r="X23" s="117">
        <v>696</v>
      </c>
      <c r="Y23" s="117">
        <v>698</v>
      </c>
      <c r="Z23" s="117">
        <v>818</v>
      </c>
      <c r="AA23" s="117">
        <v>6658</v>
      </c>
      <c r="AB23" s="117">
        <v>6801</v>
      </c>
      <c r="AC23" s="117">
        <v>6848</v>
      </c>
      <c r="AD23" s="117">
        <v>15790</v>
      </c>
      <c r="AE23" s="117">
        <v>16667</v>
      </c>
      <c r="AF23"/>
      <c r="AG23"/>
    </row>
    <row r="24" spans="1:33" ht="13.2" x14ac:dyDescent="0.25">
      <c r="A24" s="117" t="s">
        <v>606</v>
      </c>
      <c r="B24" s="117" t="s">
        <v>263</v>
      </c>
      <c r="C24" s="117">
        <f t="shared" si="0"/>
        <v>191.75</v>
      </c>
      <c r="D24" s="117">
        <f t="shared" si="1"/>
        <v>52.25</v>
      </c>
      <c r="E24" s="225">
        <f t="shared" si="2"/>
        <v>3784186.84</v>
      </c>
      <c r="F24" s="117">
        <f t="shared" si="3"/>
        <v>6622017.419999999</v>
      </c>
      <c r="G24" s="117">
        <v>0</v>
      </c>
      <c r="H24" s="117">
        <v>1</v>
      </c>
      <c r="I24" s="117">
        <v>18</v>
      </c>
      <c r="J24" s="117">
        <v>0</v>
      </c>
      <c r="K24" s="117">
        <v>1581</v>
      </c>
      <c r="L24" s="117">
        <v>2838</v>
      </c>
      <c r="M24" s="117">
        <v>17</v>
      </c>
      <c r="N24" s="117">
        <v>446</v>
      </c>
      <c r="O24" s="117">
        <v>0</v>
      </c>
      <c r="P24" s="117">
        <v>41</v>
      </c>
      <c r="Q24" s="117">
        <v>0</v>
      </c>
      <c r="R24" s="117">
        <v>82</v>
      </c>
      <c r="S24" s="117">
        <v>0</v>
      </c>
      <c r="T24" s="117">
        <v>35</v>
      </c>
      <c r="U24" s="117">
        <v>767</v>
      </c>
      <c r="V24" s="117">
        <v>168</v>
      </c>
      <c r="W24" s="117">
        <v>0</v>
      </c>
      <c r="X24" s="117">
        <v>5</v>
      </c>
      <c r="Y24" s="117">
        <v>0</v>
      </c>
      <c r="Z24" s="117">
        <v>1</v>
      </c>
      <c r="AA24" s="117">
        <v>24522</v>
      </c>
      <c r="AB24" s="117">
        <v>24638</v>
      </c>
      <c r="AC24" s="117">
        <v>24764</v>
      </c>
      <c r="AD24" s="117">
        <v>51906</v>
      </c>
      <c r="AE24" s="117">
        <v>50671</v>
      </c>
      <c r="AF24"/>
      <c r="AG24"/>
    </row>
    <row r="25" spans="1:33" ht="13.2" x14ac:dyDescent="0.25">
      <c r="A25" s="117" t="s">
        <v>603</v>
      </c>
      <c r="B25" s="117" t="s">
        <v>335</v>
      </c>
      <c r="C25" s="117">
        <f t="shared" si="0"/>
        <v>18589.75</v>
      </c>
      <c r="D25" s="117">
        <f t="shared" si="1"/>
        <v>20334.75</v>
      </c>
      <c r="E25" s="225">
        <f t="shared" si="2"/>
        <v>7440013.2800000003</v>
      </c>
      <c r="F25" s="117">
        <f t="shared" si="3"/>
        <v>13019414.639999999</v>
      </c>
      <c r="G25" s="117">
        <v>18628</v>
      </c>
      <c r="H25" s="117">
        <v>18628</v>
      </c>
      <c r="I25" s="117">
        <v>25874</v>
      </c>
      <c r="J25" s="117">
        <v>18941</v>
      </c>
      <c r="K25" s="117">
        <v>12587</v>
      </c>
      <c r="L25" s="117">
        <v>11246</v>
      </c>
      <c r="M25" s="117">
        <v>10254</v>
      </c>
      <c r="N25" s="117">
        <v>12177</v>
      </c>
      <c r="O25" s="117">
        <v>13381</v>
      </c>
      <c r="P25" s="117">
        <v>10195</v>
      </c>
      <c r="Q25" s="117">
        <v>18140</v>
      </c>
      <c r="R25" s="117">
        <v>18601</v>
      </c>
      <c r="S25" s="117">
        <v>21224</v>
      </c>
      <c r="T25" s="117">
        <v>19493</v>
      </c>
      <c r="U25" s="117">
        <v>32276</v>
      </c>
      <c r="V25" s="117">
        <v>31651</v>
      </c>
      <c r="W25" s="117">
        <v>12046</v>
      </c>
      <c r="X25" s="117">
        <v>11567</v>
      </c>
      <c r="Y25" s="117">
        <v>8813</v>
      </c>
      <c r="Z25" s="117">
        <v>18628</v>
      </c>
      <c r="AA25" s="117">
        <v>48344</v>
      </c>
      <c r="AB25" s="117">
        <v>48485</v>
      </c>
      <c r="AC25" s="117">
        <v>48688</v>
      </c>
      <c r="AD25" s="117">
        <v>126217</v>
      </c>
      <c r="AE25" s="117">
        <v>141483</v>
      </c>
      <c r="AF25"/>
      <c r="AG25"/>
    </row>
    <row r="26" spans="1:33" ht="13.2" x14ac:dyDescent="0.25">
      <c r="A26" s="117" t="s">
        <v>601</v>
      </c>
      <c r="B26" s="117" t="s">
        <v>212</v>
      </c>
      <c r="C26" s="117">
        <f t="shared" si="0"/>
        <v>19055</v>
      </c>
      <c r="D26" s="117">
        <f t="shared" si="1"/>
        <v>19396</v>
      </c>
      <c r="E26" s="225">
        <f t="shared" si="2"/>
        <v>8856867.5999999996</v>
      </c>
      <c r="F26" s="117">
        <f t="shared" si="3"/>
        <v>15498793.799999999</v>
      </c>
      <c r="G26" s="117">
        <v>4475</v>
      </c>
      <c r="H26" s="117">
        <v>4475</v>
      </c>
      <c r="I26" s="117">
        <v>25217</v>
      </c>
      <c r="J26" s="117">
        <v>26918</v>
      </c>
      <c r="K26" s="117">
        <v>18747</v>
      </c>
      <c r="L26" s="117">
        <v>17894</v>
      </c>
      <c r="M26" s="117">
        <v>33092</v>
      </c>
      <c r="N26" s="117">
        <v>65289</v>
      </c>
      <c r="O26" s="117">
        <v>40872</v>
      </c>
      <c r="P26" s="117">
        <v>40870</v>
      </c>
      <c r="Q26" s="117">
        <v>29456</v>
      </c>
      <c r="R26" s="117">
        <v>33080</v>
      </c>
      <c r="S26" s="117">
        <v>15802</v>
      </c>
      <c r="T26" s="117">
        <v>15940</v>
      </c>
      <c r="U26" s="117">
        <v>40200</v>
      </c>
      <c r="V26" s="117">
        <v>27919</v>
      </c>
      <c r="W26" s="117">
        <v>20218</v>
      </c>
      <c r="X26" s="117">
        <v>29250</v>
      </c>
      <c r="Y26" s="117">
        <v>0</v>
      </c>
      <c r="Z26" s="117">
        <v>4475</v>
      </c>
      <c r="AA26" s="117">
        <v>56371</v>
      </c>
      <c r="AB26" s="117">
        <v>57358</v>
      </c>
      <c r="AC26" s="117">
        <v>57960</v>
      </c>
      <c r="AD26" s="117">
        <v>236191</v>
      </c>
      <c r="AE26" s="117">
        <v>233741</v>
      </c>
      <c r="AF26"/>
      <c r="AG26"/>
    </row>
    <row r="27" spans="1:33" ht="13.2" x14ac:dyDescent="0.25">
      <c r="A27" s="117" t="s">
        <v>608</v>
      </c>
      <c r="B27" s="117" t="s">
        <v>462</v>
      </c>
      <c r="C27" s="117">
        <f t="shared" si="0"/>
        <v>1025.5</v>
      </c>
      <c r="D27" s="117">
        <f t="shared" si="1"/>
        <v>892</v>
      </c>
      <c r="E27" s="225">
        <f t="shared" si="2"/>
        <v>2433804.87</v>
      </c>
      <c r="F27" s="117">
        <f t="shared" si="3"/>
        <v>4258959.4349999996</v>
      </c>
      <c r="G27" s="117">
        <v>20</v>
      </c>
      <c r="H27" s="117">
        <v>164</v>
      </c>
      <c r="I27" s="117">
        <v>1518</v>
      </c>
      <c r="J27" s="117">
        <v>1635</v>
      </c>
      <c r="K27" s="117">
        <v>1399</v>
      </c>
      <c r="L27" s="117">
        <v>1507</v>
      </c>
      <c r="M27" s="117">
        <v>1111</v>
      </c>
      <c r="N27" s="117">
        <v>1394</v>
      </c>
      <c r="O27" s="117">
        <v>688</v>
      </c>
      <c r="P27" s="117">
        <v>1190</v>
      </c>
      <c r="Q27" s="117">
        <v>1832</v>
      </c>
      <c r="R27" s="117">
        <v>1680</v>
      </c>
      <c r="S27" s="117">
        <v>1546</v>
      </c>
      <c r="T27" s="117">
        <v>1287</v>
      </c>
      <c r="U27" s="117">
        <v>1803</v>
      </c>
      <c r="V27" s="117">
        <v>1580</v>
      </c>
      <c r="W27" s="117">
        <v>737</v>
      </c>
      <c r="X27" s="117">
        <v>537</v>
      </c>
      <c r="Y27" s="117">
        <v>16</v>
      </c>
      <c r="Z27" s="117">
        <v>164</v>
      </c>
      <c r="AA27" s="117">
        <v>15945</v>
      </c>
      <c r="AB27" s="117">
        <v>15902</v>
      </c>
      <c r="AC27" s="117">
        <v>15927</v>
      </c>
      <c r="AD27" s="117">
        <v>25600</v>
      </c>
      <c r="AE27" s="117">
        <v>21970</v>
      </c>
      <c r="AF27"/>
      <c r="AG27"/>
    </row>
    <row r="28" spans="1:33" ht="13.2" x14ac:dyDescent="0.25">
      <c r="A28" s="117" t="s">
        <v>608</v>
      </c>
      <c r="B28" s="117" t="s">
        <v>746</v>
      </c>
      <c r="C28" s="117">
        <f t="shared" si="0"/>
        <v>318.25</v>
      </c>
      <c r="D28" s="117">
        <f t="shared" si="1"/>
        <v>45.5</v>
      </c>
      <c r="E28" s="225">
        <f t="shared" si="2"/>
        <v>5458678.8200000003</v>
      </c>
      <c r="F28" s="117">
        <f t="shared" si="3"/>
        <v>9552241.4099999983</v>
      </c>
      <c r="G28" s="271">
        <f>W28</f>
        <v>87</v>
      </c>
      <c r="H28" s="271">
        <f>X28</f>
        <v>107</v>
      </c>
      <c r="I28" s="117">
        <v>652</v>
      </c>
      <c r="J28" s="117">
        <v>628</v>
      </c>
      <c r="K28" s="117">
        <v>229</v>
      </c>
      <c r="L28" s="117">
        <v>17</v>
      </c>
      <c r="M28" s="117">
        <v>2469</v>
      </c>
      <c r="N28" s="117">
        <v>4678</v>
      </c>
      <c r="O28" s="117">
        <v>790</v>
      </c>
      <c r="P28" s="117">
        <v>989</v>
      </c>
      <c r="Q28" s="117">
        <v>1395</v>
      </c>
      <c r="R28" s="117">
        <v>1643</v>
      </c>
      <c r="S28" s="117">
        <v>155</v>
      </c>
      <c r="T28" s="117">
        <v>20</v>
      </c>
      <c r="U28" s="117">
        <v>169</v>
      </c>
      <c r="V28" s="117">
        <v>55</v>
      </c>
      <c r="W28" s="117">
        <v>87</v>
      </c>
      <c r="X28" s="117">
        <v>107</v>
      </c>
      <c r="Y28" s="117">
        <v>862</v>
      </c>
      <c r="Z28" s="117">
        <v>0</v>
      </c>
      <c r="AA28" s="117">
        <v>36125</v>
      </c>
      <c r="AB28" s="117">
        <v>35965</v>
      </c>
      <c r="AC28" s="117">
        <v>35722</v>
      </c>
      <c r="AD28" s="117">
        <v>73824</v>
      </c>
      <c r="AE28" s="117">
        <v>67401</v>
      </c>
      <c r="AF28"/>
      <c r="AG28"/>
    </row>
    <row r="29" spans="1:33" ht="13.2" x14ac:dyDescent="0.25">
      <c r="A29" s="117" t="s">
        <v>600</v>
      </c>
      <c r="B29" s="117" t="s">
        <v>291</v>
      </c>
      <c r="C29" s="117">
        <f t="shared" si="0"/>
        <v>1068.25</v>
      </c>
      <c r="D29" s="117">
        <f t="shared" si="1"/>
        <v>1069.5</v>
      </c>
      <c r="E29" s="225">
        <f t="shared" si="2"/>
        <v>1489591.8800000001</v>
      </c>
      <c r="F29" s="117">
        <f t="shared" si="3"/>
        <v>2606663.94</v>
      </c>
      <c r="G29" s="117">
        <v>62</v>
      </c>
      <c r="H29" s="117">
        <v>36</v>
      </c>
      <c r="I29" s="117">
        <v>11057</v>
      </c>
      <c r="J29" s="117">
        <v>12358</v>
      </c>
      <c r="K29" s="117">
        <v>27117</v>
      </c>
      <c r="L29" s="117">
        <v>23159</v>
      </c>
      <c r="M29" s="117">
        <v>9533</v>
      </c>
      <c r="N29" s="117">
        <v>8891</v>
      </c>
      <c r="O29" s="117">
        <v>6891</v>
      </c>
      <c r="P29" s="117">
        <v>6185</v>
      </c>
      <c r="Q29" s="117">
        <v>6189</v>
      </c>
      <c r="R29" s="117">
        <v>6405</v>
      </c>
      <c r="S29" s="117">
        <v>2298</v>
      </c>
      <c r="T29" s="117">
        <v>2348</v>
      </c>
      <c r="U29" s="117">
        <v>1115</v>
      </c>
      <c r="V29" s="117">
        <v>1215</v>
      </c>
      <c r="W29" s="117">
        <v>787</v>
      </c>
      <c r="X29" s="117">
        <v>679</v>
      </c>
      <c r="Y29" s="117">
        <v>73</v>
      </c>
      <c r="Z29" s="117">
        <v>36</v>
      </c>
      <c r="AA29" s="117">
        <v>9208</v>
      </c>
      <c r="AB29" s="117">
        <v>9548</v>
      </c>
      <c r="AC29" s="117">
        <v>9748</v>
      </c>
      <c r="AD29" s="117">
        <v>21209</v>
      </c>
      <c r="AE29" s="117">
        <v>21752</v>
      </c>
      <c r="AF29"/>
      <c r="AG29"/>
    </row>
    <row r="30" spans="1:33" ht="13.2" x14ac:dyDescent="0.25">
      <c r="A30" s="117" t="s">
        <v>608</v>
      </c>
      <c r="B30" s="117" t="s">
        <v>463</v>
      </c>
      <c r="C30" s="117">
        <f t="shared" si="0"/>
        <v>1377.5</v>
      </c>
      <c r="D30" s="117">
        <f t="shared" si="1"/>
        <v>1400.5</v>
      </c>
      <c r="E30" s="225">
        <f t="shared" si="2"/>
        <v>2066908.06</v>
      </c>
      <c r="F30" s="117">
        <f t="shared" si="3"/>
        <v>3616920.03</v>
      </c>
      <c r="G30" s="117">
        <v>0</v>
      </c>
      <c r="H30" s="117">
        <v>-33</v>
      </c>
      <c r="I30" s="117">
        <v>461</v>
      </c>
      <c r="J30" s="117">
        <v>386</v>
      </c>
      <c r="K30" s="117">
        <v>490</v>
      </c>
      <c r="L30" s="117">
        <v>437</v>
      </c>
      <c r="M30" s="117">
        <v>659</v>
      </c>
      <c r="N30" s="117">
        <v>623</v>
      </c>
      <c r="O30" s="117">
        <v>3310</v>
      </c>
      <c r="P30" s="117">
        <v>3297</v>
      </c>
      <c r="Q30" s="117">
        <v>1296</v>
      </c>
      <c r="R30" s="117">
        <v>1072</v>
      </c>
      <c r="S30" s="117">
        <v>2666</v>
      </c>
      <c r="T30" s="117">
        <v>2726</v>
      </c>
      <c r="U30" s="117">
        <v>1612</v>
      </c>
      <c r="V30" s="117">
        <v>1364</v>
      </c>
      <c r="W30" s="117">
        <v>1232</v>
      </c>
      <c r="X30" s="117">
        <v>1545</v>
      </c>
      <c r="Y30" s="117">
        <v>0</v>
      </c>
      <c r="Z30" s="117">
        <v>-33</v>
      </c>
      <c r="AA30" s="117">
        <v>13407</v>
      </c>
      <c r="AB30" s="117">
        <v>13446</v>
      </c>
      <c r="AC30" s="117">
        <v>13526</v>
      </c>
      <c r="AD30" s="117">
        <v>17355</v>
      </c>
      <c r="AE30" s="117">
        <v>18607</v>
      </c>
      <c r="AF30"/>
      <c r="AG30"/>
    </row>
    <row r="31" spans="1:33" ht="13.2" x14ac:dyDescent="0.25">
      <c r="A31" s="117" t="s">
        <v>601</v>
      </c>
      <c r="B31" s="117" t="s">
        <v>609</v>
      </c>
      <c r="C31" s="117">
        <f t="shared" si="0"/>
        <v>3050.5</v>
      </c>
      <c r="D31" s="117">
        <f t="shared" si="1"/>
        <v>3014</v>
      </c>
      <c r="E31" s="225">
        <f t="shared" si="2"/>
        <v>5312592.46</v>
      </c>
      <c r="F31" s="117">
        <f t="shared" si="3"/>
        <v>9296602.2299999986</v>
      </c>
      <c r="G31" s="117">
        <v>0</v>
      </c>
      <c r="H31" s="117">
        <v>76</v>
      </c>
      <c r="I31" s="117">
        <v>5645</v>
      </c>
      <c r="J31" s="117">
        <v>5843</v>
      </c>
      <c r="K31" s="117">
        <v>6365</v>
      </c>
      <c r="L31" s="117">
        <v>5708</v>
      </c>
      <c r="M31" s="117">
        <v>4180</v>
      </c>
      <c r="N31" s="117">
        <v>4161</v>
      </c>
      <c r="O31" s="117">
        <v>5403</v>
      </c>
      <c r="P31" s="117">
        <v>5824</v>
      </c>
      <c r="Q31" s="117">
        <v>2465</v>
      </c>
      <c r="R31" s="117">
        <v>4041</v>
      </c>
      <c r="S31" s="117">
        <v>3374</v>
      </c>
      <c r="T31" s="117">
        <v>3946</v>
      </c>
      <c r="U31" s="117">
        <v>4463</v>
      </c>
      <c r="V31" s="117">
        <v>4430</v>
      </c>
      <c r="W31" s="117">
        <v>4365</v>
      </c>
      <c r="X31" s="117">
        <v>3604</v>
      </c>
      <c r="Y31" s="117">
        <v>0</v>
      </c>
      <c r="Z31" s="117">
        <v>76</v>
      </c>
      <c r="AA31" s="117">
        <v>34803</v>
      </c>
      <c r="AB31" s="117">
        <v>34748</v>
      </c>
      <c r="AC31" s="117">
        <v>34766</v>
      </c>
      <c r="AD31" s="117">
        <v>70964</v>
      </c>
      <c r="AE31" s="117">
        <v>70105</v>
      </c>
      <c r="AF31"/>
      <c r="AG31"/>
    </row>
    <row r="32" spans="1:33" ht="13.2" x14ac:dyDescent="0.25">
      <c r="A32" s="117" t="s">
        <v>599</v>
      </c>
      <c r="B32" s="117" t="s">
        <v>406</v>
      </c>
      <c r="C32" s="117">
        <f t="shared" si="0"/>
        <v>4674</v>
      </c>
      <c r="D32" s="117">
        <f t="shared" si="1"/>
        <v>4817</v>
      </c>
      <c r="E32" s="225">
        <f t="shared" si="2"/>
        <v>2826526.57</v>
      </c>
      <c r="F32" s="117">
        <f t="shared" si="3"/>
        <v>4946190.2849999992</v>
      </c>
      <c r="G32" s="117">
        <v>8155</v>
      </c>
      <c r="H32" s="117">
        <v>8074</v>
      </c>
      <c r="I32" s="117">
        <v>10002</v>
      </c>
      <c r="J32" s="117">
        <v>10057</v>
      </c>
      <c r="K32" s="117">
        <v>12340</v>
      </c>
      <c r="L32" s="117">
        <v>12303</v>
      </c>
      <c r="M32" s="117">
        <v>19222</v>
      </c>
      <c r="N32" s="117">
        <v>19190</v>
      </c>
      <c r="O32" s="117">
        <v>6783</v>
      </c>
      <c r="P32" s="117">
        <v>7312</v>
      </c>
      <c r="Q32" s="117">
        <v>4899</v>
      </c>
      <c r="R32" s="117">
        <v>6704</v>
      </c>
      <c r="S32" s="117">
        <v>5497</v>
      </c>
      <c r="T32" s="117">
        <v>3141</v>
      </c>
      <c r="U32" s="117">
        <v>5611</v>
      </c>
      <c r="V32" s="117">
        <v>5060</v>
      </c>
      <c r="W32" s="117">
        <v>3914</v>
      </c>
      <c r="X32" s="117">
        <v>2993</v>
      </c>
      <c r="Y32" s="117">
        <v>3674</v>
      </c>
      <c r="Z32" s="117">
        <v>8074</v>
      </c>
      <c r="AA32" s="117">
        <v>18352</v>
      </c>
      <c r="AB32" s="117">
        <v>18394</v>
      </c>
      <c r="AC32" s="117">
        <v>18497</v>
      </c>
      <c r="AD32" s="117">
        <v>36847</v>
      </c>
      <c r="AE32" s="117">
        <v>35122</v>
      </c>
      <c r="AF32"/>
      <c r="AG32"/>
    </row>
    <row r="33" spans="1:33" ht="13.2" x14ac:dyDescent="0.25">
      <c r="A33" s="117" t="s">
        <v>608</v>
      </c>
      <c r="B33" s="117" t="s">
        <v>502</v>
      </c>
      <c r="C33" s="117">
        <f t="shared" si="0"/>
        <v>468.5</v>
      </c>
      <c r="D33" s="117">
        <f t="shared" si="1"/>
        <v>85.25</v>
      </c>
      <c r="E33" s="225">
        <f t="shared" si="2"/>
        <v>2007006.54</v>
      </c>
      <c r="F33" s="117">
        <f t="shared" si="3"/>
        <v>3512097.2699999996</v>
      </c>
      <c r="G33" s="117">
        <v>55</v>
      </c>
      <c r="H33" s="117">
        <v>16</v>
      </c>
      <c r="I33" s="117">
        <v>1456</v>
      </c>
      <c r="J33" s="117">
        <v>1554</v>
      </c>
      <c r="K33" s="117">
        <v>1654</v>
      </c>
      <c r="L33" s="117">
        <v>1760</v>
      </c>
      <c r="M33" s="117">
        <v>934</v>
      </c>
      <c r="N33" s="117">
        <v>1251</v>
      </c>
      <c r="O33" s="117">
        <v>917</v>
      </c>
      <c r="P33" s="117">
        <v>1060</v>
      </c>
      <c r="Q33" s="117">
        <v>42</v>
      </c>
      <c r="R33" s="117">
        <v>188</v>
      </c>
      <c r="S33" s="117">
        <v>30</v>
      </c>
      <c r="T33" s="117">
        <v>106</v>
      </c>
      <c r="U33" s="117">
        <v>1152</v>
      </c>
      <c r="V33" s="117">
        <v>203</v>
      </c>
      <c r="W33" s="117">
        <v>647</v>
      </c>
      <c r="X33" s="117">
        <v>16</v>
      </c>
      <c r="Y33" s="117">
        <v>45</v>
      </c>
      <c r="Z33" s="117">
        <v>16</v>
      </c>
      <c r="AA33" s="117">
        <v>13095</v>
      </c>
      <c r="AB33" s="117">
        <v>13110</v>
      </c>
      <c r="AC33" s="117">
        <v>13134</v>
      </c>
      <c r="AD33" s="117">
        <v>15994</v>
      </c>
      <c r="AE33" s="117">
        <v>15356</v>
      </c>
      <c r="AF33"/>
      <c r="AG33"/>
    </row>
    <row r="34" spans="1:33" ht="13.2" x14ac:dyDescent="0.25">
      <c r="A34" s="117" t="s">
        <v>600</v>
      </c>
      <c r="B34" s="117" t="s">
        <v>503</v>
      </c>
      <c r="C34" s="117">
        <f t="shared" si="0"/>
        <v>1332.75</v>
      </c>
      <c r="D34" s="117">
        <f t="shared" si="1"/>
        <v>893.75</v>
      </c>
      <c r="E34" s="225">
        <f t="shared" si="2"/>
        <v>4578951.6500000004</v>
      </c>
      <c r="F34" s="117">
        <f t="shared" si="3"/>
        <v>8012790.8249999993</v>
      </c>
      <c r="G34" s="117">
        <v>1007</v>
      </c>
      <c r="H34" s="117">
        <v>1102</v>
      </c>
      <c r="I34" s="117">
        <v>612</v>
      </c>
      <c r="J34" s="117">
        <v>698</v>
      </c>
      <c r="K34" s="117">
        <v>3964</v>
      </c>
      <c r="L34" s="117">
        <v>6090</v>
      </c>
      <c r="M34" s="117">
        <v>1375</v>
      </c>
      <c r="N34" s="117">
        <v>510</v>
      </c>
      <c r="O34" s="117">
        <v>4564</v>
      </c>
      <c r="P34" s="117">
        <v>1737</v>
      </c>
      <c r="Q34" s="117">
        <v>1913</v>
      </c>
      <c r="R34" s="117">
        <v>3670</v>
      </c>
      <c r="S34" s="117">
        <v>1944</v>
      </c>
      <c r="T34" s="117">
        <v>836</v>
      </c>
      <c r="U34" s="117">
        <v>1206</v>
      </c>
      <c r="V34" s="117">
        <v>904</v>
      </c>
      <c r="W34" s="117">
        <v>571</v>
      </c>
      <c r="X34" s="117">
        <v>733</v>
      </c>
      <c r="Y34" s="117">
        <v>1610</v>
      </c>
      <c r="Z34" s="117">
        <v>1102</v>
      </c>
      <c r="AA34" s="117">
        <v>29839</v>
      </c>
      <c r="AB34" s="117">
        <v>29941</v>
      </c>
      <c r="AC34" s="117">
        <v>29965</v>
      </c>
      <c r="AD34" s="117">
        <v>92575</v>
      </c>
      <c r="AE34" s="117">
        <v>90206</v>
      </c>
      <c r="AF34"/>
      <c r="AG34"/>
    </row>
    <row r="35" spans="1:33" ht="13.2" x14ac:dyDescent="0.25">
      <c r="A35" s="117" t="s">
        <v>599</v>
      </c>
      <c r="B35" s="117" t="s">
        <v>407</v>
      </c>
      <c r="C35" s="117">
        <f t="shared" si="0"/>
        <v>27798.5</v>
      </c>
      <c r="D35" s="117">
        <f t="shared" si="1"/>
        <v>24367</v>
      </c>
      <c r="E35" s="225">
        <f t="shared" si="2"/>
        <v>10208472.050000001</v>
      </c>
      <c r="F35" s="117">
        <f t="shared" si="3"/>
        <v>17863991.024999999</v>
      </c>
      <c r="G35" s="117">
        <v>13164</v>
      </c>
      <c r="H35" s="117">
        <v>11082</v>
      </c>
      <c r="I35" s="117">
        <v>75379</v>
      </c>
      <c r="J35" s="117">
        <v>89926</v>
      </c>
      <c r="K35" s="117">
        <v>128525</v>
      </c>
      <c r="L35" s="117">
        <v>139224</v>
      </c>
      <c r="M35" s="117">
        <v>31487</v>
      </c>
      <c r="N35" s="117">
        <v>11063</v>
      </c>
      <c r="O35" s="117">
        <v>30041</v>
      </c>
      <c r="P35" s="117">
        <v>28675</v>
      </c>
      <c r="Q35" s="117">
        <v>22401</v>
      </c>
      <c r="R35" s="117">
        <v>65284</v>
      </c>
      <c r="S35" s="117">
        <v>6572</v>
      </c>
      <c r="T35" s="117">
        <v>3225</v>
      </c>
      <c r="U35" s="117">
        <v>58552</v>
      </c>
      <c r="V35" s="117">
        <v>61276</v>
      </c>
      <c r="W35" s="117">
        <v>26816</v>
      </c>
      <c r="X35" s="117">
        <v>21885</v>
      </c>
      <c r="Y35" s="117">
        <v>19254</v>
      </c>
      <c r="Z35" s="117">
        <v>11082</v>
      </c>
      <c r="AA35" s="117">
        <v>66211</v>
      </c>
      <c r="AB35" s="117">
        <v>66331</v>
      </c>
      <c r="AC35" s="117">
        <v>66805</v>
      </c>
      <c r="AD35" s="117">
        <v>264990</v>
      </c>
      <c r="AE35" s="117">
        <v>226558</v>
      </c>
      <c r="AF35"/>
      <c r="AG35"/>
    </row>
    <row r="36" spans="1:33" ht="13.2" x14ac:dyDescent="0.25">
      <c r="A36" s="117" t="s">
        <v>601</v>
      </c>
      <c r="B36" s="117" t="s">
        <v>213</v>
      </c>
      <c r="C36" s="117">
        <f t="shared" si="0"/>
        <v>1200</v>
      </c>
      <c r="D36" s="117">
        <f t="shared" si="1"/>
        <v>1473.5</v>
      </c>
      <c r="E36" s="225">
        <f t="shared" si="2"/>
        <v>6708206.1900000004</v>
      </c>
      <c r="F36" s="117">
        <f t="shared" si="3"/>
        <v>11738812.094999999</v>
      </c>
      <c r="G36" s="117">
        <v>1087</v>
      </c>
      <c r="H36" s="117">
        <v>2200</v>
      </c>
      <c r="I36" s="117">
        <v>7684</v>
      </c>
      <c r="J36" s="117">
        <v>13062</v>
      </c>
      <c r="K36" s="117">
        <v>5615</v>
      </c>
      <c r="L36" s="117">
        <v>5455</v>
      </c>
      <c r="M36" s="117">
        <v>3410</v>
      </c>
      <c r="N36" s="117">
        <v>3960</v>
      </c>
      <c r="O36" s="117">
        <v>4987</v>
      </c>
      <c r="P36" s="117">
        <v>6404</v>
      </c>
      <c r="Q36" s="117">
        <v>1652</v>
      </c>
      <c r="R36" s="117">
        <v>2184</v>
      </c>
      <c r="S36" s="117">
        <v>1468</v>
      </c>
      <c r="T36" s="117">
        <v>1556</v>
      </c>
      <c r="U36" s="117">
        <v>954</v>
      </c>
      <c r="V36" s="117">
        <v>885</v>
      </c>
      <c r="W36" s="117">
        <v>1364</v>
      </c>
      <c r="X36" s="117">
        <v>1253</v>
      </c>
      <c r="Y36" s="117">
        <v>1014</v>
      </c>
      <c r="Z36" s="117">
        <v>2200</v>
      </c>
      <c r="AA36" s="117">
        <v>44231</v>
      </c>
      <c r="AB36" s="117">
        <v>44039</v>
      </c>
      <c r="AC36" s="117">
        <v>43899</v>
      </c>
      <c r="AD36" s="117">
        <v>91792</v>
      </c>
      <c r="AE36" s="117">
        <v>88637</v>
      </c>
      <c r="AF36"/>
      <c r="AG36"/>
    </row>
    <row r="37" spans="1:33" ht="13.2" x14ac:dyDescent="0.25">
      <c r="A37" s="117" t="s">
        <v>599</v>
      </c>
      <c r="B37" s="117" t="s">
        <v>408</v>
      </c>
      <c r="C37" s="117">
        <f t="shared" si="0"/>
        <v>10389.25</v>
      </c>
      <c r="D37" s="117">
        <f t="shared" si="1"/>
        <v>9266</v>
      </c>
      <c r="E37" s="225">
        <f t="shared" si="2"/>
        <v>4706853.62</v>
      </c>
      <c r="F37" s="117">
        <f t="shared" si="3"/>
        <v>8236608.8099999996</v>
      </c>
      <c r="G37" s="117">
        <v>15959</v>
      </c>
      <c r="H37" s="117">
        <v>13925</v>
      </c>
      <c r="I37" s="117">
        <v>16803</v>
      </c>
      <c r="J37" s="117">
        <v>18798</v>
      </c>
      <c r="K37" s="117">
        <v>9845</v>
      </c>
      <c r="L37" s="117">
        <v>9618</v>
      </c>
      <c r="M37" s="117">
        <v>13688</v>
      </c>
      <c r="N37" s="117">
        <v>18470</v>
      </c>
      <c r="O37" s="117">
        <v>7744</v>
      </c>
      <c r="P37" s="117">
        <v>6479</v>
      </c>
      <c r="Q37" s="117">
        <v>11024</v>
      </c>
      <c r="R37" s="117">
        <v>10775</v>
      </c>
      <c r="S37" s="117">
        <v>9142</v>
      </c>
      <c r="T37" s="117">
        <v>8396</v>
      </c>
      <c r="U37" s="117">
        <v>8030</v>
      </c>
      <c r="V37" s="117">
        <v>10235</v>
      </c>
      <c r="W37" s="117">
        <v>7841</v>
      </c>
      <c r="X37" s="117">
        <v>4508</v>
      </c>
      <c r="Y37" s="117">
        <v>16544</v>
      </c>
      <c r="Z37" s="117">
        <v>13925</v>
      </c>
      <c r="AA37" s="117">
        <v>30256</v>
      </c>
      <c r="AB37" s="117">
        <v>30552</v>
      </c>
      <c r="AC37" s="117">
        <v>30802</v>
      </c>
      <c r="AD37" s="117">
        <v>43363</v>
      </c>
      <c r="AE37" s="117">
        <v>45959</v>
      </c>
      <c r="AF37"/>
      <c r="AG37"/>
    </row>
    <row r="38" spans="1:33" ht="13.2" x14ac:dyDescent="0.25">
      <c r="A38" s="117" t="s">
        <v>599</v>
      </c>
      <c r="B38" s="117" t="s">
        <v>409</v>
      </c>
      <c r="C38" s="117">
        <f t="shared" si="0"/>
        <v>12527.5</v>
      </c>
      <c r="D38" s="117">
        <f t="shared" si="1"/>
        <v>7631</v>
      </c>
      <c r="E38" s="225">
        <f t="shared" si="2"/>
        <v>4557252.63</v>
      </c>
      <c r="F38" s="117">
        <f t="shared" si="3"/>
        <v>7974819.3149999995</v>
      </c>
      <c r="G38" s="117">
        <v>70</v>
      </c>
      <c r="H38" s="117">
        <v>368</v>
      </c>
      <c r="I38" s="117">
        <v>15156</v>
      </c>
      <c r="J38" s="117">
        <v>20966</v>
      </c>
      <c r="K38" s="117">
        <v>9681</v>
      </c>
      <c r="L38" s="117">
        <v>23577</v>
      </c>
      <c r="M38" s="117">
        <v>15720</v>
      </c>
      <c r="N38" s="117">
        <v>31540</v>
      </c>
      <c r="O38" s="117">
        <v>9067</v>
      </c>
      <c r="P38" s="117">
        <v>11899</v>
      </c>
      <c r="Q38" s="117">
        <v>11600</v>
      </c>
      <c r="R38" s="117">
        <v>8186</v>
      </c>
      <c r="S38" s="117">
        <v>8661</v>
      </c>
      <c r="T38" s="117">
        <v>7421</v>
      </c>
      <c r="U38" s="117">
        <v>17161</v>
      </c>
      <c r="V38" s="117">
        <v>9117</v>
      </c>
      <c r="W38" s="117">
        <v>12587</v>
      </c>
      <c r="X38" s="117">
        <v>13618</v>
      </c>
      <c r="Y38" s="117">
        <v>11701</v>
      </c>
      <c r="Z38" s="117">
        <v>368</v>
      </c>
      <c r="AA38" s="117">
        <v>29175</v>
      </c>
      <c r="AB38" s="117">
        <v>29494</v>
      </c>
      <c r="AC38" s="117">
        <v>29823</v>
      </c>
      <c r="AD38" s="117">
        <v>74074</v>
      </c>
      <c r="AE38" s="117">
        <v>75280</v>
      </c>
      <c r="AF38"/>
      <c r="AG38"/>
    </row>
    <row r="39" spans="1:33" ht="13.2" x14ac:dyDescent="0.25">
      <c r="A39" s="117" t="s">
        <v>601</v>
      </c>
      <c r="B39" s="117" t="s">
        <v>214</v>
      </c>
      <c r="C39" s="117">
        <f t="shared" si="0"/>
        <v>15444.5</v>
      </c>
      <c r="D39" s="117">
        <f t="shared" si="1"/>
        <v>14398.5</v>
      </c>
      <c r="E39" s="225">
        <f t="shared" si="2"/>
        <v>3957167.7600000002</v>
      </c>
      <c r="F39" s="117">
        <f t="shared" si="3"/>
        <v>6924719.879999999</v>
      </c>
      <c r="G39" s="117">
        <v>1927</v>
      </c>
      <c r="H39" s="117">
        <v>1927</v>
      </c>
      <c r="I39" s="117">
        <v>29974</v>
      </c>
      <c r="J39" s="117">
        <v>62104</v>
      </c>
      <c r="K39" s="117">
        <v>8075</v>
      </c>
      <c r="L39" s="117">
        <v>14370</v>
      </c>
      <c r="M39" s="117">
        <v>8274</v>
      </c>
      <c r="N39" s="117">
        <v>8087</v>
      </c>
      <c r="O39" s="117">
        <v>11338</v>
      </c>
      <c r="P39" s="117">
        <v>12554</v>
      </c>
      <c r="Q39" s="117">
        <v>23512</v>
      </c>
      <c r="R39" s="117">
        <v>16514</v>
      </c>
      <c r="S39" s="117">
        <v>31449</v>
      </c>
      <c r="T39" s="117">
        <v>31314</v>
      </c>
      <c r="U39" s="117">
        <v>18103</v>
      </c>
      <c r="V39" s="117">
        <v>13294</v>
      </c>
      <c r="W39" s="117">
        <v>10777</v>
      </c>
      <c r="X39" s="117">
        <v>11059</v>
      </c>
      <c r="Y39" s="117">
        <v>1449</v>
      </c>
      <c r="Z39" s="117">
        <v>1927</v>
      </c>
      <c r="AA39" s="117">
        <v>25426</v>
      </c>
      <c r="AB39" s="117">
        <v>25801</v>
      </c>
      <c r="AC39" s="117">
        <v>25896</v>
      </c>
      <c r="AD39" s="117">
        <v>49832</v>
      </c>
      <c r="AE39" s="117">
        <v>57872</v>
      </c>
      <c r="AF39"/>
      <c r="AG39"/>
    </row>
    <row r="40" spans="1:33" ht="13.2" x14ac:dyDescent="0.25">
      <c r="A40" s="117" t="s">
        <v>600</v>
      </c>
      <c r="B40" s="117" t="s">
        <v>292</v>
      </c>
      <c r="C40" s="117">
        <f t="shared" si="0"/>
        <v>5470.25</v>
      </c>
      <c r="D40" s="117">
        <f t="shared" si="1"/>
        <v>6309.75</v>
      </c>
      <c r="E40" s="225">
        <f t="shared" si="2"/>
        <v>6290882.0800000001</v>
      </c>
      <c r="F40" s="117">
        <f t="shared" si="3"/>
        <v>11008529.039999999</v>
      </c>
      <c r="G40" s="117">
        <v>8822</v>
      </c>
      <c r="H40" s="117">
        <v>8660</v>
      </c>
      <c r="I40" s="117">
        <v>9109</v>
      </c>
      <c r="J40" s="117">
        <v>8471</v>
      </c>
      <c r="K40" s="117">
        <v>20492</v>
      </c>
      <c r="L40" s="117">
        <v>16306</v>
      </c>
      <c r="M40" s="117">
        <v>2157</v>
      </c>
      <c r="N40" s="117">
        <v>3350</v>
      </c>
      <c r="O40" s="117">
        <v>2604</v>
      </c>
      <c r="P40" s="117">
        <v>2758</v>
      </c>
      <c r="Q40" s="117">
        <v>3650</v>
      </c>
      <c r="R40" s="117">
        <v>2346</v>
      </c>
      <c r="S40" s="117">
        <v>5587</v>
      </c>
      <c r="T40" s="117">
        <v>3038</v>
      </c>
      <c r="U40" s="117">
        <v>3366</v>
      </c>
      <c r="V40" s="117">
        <v>6527</v>
      </c>
      <c r="W40" s="117">
        <v>6494</v>
      </c>
      <c r="X40" s="117">
        <v>7014</v>
      </c>
      <c r="Y40" s="117">
        <v>6434</v>
      </c>
      <c r="Z40" s="117">
        <v>8660</v>
      </c>
      <c r="AA40" s="117">
        <v>40696</v>
      </c>
      <c r="AB40" s="117">
        <v>41086</v>
      </c>
      <c r="AC40" s="117">
        <v>41168</v>
      </c>
      <c r="AD40" s="117">
        <v>101884</v>
      </c>
      <c r="AE40" s="117">
        <v>102819</v>
      </c>
      <c r="AF40"/>
      <c r="AG40"/>
    </row>
    <row r="41" spans="1:33" ht="13.2" x14ac:dyDescent="0.25">
      <c r="A41" s="117" t="s">
        <v>599</v>
      </c>
      <c r="B41" s="117" t="s">
        <v>410</v>
      </c>
      <c r="C41" s="117">
        <f t="shared" si="0"/>
        <v>2164.5</v>
      </c>
      <c r="D41" s="117">
        <f t="shared" si="1"/>
        <v>1850.5</v>
      </c>
      <c r="E41" s="225">
        <f t="shared" si="2"/>
        <v>3082941.75</v>
      </c>
      <c r="F41" s="117">
        <f t="shared" si="3"/>
        <v>5394895.8749999991</v>
      </c>
      <c r="G41" s="117">
        <v>2649</v>
      </c>
      <c r="H41" s="117">
        <v>2574</v>
      </c>
      <c r="I41" s="117">
        <v>2652</v>
      </c>
      <c r="J41" s="117">
        <v>4025</v>
      </c>
      <c r="K41" s="117">
        <v>5229</v>
      </c>
      <c r="L41" s="117">
        <v>5053</v>
      </c>
      <c r="M41" s="117">
        <v>2085</v>
      </c>
      <c r="N41" s="117">
        <v>2501</v>
      </c>
      <c r="O41" s="117">
        <v>2871</v>
      </c>
      <c r="P41" s="117">
        <v>3924</v>
      </c>
      <c r="Q41" s="117">
        <v>2140</v>
      </c>
      <c r="R41" s="117">
        <v>1656</v>
      </c>
      <c r="S41" s="117">
        <v>2594</v>
      </c>
      <c r="T41" s="117">
        <v>1735</v>
      </c>
      <c r="U41" s="117">
        <v>3031</v>
      </c>
      <c r="V41" s="117">
        <v>1219</v>
      </c>
      <c r="W41" s="117">
        <v>2169</v>
      </c>
      <c r="X41" s="117">
        <v>1874</v>
      </c>
      <c r="Y41" s="117">
        <v>864</v>
      </c>
      <c r="Z41" s="117">
        <v>2574</v>
      </c>
      <c r="AA41" s="117">
        <v>20061</v>
      </c>
      <c r="AB41" s="117">
        <v>20145</v>
      </c>
      <c r="AC41" s="117">
        <v>20175</v>
      </c>
      <c r="AD41" s="117">
        <v>38322</v>
      </c>
      <c r="AE41" s="117">
        <v>45035</v>
      </c>
      <c r="AF41"/>
      <c r="AG41"/>
    </row>
    <row r="42" spans="1:33" ht="13.2" x14ac:dyDescent="0.25">
      <c r="A42" s="117" t="s">
        <v>600</v>
      </c>
      <c r="B42" s="117" t="s">
        <v>293</v>
      </c>
      <c r="C42" s="117">
        <f t="shared" si="0"/>
        <v>16459.25</v>
      </c>
      <c r="D42" s="117">
        <f t="shared" si="1"/>
        <v>14632.25</v>
      </c>
      <c r="E42" s="225">
        <f t="shared" si="2"/>
        <v>1711166.3800000001</v>
      </c>
      <c r="F42" s="117">
        <f t="shared" si="3"/>
        <v>2994401.1899999995</v>
      </c>
      <c r="G42" s="117">
        <v>9433</v>
      </c>
      <c r="H42" s="117">
        <v>9432</v>
      </c>
      <c r="I42" s="117">
        <v>9259</v>
      </c>
      <c r="J42" s="117">
        <v>8089</v>
      </c>
      <c r="K42" s="117">
        <v>9680</v>
      </c>
      <c r="L42" s="117">
        <v>8631</v>
      </c>
      <c r="M42" s="117">
        <v>6632</v>
      </c>
      <c r="N42" s="117">
        <v>6756</v>
      </c>
      <c r="O42" s="117">
        <v>6145</v>
      </c>
      <c r="P42" s="117">
        <v>6325</v>
      </c>
      <c r="Q42" s="117">
        <v>6445</v>
      </c>
      <c r="R42" s="117">
        <v>6590</v>
      </c>
      <c r="S42" s="117">
        <v>15071</v>
      </c>
      <c r="T42" s="117">
        <v>15180</v>
      </c>
      <c r="U42" s="117">
        <v>21949</v>
      </c>
      <c r="V42" s="117">
        <v>22086</v>
      </c>
      <c r="W42" s="117">
        <v>19515</v>
      </c>
      <c r="X42" s="117">
        <v>11831</v>
      </c>
      <c r="Y42" s="117">
        <v>9302</v>
      </c>
      <c r="Z42" s="117">
        <v>9432</v>
      </c>
      <c r="AA42" s="117">
        <v>10194</v>
      </c>
      <c r="AB42" s="117">
        <v>10798</v>
      </c>
      <c r="AC42" s="117">
        <v>11198</v>
      </c>
      <c r="AD42" s="117">
        <v>21199</v>
      </c>
      <c r="AE42" s="117">
        <v>21258</v>
      </c>
      <c r="AF42"/>
      <c r="AG42"/>
    </row>
    <row r="43" spans="1:33" ht="13.2" x14ac:dyDescent="0.25">
      <c r="A43" s="117" t="s">
        <v>600</v>
      </c>
      <c r="B43" s="117" t="s">
        <v>294</v>
      </c>
      <c r="C43" s="117">
        <f t="shared" si="0"/>
        <v>5276.75</v>
      </c>
      <c r="D43" s="117">
        <f t="shared" si="1"/>
        <v>5150.25</v>
      </c>
      <c r="E43" s="225">
        <f t="shared" si="2"/>
        <v>3577129.29</v>
      </c>
      <c r="F43" s="117">
        <f t="shared" si="3"/>
        <v>6259683.6449999996</v>
      </c>
      <c r="G43" s="117">
        <v>0</v>
      </c>
      <c r="H43" s="117">
        <v>0</v>
      </c>
      <c r="I43" s="117">
        <v>2986</v>
      </c>
      <c r="J43" s="117">
        <v>2196</v>
      </c>
      <c r="K43" s="117">
        <v>169</v>
      </c>
      <c r="L43" s="117">
        <v>455</v>
      </c>
      <c r="M43" s="117">
        <v>671</v>
      </c>
      <c r="N43" s="117">
        <v>1160</v>
      </c>
      <c r="O43" s="117">
        <v>948</v>
      </c>
      <c r="P43" s="117">
        <v>1317</v>
      </c>
      <c r="Q43" s="117">
        <v>11312</v>
      </c>
      <c r="R43" s="117">
        <v>10185</v>
      </c>
      <c r="S43" s="117">
        <v>13959</v>
      </c>
      <c r="T43" s="117">
        <v>13840</v>
      </c>
      <c r="U43" s="117">
        <v>6928</v>
      </c>
      <c r="V43" s="117">
        <v>6761</v>
      </c>
      <c r="W43" s="117">
        <v>220</v>
      </c>
      <c r="X43" s="117">
        <v>0</v>
      </c>
      <c r="Y43" s="117">
        <v>0</v>
      </c>
      <c r="Z43" s="117">
        <v>0</v>
      </c>
      <c r="AA43" s="117">
        <v>22826</v>
      </c>
      <c r="AB43" s="117">
        <v>23203</v>
      </c>
      <c r="AC43" s="117">
        <v>23409</v>
      </c>
      <c r="AD43" s="117">
        <v>58350</v>
      </c>
      <c r="AE43" s="117">
        <v>53128</v>
      </c>
      <c r="AF43"/>
      <c r="AG43"/>
    </row>
    <row r="44" spans="1:33" ht="13.2" x14ac:dyDescent="0.25">
      <c r="A44" s="117" t="s">
        <v>603</v>
      </c>
      <c r="B44" s="117" t="s">
        <v>337</v>
      </c>
      <c r="C44" s="117">
        <f t="shared" si="0"/>
        <v>17741.5</v>
      </c>
      <c r="D44" s="117">
        <f t="shared" si="1"/>
        <v>15824.5</v>
      </c>
      <c r="E44" s="225">
        <f t="shared" si="2"/>
        <v>5267360.7</v>
      </c>
      <c r="F44" s="117">
        <f t="shared" si="3"/>
        <v>9217450.3499999996</v>
      </c>
      <c r="G44" s="117">
        <v>20207</v>
      </c>
      <c r="H44" s="117">
        <v>19755</v>
      </c>
      <c r="I44" s="117">
        <v>11571</v>
      </c>
      <c r="J44" s="117">
        <v>12813</v>
      </c>
      <c r="K44" s="117">
        <v>12481</v>
      </c>
      <c r="L44" s="117">
        <v>21905</v>
      </c>
      <c r="M44" s="117">
        <v>45691</v>
      </c>
      <c r="N44" s="117">
        <v>50855</v>
      </c>
      <c r="O44" s="117">
        <v>26574</v>
      </c>
      <c r="P44" s="117">
        <v>38042</v>
      </c>
      <c r="Q44" s="117">
        <v>18154</v>
      </c>
      <c r="R44" s="117">
        <v>16299</v>
      </c>
      <c r="S44" s="117">
        <v>8828</v>
      </c>
      <c r="T44" s="117">
        <v>8478</v>
      </c>
      <c r="U44" s="117">
        <v>22903</v>
      </c>
      <c r="V44" s="117">
        <v>16921</v>
      </c>
      <c r="W44" s="117">
        <v>25719</v>
      </c>
      <c r="X44" s="117">
        <v>18144</v>
      </c>
      <c r="Y44" s="117">
        <v>13516</v>
      </c>
      <c r="Z44" s="117">
        <v>19755</v>
      </c>
      <c r="AA44" s="117">
        <v>33731</v>
      </c>
      <c r="AB44" s="117">
        <v>33958</v>
      </c>
      <c r="AC44" s="117">
        <v>34470</v>
      </c>
      <c r="AD44" s="117">
        <v>116459</v>
      </c>
      <c r="AE44" s="117">
        <v>121689</v>
      </c>
      <c r="AF44"/>
      <c r="AG44"/>
    </row>
    <row r="45" spans="1:33" ht="13.2" x14ac:dyDescent="0.25">
      <c r="A45" s="117" t="s">
        <v>599</v>
      </c>
      <c r="B45" s="117" t="s">
        <v>411</v>
      </c>
      <c r="C45" s="117">
        <f t="shared" si="0"/>
        <v>5657.75</v>
      </c>
      <c r="D45" s="117">
        <f t="shared" si="1"/>
        <v>5824</v>
      </c>
      <c r="E45" s="225">
        <f t="shared" si="2"/>
        <v>1617799.47</v>
      </c>
      <c r="F45" s="117">
        <f t="shared" si="3"/>
        <v>2831016.7349999999</v>
      </c>
      <c r="G45" s="117">
        <v>5617</v>
      </c>
      <c r="H45" s="117">
        <v>5592</v>
      </c>
      <c r="I45" s="117">
        <v>6653</v>
      </c>
      <c r="J45" s="117">
        <v>6126</v>
      </c>
      <c r="K45" s="117">
        <v>2971</v>
      </c>
      <c r="L45" s="117">
        <v>2860</v>
      </c>
      <c r="M45" s="117">
        <v>6004</v>
      </c>
      <c r="N45" s="117">
        <v>8521</v>
      </c>
      <c r="O45" s="117">
        <v>1871</v>
      </c>
      <c r="P45" s="117">
        <v>2961</v>
      </c>
      <c r="Q45" s="117">
        <v>4355</v>
      </c>
      <c r="R45" s="117">
        <v>4750</v>
      </c>
      <c r="S45" s="117">
        <v>8438</v>
      </c>
      <c r="T45" s="117">
        <v>8370</v>
      </c>
      <c r="U45" s="117">
        <v>3667</v>
      </c>
      <c r="V45" s="117">
        <v>4213</v>
      </c>
      <c r="W45" s="117">
        <v>7767</v>
      </c>
      <c r="X45" s="117">
        <v>5121</v>
      </c>
      <c r="Y45" s="117">
        <v>2759</v>
      </c>
      <c r="Z45" s="117">
        <v>5592</v>
      </c>
      <c r="AA45" s="117">
        <v>10413</v>
      </c>
      <c r="AB45" s="117">
        <v>10503</v>
      </c>
      <c r="AC45" s="117">
        <v>10587</v>
      </c>
      <c r="AD45" s="117">
        <v>35875</v>
      </c>
      <c r="AE45" s="117">
        <v>40507</v>
      </c>
      <c r="AF45"/>
      <c r="AG45"/>
    </row>
    <row r="46" spans="1:33" ht="13.2" x14ac:dyDescent="0.25">
      <c r="A46" s="117" t="s">
        <v>598</v>
      </c>
      <c r="B46" s="117" t="s">
        <v>131</v>
      </c>
      <c r="C46" s="117">
        <f t="shared" si="0"/>
        <v>1461.25</v>
      </c>
      <c r="D46" s="117">
        <f t="shared" si="1"/>
        <v>1375.25</v>
      </c>
      <c r="E46" s="225">
        <f t="shared" si="2"/>
        <v>3875108.79</v>
      </c>
      <c r="F46" s="117">
        <f t="shared" si="3"/>
        <v>6781123.3949999996</v>
      </c>
      <c r="G46" s="117">
        <v>100</v>
      </c>
      <c r="H46" s="117">
        <v>56</v>
      </c>
      <c r="I46" s="117">
        <v>2507</v>
      </c>
      <c r="J46" s="117">
        <v>2841</v>
      </c>
      <c r="K46" s="117">
        <v>3086</v>
      </c>
      <c r="L46" s="117">
        <v>2988</v>
      </c>
      <c r="M46" s="117">
        <v>1725</v>
      </c>
      <c r="N46" s="117">
        <v>2898</v>
      </c>
      <c r="O46" s="117">
        <v>1870</v>
      </c>
      <c r="P46" s="117">
        <v>2007</v>
      </c>
      <c r="Q46" s="117">
        <v>1419</v>
      </c>
      <c r="R46" s="117">
        <v>1621</v>
      </c>
      <c r="S46" s="117">
        <v>2718</v>
      </c>
      <c r="T46" s="117">
        <v>2248</v>
      </c>
      <c r="U46" s="117">
        <v>2024</v>
      </c>
      <c r="V46" s="117">
        <v>2341</v>
      </c>
      <c r="W46" s="117">
        <v>1003</v>
      </c>
      <c r="X46" s="117">
        <v>856</v>
      </c>
      <c r="Y46" s="117">
        <v>100</v>
      </c>
      <c r="Z46" s="117">
        <v>56</v>
      </c>
      <c r="AA46" s="117">
        <v>25355</v>
      </c>
      <c r="AB46" s="117">
        <v>25355</v>
      </c>
      <c r="AC46" s="117">
        <v>25359</v>
      </c>
      <c r="AD46" s="117">
        <v>51411</v>
      </c>
      <c r="AE46" s="117">
        <v>52927</v>
      </c>
      <c r="AF46"/>
      <c r="AG46"/>
    </row>
    <row r="47" spans="1:33" ht="13.2" x14ac:dyDescent="0.25">
      <c r="A47" s="117" t="s">
        <v>604</v>
      </c>
      <c r="B47" s="117" t="s">
        <v>186</v>
      </c>
      <c r="C47" s="117">
        <f t="shared" si="0"/>
        <v>6526.5</v>
      </c>
      <c r="D47" s="117">
        <f t="shared" si="1"/>
        <v>4492</v>
      </c>
      <c r="E47" s="225">
        <f t="shared" si="2"/>
        <v>3547178.5300000003</v>
      </c>
      <c r="F47" s="117">
        <f t="shared" si="3"/>
        <v>6207272.2649999997</v>
      </c>
      <c r="G47" s="117">
        <v>8247</v>
      </c>
      <c r="H47" s="117">
        <v>8425</v>
      </c>
      <c r="I47" s="117">
        <v>12498</v>
      </c>
      <c r="J47" s="117">
        <v>12303</v>
      </c>
      <c r="K47" s="117">
        <v>18435</v>
      </c>
      <c r="L47" s="117">
        <v>20471</v>
      </c>
      <c r="M47" s="117">
        <v>23990</v>
      </c>
      <c r="N47" s="117">
        <v>25257</v>
      </c>
      <c r="O47" s="117">
        <v>8671</v>
      </c>
      <c r="P47" s="117">
        <v>10787</v>
      </c>
      <c r="Q47" s="117">
        <v>14163</v>
      </c>
      <c r="R47" s="117">
        <v>16265</v>
      </c>
      <c r="S47" s="117">
        <v>8578</v>
      </c>
      <c r="T47" s="117">
        <v>9659</v>
      </c>
      <c r="U47" s="117">
        <v>4172</v>
      </c>
      <c r="V47" s="117">
        <v>4717</v>
      </c>
      <c r="W47" s="117">
        <v>4669</v>
      </c>
      <c r="X47" s="117">
        <v>3592</v>
      </c>
      <c r="Y47" s="117">
        <v>8687</v>
      </c>
      <c r="Z47" s="117" t="s">
        <v>843</v>
      </c>
      <c r="AA47" s="117">
        <v>22796</v>
      </c>
      <c r="AB47" s="117">
        <v>23133</v>
      </c>
      <c r="AC47" s="117">
        <v>23213</v>
      </c>
      <c r="AD47" s="117">
        <v>50119</v>
      </c>
      <c r="AE47" s="117">
        <v>44110</v>
      </c>
      <c r="AF47"/>
      <c r="AG47"/>
    </row>
    <row r="48" spans="1:33" ht="13.2" x14ac:dyDescent="0.25">
      <c r="A48" s="117" t="s">
        <v>610</v>
      </c>
      <c r="B48" s="117" t="s">
        <v>389</v>
      </c>
      <c r="C48" s="117">
        <f t="shared" si="0"/>
        <v>3248</v>
      </c>
      <c r="D48" s="117">
        <f t="shared" si="1"/>
        <v>1693.25</v>
      </c>
      <c r="E48" s="225">
        <f t="shared" si="2"/>
        <v>3484220.81</v>
      </c>
      <c r="F48" s="117">
        <f t="shared" si="3"/>
        <v>6097101.4049999993</v>
      </c>
      <c r="G48" s="117">
        <v>1647</v>
      </c>
      <c r="H48" s="117">
        <v>1651</v>
      </c>
      <c r="I48" s="117">
        <v>4464</v>
      </c>
      <c r="J48" s="117">
        <v>5561</v>
      </c>
      <c r="K48" s="117">
        <v>6007</v>
      </c>
      <c r="L48" s="117">
        <v>3825</v>
      </c>
      <c r="M48" s="117">
        <v>4184</v>
      </c>
      <c r="N48" s="117">
        <v>2224</v>
      </c>
      <c r="O48" s="117">
        <v>578</v>
      </c>
      <c r="P48" s="117">
        <v>532</v>
      </c>
      <c r="Q48" s="117">
        <v>2187</v>
      </c>
      <c r="R48" s="117">
        <v>1406</v>
      </c>
      <c r="S48" s="117">
        <v>2583</v>
      </c>
      <c r="T48" s="117">
        <v>1414</v>
      </c>
      <c r="U48" s="117">
        <v>2185</v>
      </c>
      <c r="V48" s="117">
        <v>1211</v>
      </c>
      <c r="W48" s="117">
        <v>6583</v>
      </c>
      <c r="X48" s="117">
        <v>2497</v>
      </c>
      <c r="Y48" s="117">
        <v>1641</v>
      </c>
      <c r="Z48" s="117">
        <v>1651</v>
      </c>
      <c r="AA48" s="117">
        <v>22684</v>
      </c>
      <c r="AB48" s="117">
        <v>22721</v>
      </c>
      <c r="AC48" s="117">
        <v>22801</v>
      </c>
      <c r="AD48" s="117">
        <v>30765</v>
      </c>
      <c r="AE48" s="117">
        <v>34044</v>
      </c>
      <c r="AF48"/>
      <c r="AG48"/>
    </row>
    <row r="49" spans="1:33" ht="13.2" x14ac:dyDescent="0.25">
      <c r="A49" s="117" t="s">
        <v>599</v>
      </c>
      <c r="B49" s="117" t="s">
        <v>412</v>
      </c>
      <c r="C49" s="117">
        <f t="shared" si="0"/>
        <v>1744</v>
      </c>
      <c r="D49" s="117">
        <f t="shared" si="1"/>
        <v>2870.5</v>
      </c>
      <c r="E49" s="225">
        <f t="shared" si="2"/>
        <v>4440505.79</v>
      </c>
      <c r="F49" s="117">
        <f t="shared" si="3"/>
        <v>7770521.8949999996</v>
      </c>
      <c r="G49" s="117">
        <v>2534</v>
      </c>
      <c r="H49" s="117">
        <v>2674</v>
      </c>
      <c r="I49" s="117">
        <v>2435</v>
      </c>
      <c r="J49" s="117">
        <v>3676</v>
      </c>
      <c r="K49" s="117">
        <v>30583</v>
      </c>
      <c r="L49" s="117">
        <v>32033</v>
      </c>
      <c r="M49" s="117">
        <v>1604</v>
      </c>
      <c r="N49" s="117">
        <v>2576</v>
      </c>
      <c r="O49" s="117">
        <v>18748</v>
      </c>
      <c r="P49" s="117">
        <v>20708</v>
      </c>
      <c r="Q49" s="117">
        <v>2371</v>
      </c>
      <c r="R49" s="117">
        <v>2814</v>
      </c>
      <c r="S49" s="117">
        <v>1899</v>
      </c>
      <c r="T49" s="117">
        <v>2224</v>
      </c>
      <c r="U49" s="117">
        <v>1772</v>
      </c>
      <c r="V49" s="117">
        <v>3305</v>
      </c>
      <c r="W49" s="117">
        <v>3040</v>
      </c>
      <c r="X49" s="117">
        <v>3279</v>
      </c>
      <c r="Y49" s="117">
        <v>265</v>
      </c>
      <c r="Z49" s="117">
        <v>2674</v>
      </c>
      <c r="AA49" s="117">
        <v>28719</v>
      </c>
      <c r="AB49" s="117">
        <v>28889</v>
      </c>
      <c r="AC49" s="117">
        <v>29059</v>
      </c>
      <c r="AD49" s="117">
        <v>83271</v>
      </c>
      <c r="AE49" s="117">
        <v>85634</v>
      </c>
      <c r="AF49"/>
      <c r="AG49"/>
    </row>
    <row r="50" spans="1:33" ht="13.2" x14ac:dyDescent="0.25">
      <c r="A50" s="117" t="s">
        <v>599</v>
      </c>
      <c r="B50" s="117" t="s">
        <v>413</v>
      </c>
      <c r="C50" s="117">
        <f t="shared" si="0"/>
        <v>2945</v>
      </c>
      <c r="D50" s="117">
        <f t="shared" si="1"/>
        <v>2000.25</v>
      </c>
      <c r="E50" s="225">
        <f t="shared" si="2"/>
        <v>4697073.78</v>
      </c>
      <c r="F50" s="117">
        <f t="shared" si="3"/>
        <v>8219494.8899999987</v>
      </c>
      <c r="G50" s="117">
        <v>963</v>
      </c>
      <c r="H50" s="117">
        <v>895</v>
      </c>
      <c r="I50" s="117">
        <v>9425</v>
      </c>
      <c r="J50" s="117">
        <v>8748</v>
      </c>
      <c r="K50" s="117">
        <v>3683</v>
      </c>
      <c r="L50" s="117">
        <v>4033</v>
      </c>
      <c r="M50" s="117">
        <v>3697</v>
      </c>
      <c r="N50" s="117">
        <v>3765</v>
      </c>
      <c r="O50" s="117">
        <v>3658</v>
      </c>
      <c r="P50" s="117">
        <v>5556</v>
      </c>
      <c r="Q50" s="117">
        <v>6446</v>
      </c>
      <c r="R50" s="117">
        <v>7816</v>
      </c>
      <c r="S50" s="117">
        <v>4584</v>
      </c>
      <c r="T50" s="117">
        <v>4602</v>
      </c>
      <c r="U50" s="117">
        <v>1017</v>
      </c>
      <c r="V50" s="117">
        <v>1287</v>
      </c>
      <c r="W50" s="117">
        <v>1315</v>
      </c>
      <c r="X50" s="117">
        <v>1217</v>
      </c>
      <c r="Y50" s="117">
        <v>4864</v>
      </c>
      <c r="Z50" s="117">
        <v>895</v>
      </c>
      <c r="AA50" s="117">
        <v>30668</v>
      </c>
      <c r="AB50" s="117">
        <v>30680</v>
      </c>
      <c r="AC50" s="117">
        <v>30738</v>
      </c>
      <c r="AD50" s="117">
        <v>70369</v>
      </c>
      <c r="AE50" s="117">
        <v>72107</v>
      </c>
      <c r="AF50"/>
      <c r="AG50"/>
    </row>
    <row r="51" spans="1:33" ht="13.2" x14ac:dyDescent="0.25">
      <c r="A51" s="117" t="s">
        <v>599</v>
      </c>
      <c r="B51" s="117" t="s">
        <v>414</v>
      </c>
      <c r="C51" s="117">
        <f t="shared" si="0"/>
        <v>39503.75</v>
      </c>
      <c r="D51" s="117">
        <f t="shared" si="1"/>
        <v>28898.5</v>
      </c>
      <c r="E51" s="225">
        <f t="shared" si="2"/>
        <v>28127583.890000001</v>
      </c>
      <c r="F51" s="117">
        <f t="shared" si="3"/>
        <v>49220970.944999993</v>
      </c>
      <c r="G51" s="117">
        <v>23903</v>
      </c>
      <c r="H51" s="117">
        <v>25222</v>
      </c>
      <c r="I51" s="117">
        <v>48206</v>
      </c>
      <c r="J51" s="117">
        <v>70396</v>
      </c>
      <c r="K51" s="117">
        <v>43368</v>
      </c>
      <c r="L51" s="117">
        <v>59296</v>
      </c>
      <c r="M51" s="117">
        <v>17185</v>
      </c>
      <c r="N51" s="117">
        <v>27084</v>
      </c>
      <c r="O51" s="117">
        <v>71203</v>
      </c>
      <c r="P51" s="117">
        <v>76489</v>
      </c>
      <c r="Q51" s="117">
        <v>47016</v>
      </c>
      <c r="R51" s="117">
        <v>54225</v>
      </c>
      <c r="S51" s="117">
        <v>27293</v>
      </c>
      <c r="T51" s="117">
        <v>30566</v>
      </c>
      <c r="U51" s="117">
        <v>48353</v>
      </c>
      <c r="V51" s="117">
        <v>25371</v>
      </c>
      <c r="W51" s="117">
        <v>42664</v>
      </c>
      <c r="X51" s="117">
        <v>34435</v>
      </c>
      <c r="Y51" s="117">
        <v>39705</v>
      </c>
      <c r="Z51" s="117">
        <v>25222</v>
      </c>
      <c r="AA51" s="117">
        <v>182777</v>
      </c>
      <c r="AB51" s="117">
        <v>183749</v>
      </c>
      <c r="AC51" s="117">
        <v>184069</v>
      </c>
      <c r="AD51" s="117">
        <v>442481</v>
      </c>
      <c r="AE51" s="117">
        <v>448814</v>
      </c>
      <c r="AF51"/>
      <c r="AG51"/>
    </row>
    <row r="52" spans="1:33" ht="13.2" x14ac:dyDescent="0.25">
      <c r="A52" s="117" t="s">
        <v>603</v>
      </c>
      <c r="B52" s="117" t="s">
        <v>338</v>
      </c>
      <c r="C52" s="117">
        <f t="shared" si="0"/>
        <v>8551.25</v>
      </c>
      <c r="D52" s="117">
        <f t="shared" si="1"/>
        <v>7330</v>
      </c>
      <c r="E52" s="225">
        <f t="shared" si="2"/>
        <v>2625887.04</v>
      </c>
      <c r="F52" s="117">
        <f t="shared" si="3"/>
        <v>4595087.5199999996</v>
      </c>
      <c r="G52" s="117">
        <v>2383</v>
      </c>
      <c r="H52" s="117">
        <v>2391</v>
      </c>
      <c r="I52" s="117">
        <v>10785</v>
      </c>
      <c r="J52" s="117">
        <v>15572</v>
      </c>
      <c r="K52" s="117">
        <v>11083</v>
      </c>
      <c r="L52" s="117">
        <v>16512</v>
      </c>
      <c r="M52" s="117">
        <v>11616</v>
      </c>
      <c r="N52" s="117">
        <v>25868</v>
      </c>
      <c r="O52" s="117">
        <v>12981</v>
      </c>
      <c r="P52" s="117">
        <v>14224</v>
      </c>
      <c r="Q52" s="117">
        <v>9369</v>
      </c>
      <c r="R52" s="117">
        <v>18151</v>
      </c>
      <c r="S52" s="117">
        <v>11261</v>
      </c>
      <c r="T52" s="117">
        <v>10481</v>
      </c>
      <c r="U52" s="117">
        <v>14412</v>
      </c>
      <c r="V52" s="117">
        <v>9864</v>
      </c>
      <c r="W52" s="117">
        <v>6923</v>
      </c>
      <c r="X52" s="117">
        <v>6584</v>
      </c>
      <c r="Y52" s="117">
        <v>1609</v>
      </c>
      <c r="Z52" s="117">
        <v>2391</v>
      </c>
      <c r="AA52" s="117">
        <v>16837</v>
      </c>
      <c r="AB52" s="117">
        <v>17026</v>
      </c>
      <c r="AC52" s="117">
        <v>17184</v>
      </c>
      <c r="AD52" s="117">
        <v>100903</v>
      </c>
      <c r="AE52" s="117">
        <v>99056</v>
      </c>
      <c r="AF52"/>
      <c r="AG52"/>
    </row>
    <row r="53" spans="1:33" ht="13.2" x14ac:dyDescent="0.25">
      <c r="A53" s="117" t="s">
        <v>601</v>
      </c>
      <c r="B53" s="117" t="s">
        <v>215</v>
      </c>
      <c r="C53" s="117">
        <f t="shared" si="0"/>
        <v>69.25</v>
      </c>
      <c r="D53" s="117">
        <f t="shared" si="1"/>
        <v>215.75</v>
      </c>
      <c r="E53" s="225">
        <f t="shared" si="2"/>
        <v>5534625.3899999997</v>
      </c>
      <c r="F53" s="117">
        <f t="shared" si="3"/>
        <v>9685141.6949999984</v>
      </c>
      <c r="G53" s="117">
        <v>13</v>
      </c>
      <c r="H53" s="117">
        <v>92</v>
      </c>
      <c r="I53" s="117">
        <v>-84</v>
      </c>
      <c r="J53" s="117">
        <v>1004</v>
      </c>
      <c r="K53" s="117">
        <v>1208</v>
      </c>
      <c r="L53" s="117">
        <v>4501</v>
      </c>
      <c r="M53" s="117">
        <v>171</v>
      </c>
      <c r="N53" s="117">
        <v>3011</v>
      </c>
      <c r="O53" s="117">
        <v>5142</v>
      </c>
      <c r="P53" s="117">
        <v>7810</v>
      </c>
      <c r="Q53" s="117">
        <v>56</v>
      </c>
      <c r="R53" s="117">
        <v>814</v>
      </c>
      <c r="S53" s="117">
        <v>136</v>
      </c>
      <c r="T53" s="117">
        <v>439</v>
      </c>
      <c r="U53" s="117">
        <v>203</v>
      </c>
      <c r="V53" s="117">
        <v>2057</v>
      </c>
      <c r="W53" s="117">
        <v>-78</v>
      </c>
      <c r="X53" s="117">
        <v>-1725</v>
      </c>
      <c r="Y53" s="117">
        <v>16</v>
      </c>
      <c r="Z53" s="117">
        <v>92</v>
      </c>
      <c r="AA53" s="117">
        <v>36418</v>
      </c>
      <c r="AB53" s="117">
        <v>36352</v>
      </c>
      <c r="AC53" s="117">
        <v>36219</v>
      </c>
      <c r="AD53" s="117">
        <v>64693</v>
      </c>
      <c r="AE53" s="117">
        <v>69866</v>
      </c>
      <c r="AF53"/>
      <c r="AG53"/>
    </row>
    <row r="54" spans="1:33" ht="13.2" x14ac:dyDescent="0.25">
      <c r="A54" s="117" t="s">
        <v>601</v>
      </c>
      <c r="B54" s="117" t="s">
        <v>216</v>
      </c>
      <c r="C54" s="117">
        <f t="shared" si="0"/>
        <v>1723</v>
      </c>
      <c r="D54" s="117">
        <f t="shared" si="1"/>
        <v>1033.5</v>
      </c>
      <c r="E54" s="225">
        <f t="shared" si="2"/>
        <v>3158888.32</v>
      </c>
      <c r="F54" s="117">
        <f t="shared" si="3"/>
        <v>5527796.1599999992</v>
      </c>
      <c r="G54" s="117">
        <v>247</v>
      </c>
      <c r="H54" s="117">
        <v>123</v>
      </c>
      <c r="I54" s="117">
        <v>8069</v>
      </c>
      <c r="J54" s="117">
        <v>10448</v>
      </c>
      <c r="K54" s="117">
        <v>9394</v>
      </c>
      <c r="L54" s="117">
        <v>24872</v>
      </c>
      <c r="M54" s="117">
        <v>10295</v>
      </c>
      <c r="N54" s="117">
        <v>10327</v>
      </c>
      <c r="O54" s="117">
        <v>1531</v>
      </c>
      <c r="P54" s="117">
        <v>1443</v>
      </c>
      <c r="Q54" s="117">
        <v>2756</v>
      </c>
      <c r="R54" s="117">
        <v>2625</v>
      </c>
      <c r="S54" s="117">
        <v>2293</v>
      </c>
      <c r="T54" s="117">
        <v>198</v>
      </c>
      <c r="U54" s="117">
        <v>491</v>
      </c>
      <c r="V54" s="117">
        <v>524</v>
      </c>
      <c r="W54" s="117">
        <v>4033</v>
      </c>
      <c r="X54" s="117">
        <v>3412</v>
      </c>
      <c r="Y54" s="117">
        <v>75</v>
      </c>
      <c r="Z54" s="117" t="s">
        <v>843</v>
      </c>
      <c r="AA54" s="117">
        <v>20840</v>
      </c>
      <c r="AB54" s="117">
        <v>20765</v>
      </c>
      <c r="AC54" s="117">
        <v>20672</v>
      </c>
      <c r="AD54" s="117">
        <v>52455</v>
      </c>
      <c r="AE54" s="117">
        <v>48730</v>
      </c>
      <c r="AF54"/>
      <c r="AG54"/>
    </row>
    <row r="55" spans="1:33" ht="13.2" x14ac:dyDescent="0.25">
      <c r="A55" s="117" t="s">
        <v>608</v>
      </c>
      <c r="B55" s="117" t="s">
        <v>464</v>
      </c>
      <c r="C55" s="117">
        <f t="shared" si="0"/>
        <v>4592.5</v>
      </c>
      <c r="D55" s="117">
        <f t="shared" si="1"/>
        <v>4441</v>
      </c>
      <c r="E55" s="225">
        <f t="shared" si="2"/>
        <v>4297170.01</v>
      </c>
      <c r="F55" s="117">
        <f t="shared" si="3"/>
        <v>7519696.004999999</v>
      </c>
      <c r="G55" s="117">
        <v>5441</v>
      </c>
      <c r="H55" s="117">
        <v>5582</v>
      </c>
      <c r="I55" s="117">
        <v>225</v>
      </c>
      <c r="J55" s="117">
        <v>902</v>
      </c>
      <c r="K55" s="117">
        <v>3809</v>
      </c>
      <c r="L55" s="117">
        <v>4401</v>
      </c>
      <c r="M55" s="117">
        <v>9093</v>
      </c>
      <c r="N55" s="117">
        <v>10690</v>
      </c>
      <c r="O55" s="117">
        <v>4307</v>
      </c>
      <c r="P55" s="117">
        <v>5011</v>
      </c>
      <c r="Q55" s="117">
        <v>7871</v>
      </c>
      <c r="R55" s="117">
        <v>8286</v>
      </c>
      <c r="S55" s="117">
        <v>2962</v>
      </c>
      <c r="T55" s="117">
        <v>3218</v>
      </c>
      <c r="U55" s="117">
        <v>4649</v>
      </c>
      <c r="V55" s="117">
        <v>4831</v>
      </c>
      <c r="W55" s="117">
        <v>3768</v>
      </c>
      <c r="X55" s="117">
        <v>4133</v>
      </c>
      <c r="Y55" s="117">
        <v>6991</v>
      </c>
      <c r="Z55" s="117">
        <v>5582</v>
      </c>
      <c r="AA55" s="117">
        <v>28373</v>
      </c>
      <c r="AB55" s="117">
        <v>28232</v>
      </c>
      <c r="AC55" s="117">
        <v>28121</v>
      </c>
      <c r="AD55" s="117">
        <v>54669</v>
      </c>
      <c r="AE55" s="117">
        <v>47750</v>
      </c>
      <c r="AF55"/>
      <c r="AG55"/>
    </row>
    <row r="56" spans="1:33" ht="13.2" x14ac:dyDescent="0.25">
      <c r="A56" s="117" t="s">
        <v>606</v>
      </c>
      <c r="B56" s="117" t="s">
        <v>264</v>
      </c>
      <c r="C56" s="117">
        <f t="shared" si="0"/>
        <v>2716.5</v>
      </c>
      <c r="D56" s="117">
        <f t="shared" si="1"/>
        <v>2245</v>
      </c>
      <c r="E56" s="225">
        <f t="shared" si="2"/>
        <v>2320878.2800000003</v>
      </c>
      <c r="F56" s="117">
        <f t="shared" si="3"/>
        <v>4061347.1399999997</v>
      </c>
      <c r="G56" s="117">
        <v>4915</v>
      </c>
      <c r="H56" s="117">
        <v>4913</v>
      </c>
      <c r="I56" s="117">
        <v>10809</v>
      </c>
      <c r="J56" s="117">
        <v>10830</v>
      </c>
      <c r="K56" s="117">
        <v>7596</v>
      </c>
      <c r="L56" s="117">
        <v>9452</v>
      </c>
      <c r="M56" s="117">
        <v>6255</v>
      </c>
      <c r="N56" s="117">
        <v>9070</v>
      </c>
      <c r="O56" s="117">
        <v>8307</v>
      </c>
      <c r="P56" s="117">
        <v>10752</v>
      </c>
      <c r="Q56" s="117">
        <v>6734</v>
      </c>
      <c r="R56" s="117">
        <v>6536</v>
      </c>
      <c r="S56" s="117">
        <v>4020</v>
      </c>
      <c r="T56" s="117">
        <v>2385</v>
      </c>
      <c r="U56" s="117">
        <v>500</v>
      </c>
      <c r="V56" s="117">
        <v>1002</v>
      </c>
      <c r="W56" s="117">
        <v>662</v>
      </c>
      <c r="X56" s="117">
        <v>680</v>
      </c>
      <c r="Y56" s="117">
        <v>5684</v>
      </c>
      <c r="Z56" s="117">
        <v>4913</v>
      </c>
      <c r="AA56" s="117">
        <v>15156</v>
      </c>
      <c r="AB56" s="117">
        <v>15213</v>
      </c>
      <c r="AC56" s="117">
        <v>15188</v>
      </c>
      <c r="AD56" s="117">
        <v>42284</v>
      </c>
      <c r="AE56" s="117">
        <v>37813</v>
      </c>
      <c r="AF56"/>
      <c r="AG56"/>
    </row>
    <row r="57" spans="1:33" ht="13.2" x14ac:dyDescent="0.25">
      <c r="A57" s="117" t="s">
        <v>606</v>
      </c>
      <c r="B57" s="117" t="s">
        <v>265</v>
      </c>
      <c r="C57" s="117">
        <f t="shared" si="0"/>
        <v>7081.25</v>
      </c>
      <c r="D57" s="117">
        <f t="shared" si="1"/>
        <v>6794.5</v>
      </c>
      <c r="E57" s="225">
        <f t="shared" si="2"/>
        <v>3298862.2800000003</v>
      </c>
      <c r="F57" s="117">
        <f t="shared" si="3"/>
        <v>5772739.1399999997</v>
      </c>
      <c r="G57" s="117">
        <v>6360</v>
      </c>
      <c r="H57" s="117">
        <v>6359</v>
      </c>
      <c r="I57" s="117">
        <v>9932</v>
      </c>
      <c r="J57" s="117">
        <v>9719</v>
      </c>
      <c r="K57" s="117">
        <v>6014</v>
      </c>
      <c r="L57" s="117">
        <v>4679</v>
      </c>
      <c r="M57" s="117">
        <v>7609</v>
      </c>
      <c r="N57" s="117">
        <v>10405</v>
      </c>
      <c r="O57" s="117">
        <v>7208</v>
      </c>
      <c r="P57" s="117">
        <v>10554</v>
      </c>
      <c r="Q57" s="117">
        <v>7646</v>
      </c>
      <c r="R57" s="117">
        <v>8111</v>
      </c>
      <c r="S57" s="117">
        <v>6989</v>
      </c>
      <c r="T57" s="117">
        <v>5303</v>
      </c>
      <c r="U57" s="117">
        <v>11730</v>
      </c>
      <c r="V57" s="117">
        <v>11651</v>
      </c>
      <c r="W57" s="117">
        <v>4641</v>
      </c>
      <c r="X57" s="117">
        <v>3865</v>
      </c>
      <c r="Y57" s="117">
        <v>4965</v>
      </c>
      <c r="Z57" s="117">
        <v>6359</v>
      </c>
      <c r="AA57" s="117">
        <v>21022</v>
      </c>
      <c r="AB57" s="117">
        <v>21265</v>
      </c>
      <c r="AC57" s="117">
        <v>21588</v>
      </c>
      <c r="AD57" s="117">
        <v>22999</v>
      </c>
      <c r="AE57" s="117">
        <v>31748</v>
      </c>
      <c r="AF57"/>
      <c r="AG57"/>
    </row>
    <row r="58" spans="1:33" ht="13.2" x14ac:dyDescent="0.25">
      <c r="A58" s="117" t="s">
        <v>601</v>
      </c>
      <c r="B58" s="117" t="s">
        <v>217</v>
      </c>
      <c r="C58" s="117">
        <f t="shared" si="0"/>
        <v>3534.75</v>
      </c>
      <c r="D58" s="117">
        <f t="shared" si="1"/>
        <v>3855.75</v>
      </c>
      <c r="E58" s="225">
        <f t="shared" si="2"/>
        <v>4061384.18</v>
      </c>
      <c r="F58" s="117">
        <f t="shared" si="3"/>
        <v>7107090.0899999989</v>
      </c>
      <c r="G58" s="117">
        <v>1006</v>
      </c>
      <c r="H58" s="117">
        <v>1168</v>
      </c>
      <c r="I58" s="117">
        <v>7484</v>
      </c>
      <c r="J58" s="117">
        <v>7544</v>
      </c>
      <c r="K58" s="117">
        <v>20985</v>
      </c>
      <c r="L58" s="117">
        <v>23036</v>
      </c>
      <c r="M58" s="117">
        <v>9789</v>
      </c>
      <c r="N58" s="117">
        <v>11869</v>
      </c>
      <c r="O58" s="117">
        <v>6430</v>
      </c>
      <c r="P58" s="117">
        <v>7739</v>
      </c>
      <c r="Q58" s="117">
        <v>4453</v>
      </c>
      <c r="R58" s="117">
        <v>8526</v>
      </c>
      <c r="S58" s="117">
        <v>10551</v>
      </c>
      <c r="T58" s="117">
        <v>9867</v>
      </c>
      <c r="U58" s="117">
        <v>2113</v>
      </c>
      <c r="V58" s="117">
        <v>2965</v>
      </c>
      <c r="W58" s="117">
        <v>1419</v>
      </c>
      <c r="X58" s="117">
        <v>1423</v>
      </c>
      <c r="Y58" s="117">
        <v>56</v>
      </c>
      <c r="Z58" s="117">
        <v>1168</v>
      </c>
      <c r="AA58" s="117">
        <v>26348</v>
      </c>
      <c r="AB58" s="117">
        <v>26359</v>
      </c>
      <c r="AC58" s="117">
        <v>26578</v>
      </c>
      <c r="AD58" s="117">
        <v>27389</v>
      </c>
      <c r="AE58" s="117">
        <v>30048</v>
      </c>
      <c r="AF58"/>
      <c r="AG58"/>
    </row>
    <row r="59" spans="1:33" ht="13.2" x14ac:dyDescent="0.25">
      <c r="A59" s="117" t="s">
        <v>603</v>
      </c>
      <c r="B59" s="117" t="s">
        <v>339</v>
      </c>
      <c r="C59" s="117">
        <f t="shared" si="0"/>
        <v>5914</v>
      </c>
      <c r="D59" s="117">
        <f t="shared" si="1"/>
        <v>9128.75</v>
      </c>
      <c r="E59" s="225">
        <f t="shared" si="2"/>
        <v>10211069.82</v>
      </c>
      <c r="F59" s="117">
        <f t="shared" si="3"/>
        <v>17868536.909999996</v>
      </c>
      <c r="G59" s="117">
        <v>17704</v>
      </c>
      <c r="H59" s="117">
        <v>19699</v>
      </c>
      <c r="I59" s="117">
        <v>6022</v>
      </c>
      <c r="J59" s="117">
        <v>5948</v>
      </c>
      <c r="K59" s="117">
        <v>12196</v>
      </c>
      <c r="L59" s="117">
        <v>9724</v>
      </c>
      <c r="M59" s="117">
        <v>2971</v>
      </c>
      <c r="N59" s="117">
        <v>3132</v>
      </c>
      <c r="O59" s="117">
        <v>2028</v>
      </c>
      <c r="P59" s="117">
        <v>2186</v>
      </c>
      <c r="Q59" s="117">
        <v>1210</v>
      </c>
      <c r="R59" s="117">
        <v>553</v>
      </c>
      <c r="S59" s="117">
        <v>-230</v>
      </c>
      <c r="T59" s="117">
        <v>447</v>
      </c>
      <c r="U59" s="117">
        <v>2252</v>
      </c>
      <c r="V59" s="117">
        <v>4449</v>
      </c>
      <c r="W59" s="117">
        <v>9900</v>
      </c>
      <c r="X59" s="117">
        <v>11920</v>
      </c>
      <c r="Y59" s="117">
        <v>11734</v>
      </c>
      <c r="Z59" s="117">
        <v>19699</v>
      </c>
      <c r="AA59" s="117">
        <v>66445</v>
      </c>
      <c r="AB59" s="117">
        <v>66864</v>
      </c>
      <c r="AC59" s="117">
        <v>66822</v>
      </c>
      <c r="AD59" s="117">
        <v>133126</v>
      </c>
      <c r="AE59" s="117">
        <v>123932</v>
      </c>
      <c r="AF59"/>
      <c r="AG59"/>
    </row>
    <row r="60" spans="1:33" ht="13.2" x14ac:dyDescent="0.25">
      <c r="A60" s="117" t="s">
        <v>600</v>
      </c>
      <c r="B60" s="117" t="s">
        <v>295</v>
      </c>
      <c r="C60" s="117">
        <f t="shared" si="0"/>
        <v>2319</v>
      </c>
      <c r="D60" s="117">
        <f t="shared" si="1"/>
        <v>2154.25</v>
      </c>
      <c r="E60" s="225">
        <f t="shared" si="2"/>
        <v>5463568.7400000002</v>
      </c>
      <c r="F60" s="117">
        <f t="shared" si="3"/>
        <v>9560798.3699999992</v>
      </c>
      <c r="G60" s="117">
        <v>1343</v>
      </c>
      <c r="H60" s="117">
        <v>1325</v>
      </c>
      <c r="I60" s="117">
        <v>5357</v>
      </c>
      <c r="J60" s="117">
        <v>5231</v>
      </c>
      <c r="K60" s="117">
        <v>1993</v>
      </c>
      <c r="L60" s="117">
        <v>1490</v>
      </c>
      <c r="M60" s="117">
        <v>4779</v>
      </c>
      <c r="N60" s="117">
        <v>4550</v>
      </c>
      <c r="O60" s="117">
        <v>1615</v>
      </c>
      <c r="P60" s="117">
        <v>2045</v>
      </c>
      <c r="Q60" s="117">
        <v>1699</v>
      </c>
      <c r="R60" s="117">
        <v>3103</v>
      </c>
      <c r="S60" s="117">
        <v>2316</v>
      </c>
      <c r="T60" s="117">
        <v>2152</v>
      </c>
      <c r="U60" s="117">
        <v>3537</v>
      </c>
      <c r="V60" s="117">
        <v>3743</v>
      </c>
      <c r="W60" s="117">
        <v>1404</v>
      </c>
      <c r="X60" s="117">
        <v>1397</v>
      </c>
      <c r="Y60" s="117">
        <v>2019</v>
      </c>
      <c r="Z60" s="117">
        <v>1325</v>
      </c>
      <c r="AA60" s="117">
        <v>35230</v>
      </c>
      <c r="AB60" s="117">
        <v>35607</v>
      </c>
      <c r="AC60" s="117">
        <v>35754</v>
      </c>
      <c r="AD60" s="117">
        <v>64108</v>
      </c>
      <c r="AE60" s="117">
        <v>76360</v>
      </c>
      <c r="AF60"/>
      <c r="AG60"/>
    </row>
    <row r="61" spans="1:33" ht="13.2" x14ac:dyDescent="0.25">
      <c r="A61" s="117" t="s">
        <v>598</v>
      </c>
      <c r="B61" s="117" t="s">
        <v>132</v>
      </c>
      <c r="C61" s="117">
        <f t="shared" si="0"/>
        <v>7647.5</v>
      </c>
      <c r="D61" s="117">
        <f t="shared" si="1"/>
        <v>9173</v>
      </c>
      <c r="E61" s="225">
        <f t="shared" si="2"/>
        <v>5424296.5700000003</v>
      </c>
      <c r="F61" s="117">
        <f t="shared" si="3"/>
        <v>9492075.2849999983</v>
      </c>
      <c r="G61" s="117">
        <v>4119</v>
      </c>
      <c r="H61" s="117">
        <v>4119</v>
      </c>
      <c r="I61" s="117">
        <v>14586</v>
      </c>
      <c r="J61" s="117">
        <v>19096</v>
      </c>
      <c r="K61" s="117">
        <v>5862</v>
      </c>
      <c r="L61" s="117">
        <v>13998</v>
      </c>
      <c r="M61" s="117">
        <v>8817</v>
      </c>
      <c r="N61" s="117">
        <v>10680</v>
      </c>
      <c r="O61" s="117">
        <v>6881</v>
      </c>
      <c r="P61" s="117">
        <v>11314</v>
      </c>
      <c r="Q61" s="117">
        <v>10829</v>
      </c>
      <c r="R61" s="117">
        <v>13525</v>
      </c>
      <c r="S61" s="117">
        <v>8159</v>
      </c>
      <c r="T61" s="117">
        <v>12249</v>
      </c>
      <c r="U61" s="117">
        <v>9022</v>
      </c>
      <c r="V61" s="117">
        <v>9276</v>
      </c>
      <c r="W61" s="117">
        <v>9405</v>
      </c>
      <c r="X61" s="117">
        <v>11048</v>
      </c>
      <c r="Y61" s="117">
        <v>4004</v>
      </c>
      <c r="Z61" s="117">
        <v>4119</v>
      </c>
      <c r="AA61" s="117">
        <v>35268</v>
      </c>
      <c r="AB61" s="117">
        <v>35291</v>
      </c>
      <c r="AC61" s="117">
        <v>35497</v>
      </c>
      <c r="AD61" s="117">
        <v>93055</v>
      </c>
      <c r="AE61" s="117">
        <v>96130</v>
      </c>
      <c r="AF61"/>
      <c r="AG61"/>
    </row>
    <row r="62" spans="1:33" ht="13.2" x14ac:dyDescent="0.25">
      <c r="A62" s="117" t="s">
        <v>599</v>
      </c>
      <c r="B62" s="117" t="s">
        <v>415</v>
      </c>
      <c r="C62" s="117">
        <f t="shared" si="0"/>
        <v>664.75</v>
      </c>
      <c r="D62" s="117">
        <f t="shared" si="1"/>
        <v>625</v>
      </c>
      <c r="E62" s="225">
        <f t="shared" si="2"/>
        <v>3122825.16</v>
      </c>
      <c r="F62" s="117">
        <f t="shared" si="3"/>
        <v>5464688.5799999991</v>
      </c>
      <c r="G62" s="117">
        <v>25</v>
      </c>
      <c r="H62" s="117">
        <v>73</v>
      </c>
      <c r="I62" s="117">
        <v>1925</v>
      </c>
      <c r="J62" s="117">
        <v>1925</v>
      </c>
      <c r="K62" s="117">
        <v>2355</v>
      </c>
      <c r="L62" s="117">
        <v>2355</v>
      </c>
      <c r="M62" s="117">
        <v>2219</v>
      </c>
      <c r="N62" s="117">
        <v>1935</v>
      </c>
      <c r="O62" s="117">
        <v>3709</v>
      </c>
      <c r="P62" s="117">
        <v>3450</v>
      </c>
      <c r="Q62" s="117">
        <v>3013</v>
      </c>
      <c r="R62" s="117">
        <v>3013</v>
      </c>
      <c r="S62" s="117" t="s">
        <v>844</v>
      </c>
      <c r="T62" s="117" t="s">
        <v>844</v>
      </c>
      <c r="U62" s="117">
        <v>778</v>
      </c>
      <c r="V62" s="117">
        <v>1018</v>
      </c>
      <c r="W62" s="117">
        <v>1485</v>
      </c>
      <c r="X62" s="117">
        <v>1409</v>
      </c>
      <c r="Y62" s="117">
        <v>396</v>
      </c>
      <c r="Z62" s="117">
        <v>73</v>
      </c>
      <c r="AA62" s="117">
        <v>20686</v>
      </c>
      <c r="AB62" s="117">
        <v>20335</v>
      </c>
      <c r="AC62" s="117">
        <v>20436</v>
      </c>
      <c r="AD62" s="117">
        <v>0</v>
      </c>
      <c r="AE62" s="117">
        <v>40960</v>
      </c>
      <c r="AF62"/>
      <c r="AG62"/>
    </row>
    <row r="63" spans="1:33" ht="13.2" x14ac:dyDescent="0.25">
      <c r="A63" s="117" t="s">
        <v>599</v>
      </c>
      <c r="B63" s="117" t="s">
        <v>416</v>
      </c>
      <c r="C63" s="117">
        <f t="shared" si="0"/>
        <v>4471</v>
      </c>
      <c r="D63" s="117">
        <f t="shared" si="1"/>
        <v>4627.25</v>
      </c>
      <c r="E63" s="225">
        <f t="shared" si="2"/>
        <v>3809706.11</v>
      </c>
      <c r="F63" s="117">
        <f t="shared" si="3"/>
        <v>6666674.0549999997</v>
      </c>
      <c r="G63" s="117">
        <v>13157</v>
      </c>
      <c r="H63" s="117">
        <v>13170</v>
      </c>
      <c r="I63" s="117">
        <v>12910</v>
      </c>
      <c r="J63" s="117">
        <v>17759</v>
      </c>
      <c r="K63" s="117">
        <v>36143</v>
      </c>
      <c r="L63" s="117">
        <v>26834</v>
      </c>
      <c r="M63" s="117">
        <v>12246</v>
      </c>
      <c r="N63" s="117">
        <v>10886</v>
      </c>
      <c r="O63" s="117">
        <v>13378</v>
      </c>
      <c r="P63" s="117">
        <v>13117</v>
      </c>
      <c r="Q63" s="117">
        <v>9307</v>
      </c>
      <c r="R63" s="117">
        <v>8601</v>
      </c>
      <c r="S63" s="117">
        <v>258</v>
      </c>
      <c r="T63" s="117">
        <v>764</v>
      </c>
      <c r="U63" s="117">
        <v>25</v>
      </c>
      <c r="V63" s="117">
        <v>-629</v>
      </c>
      <c r="W63" s="117">
        <v>7577</v>
      </c>
      <c r="X63" s="117">
        <v>5204</v>
      </c>
      <c r="Y63" s="117">
        <v>10024</v>
      </c>
      <c r="Z63" s="117">
        <v>13170</v>
      </c>
      <c r="AA63" s="117">
        <v>24703</v>
      </c>
      <c r="AB63" s="117">
        <v>24915</v>
      </c>
      <c r="AC63" s="117">
        <v>24931</v>
      </c>
      <c r="AD63" s="117">
        <v>105382</v>
      </c>
      <c r="AE63" s="117">
        <v>100939</v>
      </c>
      <c r="AF63"/>
      <c r="AG63"/>
    </row>
    <row r="64" spans="1:33" ht="13.2" x14ac:dyDescent="0.25">
      <c r="A64" s="117" t="s">
        <v>601</v>
      </c>
      <c r="B64" s="117" t="s">
        <v>218</v>
      </c>
      <c r="C64" s="117">
        <f t="shared" si="0"/>
        <v>7133.5</v>
      </c>
      <c r="D64" s="117">
        <f t="shared" si="1"/>
        <v>6470.75</v>
      </c>
      <c r="E64" s="225">
        <f t="shared" si="2"/>
        <v>4361808.6399999997</v>
      </c>
      <c r="F64" s="117">
        <f t="shared" si="3"/>
        <v>7632808.3199999994</v>
      </c>
      <c r="G64" s="117">
        <v>5506</v>
      </c>
      <c r="H64" s="117">
        <v>5427</v>
      </c>
      <c r="I64" s="117">
        <v>15937</v>
      </c>
      <c r="J64" s="117">
        <v>15069</v>
      </c>
      <c r="K64" s="117">
        <v>10633</v>
      </c>
      <c r="L64" s="117">
        <v>10990</v>
      </c>
      <c r="M64" s="117">
        <v>10662</v>
      </c>
      <c r="N64" s="117">
        <v>10283</v>
      </c>
      <c r="O64" s="117">
        <v>3751</v>
      </c>
      <c r="P64" s="117">
        <v>4910</v>
      </c>
      <c r="Q64" s="117">
        <v>4395</v>
      </c>
      <c r="R64" s="117">
        <v>5033</v>
      </c>
      <c r="S64" s="117">
        <v>8311</v>
      </c>
      <c r="T64" s="117">
        <v>8028</v>
      </c>
      <c r="U64" s="117">
        <v>3543</v>
      </c>
      <c r="V64" s="117">
        <v>3955</v>
      </c>
      <c r="W64" s="117">
        <v>10270</v>
      </c>
      <c r="X64" s="117">
        <v>8473</v>
      </c>
      <c r="Y64" s="117">
        <v>6410</v>
      </c>
      <c r="Z64" s="117">
        <v>5427</v>
      </c>
      <c r="AA64" s="117">
        <v>27865</v>
      </c>
      <c r="AB64" s="117">
        <v>28195</v>
      </c>
      <c r="AC64" s="117">
        <v>28544</v>
      </c>
      <c r="AD64" s="117">
        <v>91490</v>
      </c>
      <c r="AE64" s="117">
        <v>96308</v>
      </c>
      <c r="AF64"/>
      <c r="AG64"/>
    </row>
    <row r="65" spans="1:33" ht="13.2" x14ac:dyDescent="0.25">
      <c r="A65" s="117" t="s">
        <v>604</v>
      </c>
      <c r="B65" s="117" t="s">
        <v>187</v>
      </c>
      <c r="C65" s="117">
        <f t="shared" si="0"/>
        <v>8658.5</v>
      </c>
      <c r="D65" s="117">
        <f t="shared" si="1"/>
        <v>6101</v>
      </c>
      <c r="E65" s="225">
        <f t="shared" si="2"/>
        <v>4353098.47</v>
      </c>
      <c r="F65" s="117">
        <f t="shared" si="3"/>
        <v>7617566.2349999994</v>
      </c>
      <c r="G65" s="117">
        <v>5592</v>
      </c>
      <c r="H65" s="117">
        <v>5592</v>
      </c>
      <c r="I65" s="117">
        <v>5923</v>
      </c>
      <c r="J65" s="117">
        <v>5348</v>
      </c>
      <c r="K65" s="117">
        <v>2108</v>
      </c>
      <c r="L65" s="117">
        <v>5047</v>
      </c>
      <c r="M65" s="117">
        <v>1188</v>
      </c>
      <c r="N65" s="117">
        <v>2852</v>
      </c>
      <c r="O65" s="117">
        <v>1443</v>
      </c>
      <c r="P65" s="117">
        <v>4157</v>
      </c>
      <c r="Q65" s="117">
        <v>750</v>
      </c>
      <c r="R65" s="117">
        <v>1990</v>
      </c>
      <c r="S65" s="117">
        <v>7163</v>
      </c>
      <c r="T65" s="117">
        <v>5813</v>
      </c>
      <c r="U65" s="117">
        <v>6354</v>
      </c>
      <c r="V65" s="117">
        <v>4639</v>
      </c>
      <c r="W65" s="117">
        <v>13335</v>
      </c>
      <c r="X65" s="117">
        <v>8360</v>
      </c>
      <c r="Y65" s="117">
        <v>7782</v>
      </c>
      <c r="Z65" s="117">
        <v>5592</v>
      </c>
      <c r="AA65" s="117">
        <v>28070</v>
      </c>
      <c r="AB65" s="117">
        <v>28252</v>
      </c>
      <c r="AC65" s="117">
        <v>28487</v>
      </c>
      <c r="AD65" s="117">
        <v>53310</v>
      </c>
      <c r="AE65" s="117">
        <v>55985</v>
      </c>
      <c r="AF65"/>
      <c r="AG65"/>
    </row>
    <row r="66" spans="1:33" ht="13.2" x14ac:dyDescent="0.25">
      <c r="A66" s="117" t="s">
        <v>602</v>
      </c>
      <c r="B66" s="117" t="s">
        <v>167</v>
      </c>
      <c r="C66" s="117">
        <f t="shared" si="0"/>
        <v>1609.25</v>
      </c>
      <c r="D66" s="117">
        <f t="shared" si="1"/>
        <v>1686.5</v>
      </c>
      <c r="E66" s="225">
        <f t="shared" si="2"/>
        <v>2892693.3</v>
      </c>
      <c r="F66" s="117">
        <f t="shared" si="3"/>
        <v>5061976.6499999994</v>
      </c>
      <c r="G66" s="117">
        <v>199</v>
      </c>
      <c r="H66" s="117">
        <v>199</v>
      </c>
      <c r="I66" s="117">
        <v>2080</v>
      </c>
      <c r="J66" s="117">
        <v>2280</v>
      </c>
      <c r="K66" s="117">
        <v>2422</v>
      </c>
      <c r="L66" s="117">
        <v>1811</v>
      </c>
      <c r="M66" s="117">
        <v>2870</v>
      </c>
      <c r="N66" s="117">
        <v>3459</v>
      </c>
      <c r="O66" s="117">
        <v>1299</v>
      </c>
      <c r="P66" s="117">
        <v>407</v>
      </c>
      <c r="Q66" s="117">
        <v>1072</v>
      </c>
      <c r="R66" s="117">
        <v>1117</v>
      </c>
      <c r="S66" s="117">
        <v>2874</v>
      </c>
      <c r="T66" s="117">
        <v>2839</v>
      </c>
      <c r="U66" s="117">
        <v>1816</v>
      </c>
      <c r="V66" s="117">
        <v>1755</v>
      </c>
      <c r="W66" s="117">
        <v>1510</v>
      </c>
      <c r="X66" s="117">
        <v>1953</v>
      </c>
      <c r="Y66" s="117">
        <v>237</v>
      </c>
      <c r="Z66" s="117">
        <v>199</v>
      </c>
      <c r="AA66" s="117">
        <v>18943</v>
      </c>
      <c r="AB66" s="117">
        <v>18911</v>
      </c>
      <c r="AC66" s="117">
        <v>18930</v>
      </c>
      <c r="AD66" s="117">
        <v>40656</v>
      </c>
      <c r="AE66" s="117">
        <v>41456</v>
      </c>
      <c r="AF66"/>
      <c r="AG66"/>
    </row>
    <row r="67" spans="1:33" ht="13.2" x14ac:dyDescent="0.25">
      <c r="A67" s="117" t="s">
        <v>606</v>
      </c>
      <c r="B67" s="117" t="s">
        <v>266</v>
      </c>
      <c r="C67" s="117">
        <f t="shared" ref="C67:C130" si="4">SUM(S67,U67,W67,Y67)/4</f>
        <v>4332.25</v>
      </c>
      <c r="D67" s="117">
        <f t="shared" ref="D67:D130" si="5">SUM(T67,V67,X67,Z67)/4</f>
        <v>7451.5</v>
      </c>
      <c r="E67" s="225">
        <f t="shared" ref="E67:E130" si="6">AC67*152.81</f>
        <v>6541643.29</v>
      </c>
      <c r="F67" s="117">
        <f t="shared" ref="F67:F130" si="7">AC67*$AF$3</f>
        <v>11447340.645</v>
      </c>
      <c r="G67" s="117">
        <v>14174</v>
      </c>
      <c r="H67" s="117">
        <v>14056</v>
      </c>
      <c r="I67" s="117">
        <v>10577</v>
      </c>
      <c r="J67" s="117">
        <v>11083</v>
      </c>
      <c r="K67" s="117">
        <v>7422</v>
      </c>
      <c r="L67" s="117">
        <v>6407</v>
      </c>
      <c r="M67" s="117">
        <v>9235</v>
      </c>
      <c r="N67" s="117">
        <v>15488</v>
      </c>
      <c r="O67" s="117">
        <v>20115</v>
      </c>
      <c r="P67" s="117">
        <v>20178</v>
      </c>
      <c r="Q67" s="117">
        <v>7694</v>
      </c>
      <c r="R67" s="117">
        <v>11261</v>
      </c>
      <c r="S67" s="117">
        <v>6980</v>
      </c>
      <c r="T67" s="117">
        <v>7593</v>
      </c>
      <c r="U67" s="117">
        <v>3241</v>
      </c>
      <c r="V67" s="117">
        <v>3708</v>
      </c>
      <c r="W67" s="117">
        <v>4445</v>
      </c>
      <c r="X67" s="117">
        <v>4449</v>
      </c>
      <c r="Y67" s="117">
        <v>2663</v>
      </c>
      <c r="Z67" s="117">
        <v>14056</v>
      </c>
      <c r="AA67" s="117">
        <v>42759</v>
      </c>
      <c r="AB67" s="117">
        <v>42851</v>
      </c>
      <c r="AC67" s="117">
        <v>42809</v>
      </c>
      <c r="AD67" s="117">
        <v>93942</v>
      </c>
      <c r="AE67" s="117">
        <v>93635</v>
      </c>
      <c r="AF67"/>
      <c r="AG67"/>
    </row>
    <row r="68" spans="1:33" ht="13.2" x14ac:dyDescent="0.25">
      <c r="A68" s="117" t="s">
        <v>602</v>
      </c>
      <c r="B68" s="117" t="s">
        <v>611</v>
      </c>
      <c r="C68" s="117">
        <f t="shared" si="4"/>
        <v>6539.25</v>
      </c>
      <c r="D68" s="117">
        <f t="shared" si="5"/>
        <v>5695.75</v>
      </c>
      <c r="E68" s="225">
        <f t="shared" si="6"/>
        <v>7860852.0200000005</v>
      </c>
      <c r="F68" s="117">
        <f t="shared" si="7"/>
        <v>13755848.009999998</v>
      </c>
      <c r="G68" s="117">
        <v>827</v>
      </c>
      <c r="H68" s="117">
        <v>801</v>
      </c>
      <c r="I68" s="117">
        <v>10403.304661535018</v>
      </c>
      <c r="J68" s="117">
        <v>10949.048302939505</v>
      </c>
      <c r="K68" s="117">
        <v>14867.346570397112</v>
      </c>
      <c r="L68" s="117">
        <v>15752.495306859206</v>
      </c>
      <c r="M68" s="117">
        <v>12264.0948942754</v>
      </c>
      <c r="N68" s="117">
        <v>14419.421454357916</v>
      </c>
      <c r="O68" s="117">
        <v>82</v>
      </c>
      <c r="P68" s="117">
        <v>55</v>
      </c>
      <c r="Q68" s="117">
        <v>3513</v>
      </c>
      <c r="R68" s="117">
        <v>4557</v>
      </c>
      <c r="S68" s="117">
        <v>9740</v>
      </c>
      <c r="T68" s="117">
        <v>8657</v>
      </c>
      <c r="U68" s="117">
        <v>6137</v>
      </c>
      <c r="V68" s="117">
        <v>6993</v>
      </c>
      <c r="W68" s="117">
        <v>9394</v>
      </c>
      <c r="X68" s="117">
        <v>6332</v>
      </c>
      <c r="Y68" s="117">
        <v>886</v>
      </c>
      <c r="Z68" s="117">
        <v>801</v>
      </c>
      <c r="AA68" s="117">
        <v>51589</v>
      </c>
      <c r="AB68" s="117">
        <v>51728</v>
      </c>
      <c r="AC68" s="117">
        <v>51442</v>
      </c>
      <c r="AD68" s="117">
        <v>105052</v>
      </c>
      <c r="AE68" s="117">
        <v>106367</v>
      </c>
      <c r="AF68"/>
      <c r="AG68"/>
    </row>
    <row r="69" spans="1:33" ht="13.2" x14ac:dyDescent="0.25">
      <c r="A69" s="117" t="s">
        <v>606</v>
      </c>
      <c r="B69" s="117" t="s">
        <v>267</v>
      </c>
      <c r="C69" s="117">
        <f t="shared" si="4"/>
        <v>18282</v>
      </c>
      <c r="D69" s="117">
        <f t="shared" si="5"/>
        <v>15811.75</v>
      </c>
      <c r="E69" s="225">
        <f t="shared" si="6"/>
        <v>6733419.8399999999</v>
      </c>
      <c r="F69" s="117">
        <f t="shared" si="7"/>
        <v>11782933.919999998</v>
      </c>
      <c r="G69" s="117">
        <v>14157</v>
      </c>
      <c r="H69" s="117">
        <v>11964</v>
      </c>
      <c r="I69" s="117">
        <v>5824</v>
      </c>
      <c r="J69" s="117">
        <v>7095</v>
      </c>
      <c r="K69" s="117">
        <v>5413</v>
      </c>
      <c r="L69" s="117">
        <v>13828</v>
      </c>
      <c r="M69" s="117">
        <v>5095</v>
      </c>
      <c r="N69" s="117">
        <v>7004</v>
      </c>
      <c r="O69" s="117">
        <v>5047</v>
      </c>
      <c r="P69" s="117">
        <v>5373</v>
      </c>
      <c r="Q69" s="117">
        <v>8734</v>
      </c>
      <c r="R69" s="117">
        <v>8091</v>
      </c>
      <c r="S69" s="117">
        <v>18511</v>
      </c>
      <c r="T69" s="117">
        <v>16287</v>
      </c>
      <c r="U69" s="117">
        <v>22035</v>
      </c>
      <c r="V69" s="117">
        <v>21125</v>
      </c>
      <c r="W69" s="117">
        <v>18897</v>
      </c>
      <c r="X69" s="117">
        <v>13871</v>
      </c>
      <c r="Y69" s="117">
        <v>13685</v>
      </c>
      <c r="Z69" s="117">
        <v>11964</v>
      </c>
      <c r="AA69" s="117">
        <v>42759</v>
      </c>
      <c r="AB69" s="117">
        <v>43620</v>
      </c>
      <c r="AC69" s="117">
        <v>44064</v>
      </c>
      <c r="AD69" s="117">
        <v>74817</v>
      </c>
      <c r="AE69" s="117">
        <v>75030</v>
      </c>
      <c r="AF69"/>
      <c r="AG69"/>
    </row>
    <row r="70" spans="1:33" ht="13.2" x14ac:dyDescent="0.25">
      <c r="A70" s="117" t="s">
        <v>598</v>
      </c>
      <c r="B70" s="117" t="s">
        <v>140</v>
      </c>
      <c r="C70" s="117">
        <f t="shared" si="4"/>
        <v>1774.25</v>
      </c>
      <c r="D70" s="117">
        <f t="shared" si="5"/>
        <v>1489</v>
      </c>
      <c r="E70" s="225">
        <f t="shared" si="6"/>
        <v>3685165.96</v>
      </c>
      <c r="F70" s="117">
        <f t="shared" si="7"/>
        <v>6448738.9799999995</v>
      </c>
      <c r="G70" s="117">
        <v>792</v>
      </c>
      <c r="H70" s="117">
        <v>794</v>
      </c>
      <c r="I70" s="117">
        <v>1874</v>
      </c>
      <c r="J70" s="117">
        <v>2228</v>
      </c>
      <c r="K70" s="117">
        <v>1916</v>
      </c>
      <c r="L70" s="117">
        <v>3080</v>
      </c>
      <c r="M70" s="117">
        <v>1183</v>
      </c>
      <c r="N70" s="117">
        <v>1927</v>
      </c>
      <c r="O70" s="117">
        <v>2324</v>
      </c>
      <c r="P70" s="117">
        <v>2645</v>
      </c>
      <c r="Q70" s="117">
        <v>2111</v>
      </c>
      <c r="R70" s="117">
        <v>2040</v>
      </c>
      <c r="S70" s="117">
        <v>2912</v>
      </c>
      <c r="T70" s="117">
        <v>2675</v>
      </c>
      <c r="U70" s="117">
        <v>1892</v>
      </c>
      <c r="V70" s="117">
        <v>1509</v>
      </c>
      <c r="W70" s="117">
        <v>1563</v>
      </c>
      <c r="X70" s="117">
        <v>978</v>
      </c>
      <c r="Y70" s="117">
        <v>730</v>
      </c>
      <c r="Z70" s="117">
        <v>794</v>
      </c>
      <c r="AA70" s="117">
        <v>23745</v>
      </c>
      <c r="AB70" s="117">
        <v>23914</v>
      </c>
      <c r="AC70" s="117">
        <v>24116</v>
      </c>
      <c r="AD70" s="117">
        <v>41677</v>
      </c>
      <c r="AE70" s="117">
        <v>42170</v>
      </c>
      <c r="AF70"/>
      <c r="AG70"/>
    </row>
    <row r="71" spans="1:33" ht="13.2" x14ac:dyDescent="0.25">
      <c r="A71" s="117" t="s">
        <v>603</v>
      </c>
      <c r="B71" s="117" t="s">
        <v>341</v>
      </c>
      <c r="C71" s="117">
        <f t="shared" si="4"/>
        <v>24509</v>
      </c>
      <c r="D71" s="117">
        <f t="shared" si="5"/>
        <v>17183.25</v>
      </c>
      <c r="E71" s="225">
        <f t="shared" si="6"/>
        <v>15772589.77</v>
      </c>
      <c r="F71" s="117">
        <f t="shared" si="7"/>
        <v>27600741.884999998</v>
      </c>
      <c r="G71" s="117">
        <v>40279</v>
      </c>
      <c r="H71" s="117">
        <v>7881</v>
      </c>
      <c r="I71" s="117">
        <v>61624</v>
      </c>
      <c r="J71" s="117">
        <v>60300</v>
      </c>
      <c r="K71" s="117">
        <v>87897</v>
      </c>
      <c r="L71" s="117">
        <v>89073</v>
      </c>
      <c r="M71" s="117">
        <v>56724</v>
      </c>
      <c r="N71" s="117">
        <v>66677</v>
      </c>
      <c r="O71" s="117">
        <v>38877</v>
      </c>
      <c r="P71" s="117">
        <v>65198</v>
      </c>
      <c r="Q71" s="117">
        <v>67419</v>
      </c>
      <c r="R71" s="117">
        <v>81446</v>
      </c>
      <c r="S71" s="117">
        <v>27633</v>
      </c>
      <c r="T71" s="117">
        <v>29299</v>
      </c>
      <c r="U71" s="117">
        <v>19327</v>
      </c>
      <c r="V71" s="117">
        <v>19051</v>
      </c>
      <c r="W71" s="117">
        <v>40257</v>
      </c>
      <c r="X71" s="117">
        <v>12502</v>
      </c>
      <c r="Y71" s="117">
        <v>10819</v>
      </c>
      <c r="Z71" s="117">
        <v>7881</v>
      </c>
      <c r="AA71" s="117">
        <v>101361</v>
      </c>
      <c r="AB71" s="117">
        <v>102280</v>
      </c>
      <c r="AC71" s="117">
        <v>103217</v>
      </c>
      <c r="AD71" s="117">
        <v>231822</v>
      </c>
      <c r="AE71" s="117">
        <v>275458</v>
      </c>
      <c r="AF71"/>
      <c r="AG71"/>
    </row>
    <row r="72" spans="1:33" ht="13.2" x14ac:dyDescent="0.25">
      <c r="A72" s="117" t="s">
        <v>607</v>
      </c>
      <c r="B72" s="117" t="s">
        <v>146</v>
      </c>
      <c r="C72" s="117">
        <f t="shared" si="4"/>
        <v>351.5</v>
      </c>
      <c r="D72" s="117">
        <f t="shared" si="5"/>
        <v>405.25</v>
      </c>
      <c r="E72" s="225">
        <f t="shared" si="6"/>
        <v>3775782.29</v>
      </c>
      <c r="F72" s="117">
        <f t="shared" si="7"/>
        <v>6607310.1449999996</v>
      </c>
      <c r="G72" s="117">
        <v>620</v>
      </c>
      <c r="H72" s="117">
        <v>620</v>
      </c>
      <c r="I72" s="117">
        <v>13122</v>
      </c>
      <c r="J72" s="117">
        <v>13122</v>
      </c>
      <c r="K72" s="117">
        <v>7806</v>
      </c>
      <c r="L72" s="117">
        <v>7989</v>
      </c>
      <c r="M72" s="117">
        <v>3612</v>
      </c>
      <c r="N72" s="117">
        <v>3610</v>
      </c>
      <c r="O72" s="117">
        <v>1633</v>
      </c>
      <c r="P72" s="117">
        <v>1641</v>
      </c>
      <c r="Q72" s="117">
        <v>550</v>
      </c>
      <c r="R72" s="117">
        <v>513</v>
      </c>
      <c r="S72" s="117">
        <v>448</v>
      </c>
      <c r="T72" s="117">
        <v>488</v>
      </c>
      <c r="U72" s="117">
        <v>320</v>
      </c>
      <c r="V72" s="117">
        <v>318</v>
      </c>
      <c r="W72" s="117">
        <v>139</v>
      </c>
      <c r="X72" s="117">
        <v>195</v>
      </c>
      <c r="Y72" s="117">
        <v>499</v>
      </c>
      <c r="Z72" s="117">
        <v>620</v>
      </c>
      <c r="AA72" s="117">
        <v>24961</v>
      </c>
      <c r="AB72" s="117">
        <v>24876</v>
      </c>
      <c r="AC72" s="117">
        <v>24709</v>
      </c>
      <c r="AD72" s="117">
        <v>84107</v>
      </c>
      <c r="AE72" s="117">
        <v>86234</v>
      </c>
      <c r="AF72"/>
      <c r="AG72"/>
    </row>
    <row r="73" spans="1:33" ht="13.2" x14ac:dyDescent="0.25">
      <c r="A73" s="117" t="s">
        <v>600</v>
      </c>
      <c r="B73" s="117" t="s">
        <v>296</v>
      </c>
      <c r="C73" s="117">
        <f t="shared" si="4"/>
        <v>5177</v>
      </c>
      <c r="D73" s="117">
        <f t="shared" si="5"/>
        <v>4743.25</v>
      </c>
      <c r="E73" s="225">
        <f t="shared" si="6"/>
        <v>8496236</v>
      </c>
      <c r="F73" s="117">
        <f t="shared" si="7"/>
        <v>14867717.999999998</v>
      </c>
      <c r="G73" s="117">
        <v>4175</v>
      </c>
      <c r="H73" s="117">
        <v>3624</v>
      </c>
      <c r="I73" s="117">
        <v>11671</v>
      </c>
      <c r="J73" s="117">
        <v>13061</v>
      </c>
      <c r="K73" s="117">
        <v>9242</v>
      </c>
      <c r="L73" s="117">
        <v>11339</v>
      </c>
      <c r="M73" s="117">
        <v>4205</v>
      </c>
      <c r="N73" s="117">
        <v>6937</v>
      </c>
      <c r="O73" s="117">
        <v>14099</v>
      </c>
      <c r="P73" s="117">
        <v>14400</v>
      </c>
      <c r="Q73" s="117">
        <v>6651</v>
      </c>
      <c r="R73" s="117">
        <v>17468</v>
      </c>
      <c r="S73" s="117">
        <v>8771</v>
      </c>
      <c r="T73" s="117">
        <v>9233</v>
      </c>
      <c r="U73" s="117">
        <v>2909</v>
      </c>
      <c r="V73" s="117">
        <v>2808</v>
      </c>
      <c r="W73" s="117">
        <v>5953</v>
      </c>
      <c r="X73" s="117">
        <v>3308</v>
      </c>
      <c r="Y73" s="117">
        <v>3075</v>
      </c>
      <c r="Z73" s="117">
        <v>3624</v>
      </c>
      <c r="AA73" s="117">
        <v>56030</v>
      </c>
      <c r="AB73" s="117">
        <v>55762</v>
      </c>
      <c r="AC73" s="117">
        <v>55600</v>
      </c>
      <c r="AD73" s="117">
        <v>82979</v>
      </c>
      <c r="AE73" s="117">
        <v>89536</v>
      </c>
      <c r="AF73"/>
      <c r="AG73"/>
    </row>
    <row r="74" spans="1:33" ht="13.2" x14ac:dyDescent="0.25">
      <c r="A74" s="117" t="s">
        <v>599</v>
      </c>
      <c r="B74" s="117" t="s">
        <v>417</v>
      </c>
      <c r="C74" s="117">
        <f t="shared" si="4"/>
        <v>12831.25</v>
      </c>
      <c r="D74" s="117">
        <f t="shared" si="5"/>
        <v>13386.25</v>
      </c>
      <c r="E74" s="225">
        <f t="shared" si="6"/>
        <v>4944014.74</v>
      </c>
      <c r="F74" s="117">
        <f t="shared" si="7"/>
        <v>8651621.3699999992</v>
      </c>
      <c r="G74" s="117">
        <v>5503</v>
      </c>
      <c r="H74" s="117">
        <v>5238</v>
      </c>
      <c r="I74" s="117">
        <v>35087</v>
      </c>
      <c r="J74" s="117">
        <v>36866</v>
      </c>
      <c r="K74" s="117">
        <v>17562</v>
      </c>
      <c r="L74" s="117">
        <v>33434</v>
      </c>
      <c r="M74" s="117">
        <v>20962</v>
      </c>
      <c r="N74" s="117">
        <v>21907</v>
      </c>
      <c r="O74" s="117">
        <v>15803</v>
      </c>
      <c r="P74" s="117">
        <v>16609</v>
      </c>
      <c r="Q74" s="117">
        <v>10217</v>
      </c>
      <c r="R74" s="117">
        <v>13273</v>
      </c>
      <c r="S74" s="117">
        <v>21343</v>
      </c>
      <c r="T74" s="117">
        <v>23879</v>
      </c>
      <c r="U74" s="117">
        <v>15977</v>
      </c>
      <c r="V74" s="117">
        <v>15272</v>
      </c>
      <c r="W74" s="117">
        <v>10445</v>
      </c>
      <c r="X74" s="117">
        <v>9156</v>
      </c>
      <c r="Y74" s="117">
        <v>3560</v>
      </c>
      <c r="Z74" s="117">
        <v>5238</v>
      </c>
      <c r="AA74" s="117">
        <v>31928</v>
      </c>
      <c r="AB74" s="117">
        <v>32140</v>
      </c>
      <c r="AC74" s="117">
        <v>32354</v>
      </c>
      <c r="AD74" s="117">
        <v>95419</v>
      </c>
      <c r="AE74" s="117">
        <v>100250</v>
      </c>
      <c r="AF74"/>
      <c r="AG74"/>
    </row>
    <row r="75" spans="1:33" ht="13.2" x14ac:dyDescent="0.25">
      <c r="A75" s="117" t="s">
        <v>604</v>
      </c>
      <c r="B75" s="117" t="s">
        <v>188</v>
      </c>
      <c r="C75" s="117">
        <f t="shared" si="4"/>
        <v>19667</v>
      </c>
      <c r="D75" s="117">
        <f t="shared" si="5"/>
        <v>20890.75</v>
      </c>
      <c r="E75" s="225">
        <f t="shared" si="6"/>
        <v>15271984.210000001</v>
      </c>
      <c r="F75" s="117">
        <f t="shared" si="7"/>
        <v>26724723.104999997</v>
      </c>
      <c r="G75" s="117">
        <v>5112</v>
      </c>
      <c r="H75" s="117">
        <v>5148</v>
      </c>
      <c r="I75" s="117">
        <v>19411</v>
      </c>
      <c r="J75" s="117">
        <v>35684</v>
      </c>
      <c r="K75" s="117">
        <v>19330</v>
      </c>
      <c r="L75" s="117">
        <v>38400</v>
      </c>
      <c r="M75" s="117">
        <v>34109</v>
      </c>
      <c r="N75" s="117">
        <v>38538</v>
      </c>
      <c r="O75" s="117">
        <v>15367</v>
      </c>
      <c r="P75" s="117">
        <v>28222</v>
      </c>
      <c r="Q75" s="117">
        <v>22704</v>
      </c>
      <c r="R75" s="117">
        <v>27788</v>
      </c>
      <c r="S75" s="117">
        <v>29906</v>
      </c>
      <c r="T75" s="117">
        <v>32553</v>
      </c>
      <c r="U75" s="117">
        <v>38328</v>
      </c>
      <c r="V75" s="117">
        <v>40984</v>
      </c>
      <c r="W75" s="117">
        <v>5311</v>
      </c>
      <c r="X75" s="117">
        <v>4878</v>
      </c>
      <c r="Y75" s="117">
        <v>5123</v>
      </c>
      <c r="Z75" s="117">
        <v>5148</v>
      </c>
      <c r="AA75" s="117">
        <v>99328</v>
      </c>
      <c r="AB75" s="117">
        <v>99605</v>
      </c>
      <c r="AC75" s="117">
        <v>99941</v>
      </c>
      <c r="AD75" s="117">
        <v>247819</v>
      </c>
      <c r="AE75" s="117">
        <v>236466</v>
      </c>
      <c r="AF75"/>
      <c r="AG75"/>
    </row>
    <row r="76" spans="1:33" ht="13.2" x14ac:dyDescent="0.25">
      <c r="A76" s="117" t="s">
        <v>600</v>
      </c>
      <c r="B76" s="117" t="s">
        <v>297</v>
      </c>
      <c r="C76" s="117">
        <f t="shared" si="4"/>
        <v>19545</v>
      </c>
      <c r="D76" s="117">
        <f t="shared" si="5"/>
        <v>16824.75</v>
      </c>
      <c r="E76" s="225">
        <f t="shared" si="6"/>
        <v>4462816.05</v>
      </c>
      <c r="F76" s="117">
        <f t="shared" si="7"/>
        <v>7809563.0249999994</v>
      </c>
      <c r="G76" s="117">
        <v>8921</v>
      </c>
      <c r="H76" s="117">
        <v>8922</v>
      </c>
      <c r="I76" s="117">
        <v>13484</v>
      </c>
      <c r="J76" s="117">
        <v>13928</v>
      </c>
      <c r="K76" s="117">
        <v>9316</v>
      </c>
      <c r="L76" s="117">
        <v>9330</v>
      </c>
      <c r="M76" s="117">
        <v>17369</v>
      </c>
      <c r="N76" s="117">
        <v>17108</v>
      </c>
      <c r="O76" s="117">
        <v>13550</v>
      </c>
      <c r="P76" s="117">
        <v>15332</v>
      </c>
      <c r="Q76" s="117">
        <v>18094</v>
      </c>
      <c r="R76" s="117">
        <v>15475</v>
      </c>
      <c r="S76" s="117">
        <v>12709</v>
      </c>
      <c r="T76" s="117">
        <v>12639</v>
      </c>
      <c r="U76" s="117">
        <v>27781</v>
      </c>
      <c r="V76" s="117">
        <v>26703</v>
      </c>
      <c r="W76" s="117">
        <v>19034</v>
      </c>
      <c r="X76" s="117">
        <v>19035</v>
      </c>
      <c r="Y76" s="117">
        <v>18656</v>
      </c>
      <c r="Z76" s="117">
        <v>8922</v>
      </c>
      <c r="AA76" s="117">
        <v>27225</v>
      </c>
      <c r="AB76" s="117">
        <v>28152</v>
      </c>
      <c r="AC76" s="117">
        <v>29205</v>
      </c>
      <c r="AD76" s="117">
        <v>70152</v>
      </c>
      <c r="AE76" s="117">
        <v>71910</v>
      </c>
      <c r="AF76"/>
      <c r="AG76"/>
    </row>
    <row r="77" spans="1:33" ht="13.2" x14ac:dyDescent="0.25">
      <c r="A77" s="117" t="s">
        <v>604</v>
      </c>
      <c r="B77" s="117" t="s">
        <v>189</v>
      </c>
      <c r="C77" s="117">
        <f t="shared" si="4"/>
        <v>6843.25</v>
      </c>
      <c r="D77" s="117">
        <f t="shared" si="5"/>
        <v>5473.25</v>
      </c>
      <c r="E77" s="225">
        <f t="shared" si="6"/>
        <v>4025015.4</v>
      </c>
      <c r="F77" s="117">
        <f t="shared" si="7"/>
        <v>7043447.6999999993</v>
      </c>
      <c r="G77" s="117">
        <v>3804</v>
      </c>
      <c r="H77" s="117">
        <v>3368</v>
      </c>
      <c r="I77" s="117">
        <v>8379</v>
      </c>
      <c r="J77" s="117">
        <v>8261</v>
      </c>
      <c r="K77" s="117">
        <v>9192</v>
      </c>
      <c r="L77" s="117">
        <v>9231</v>
      </c>
      <c r="M77" s="117">
        <v>7417</v>
      </c>
      <c r="N77" s="117">
        <v>7638</v>
      </c>
      <c r="O77" s="117">
        <v>8298</v>
      </c>
      <c r="P77" s="117">
        <v>8600</v>
      </c>
      <c r="Q77" s="117">
        <v>5029</v>
      </c>
      <c r="R77" s="117">
        <v>7660</v>
      </c>
      <c r="S77" s="117">
        <v>5405</v>
      </c>
      <c r="T77" s="117">
        <v>4749</v>
      </c>
      <c r="U77" s="117">
        <v>9427</v>
      </c>
      <c r="V77" s="117">
        <v>8269</v>
      </c>
      <c r="W77" s="117">
        <v>9135</v>
      </c>
      <c r="X77" s="117">
        <v>5507</v>
      </c>
      <c r="Y77" s="117">
        <v>3406</v>
      </c>
      <c r="Z77" s="117">
        <v>3368</v>
      </c>
      <c r="AA77" s="117">
        <v>26243</v>
      </c>
      <c r="AB77" s="117">
        <v>26294</v>
      </c>
      <c r="AC77" s="117">
        <v>26340</v>
      </c>
      <c r="AD77" s="117">
        <v>52377</v>
      </c>
      <c r="AE77" s="117">
        <v>56010</v>
      </c>
      <c r="AF77"/>
      <c r="AG77"/>
    </row>
    <row r="78" spans="1:33" ht="13.2" x14ac:dyDescent="0.25">
      <c r="A78" s="117" t="s">
        <v>601</v>
      </c>
      <c r="B78" s="117" t="s">
        <v>219</v>
      </c>
      <c r="C78" s="117">
        <f t="shared" si="4"/>
        <v>216</v>
      </c>
      <c r="D78" s="117">
        <f t="shared" si="5"/>
        <v>164.75</v>
      </c>
      <c r="E78" s="225">
        <f t="shared" si="6"/>
        <v>1702609.02</v>
      </c>
      <c r="F78" s="117">
        <f t="shared" si="7"/>
        <v>2979426.51</v>
      </c>
      <c r="G78" s="117">
        <v>4</v>
      </c>
      <c r="H78" s="117">
        <v>0</v>
      </c>
      <c r="I78" s="117">
        <v>1432</v>
      </c>
      <c r="J78" s="117">
        <v>1431</v>
      </c>
      <c r="K78" s="117">
        <v>2298</v>
      </c>
      <c r="L78" s="117">
        <v>2054</v>
      </c>
      <c r="M78" s="117">
        <v>1363</v>
      </c>
      <c r="N78" s="117">
        <v>1362</v>
      </c>
      <c r="O78" s="117">
        <v>420</v>
      </c>
      <c r="P78" s="117">
        <v>400</v>
      </c>
      <c r="Q78" s="117">
        <v>317</v>
      </c>
      <c r="R78" s="117">
        <v>317</v>
      </c>
      <c r="S78" s="117">
        <v>522</v>
      </c>
      <c r="T78" s="117">
        <v>502</v>
      </c>
      <c r="U78" s="117">
        <v>268</v>
      </c>
      <c r="V78" s="117">
        <v>87</v>
      </c>
      <c r="W78" s="117">
        <v>70</v>
      </c>
      <c r="X78" s="117">
        <v>70</v>
      </c>
      <c r="Y78" s="117">
        <v>4</v>
      </c>
      <c r="Z78" s="117" t="s">
        <v>843</v>
      </c>
      <c r="AA78" s="117">
        <v>11345</v>
      </c>
      <c r="AB78" s="117">
        <v>11326</v>
      </c>
      <c r="AC78" s="117">
        <v>11142</v>
      </c>
      <c r="AD78" s="117">
        <v>15137</v>
      </c>
      <c r="AE78" s="117">
        <v>16594</v>
      </c>
      <c r="AF78"/>
      <c r="AG78"/>
    </row>
    <row r="79" spans="1:33" ht="13.2" x14ac:dyDescent="0.25">
      <c r="A79" s="117" t="s">
        <v>601</v>
      </c>
      <c r="B79" s="117" t="s">
        <v>220</v>
      </c>
      <c r="C79" s="117">
        <f t="shared" si="4"/>
        <v>16335</v>
      </c>
      <c r="D79" s="117">
        <f t="shared" si="5"/>
        <v>15784.5</v>
      </c>
      <c r="E79" s="225">
        <f t="shared" si="6"/>
        <v>8793145.8300000001</v>
      </c>
      <c r="F79" s="117">
        <f t="shared" si="7"/>
        <v>15387285.914999999</v>
      </c>
      <c r="G79" s="117">
        <v>4484</v>
      </c>
      <c r="H79" s="117">
        <v>5282</v>
      </c>
      <c r="I79" s="117">
        <v>25351</v>
      </c>
      <c r="J79" s="117">
        <v>37467</v>
      </c>
      <c r="K79" s="117">
        <v>49323</v>
      </c>
      <c r="L79" s="117">
        <v>63944</v>
      </c>
      <c r="M79" s="117">
        <v>42573</v>
      </c>
      <c r="N79" s="117">
        <v>48878</v>
      </c>
      <c r="O79" s="117">
        <v>23309</v>
      </c>
      <c r="P79" s="117">
        <v>25054</v>
      </c>
      <c r="Q79" s="117">
        <v>18210</v>
      </c>
      <c r="R79" s="117">
        <v>18247</v>
      </c>
      <c r="S79" s="117">
        <v>21206</v>
      </c>
      <c r="T79" s="117">
        <v>20646</v>
      </c>
      <c r="U79" s="117">
        <v>13474</v>
      </c>
      <c r="V79" s="117">
        <v>15374</v>
      </c>
      <c r="W79" s="117">
        <v>24457</v>
      </c>
      <c r="X79" s="117">
        <v>21836</v>
      </c>
      <c r="Y79" s="117">
        <v>6203</v>
      </c>
      <c r="Z79" s="117">
        <v>5282</v>
      </c>
      <c r="AA79" s="117">
        <v>57065</v>
      </c>
      <c r="AB79" s="117">
        <v>57377</v>
      </c>
      <c r="AC79" s="117">
        <v>57543</v>
      </c>
      <c r="AD79" s="117">
        <v>191246</v>
      </c>
      <c r="AE79" s="117">
        <v>182064</v>
      </c>
      <c r="AF79"/>
      <c r="AG79"/>
    </row>
    <row r="80" spans="1:33" ht="13.2" x14ac:dyDescent="0.25">
      <c r="A80" s="117" t="s">
        <v>599</v>
      </c>
      <c r="B80" s="117" t="s">
        <v>418</v>
      </c>
      <c r="C80" s="117">
        <f t="shared" si="4"/>
        <v>5837.25</v>
      </c>
      <c r="D80" s="117">
        <f t="shared" si="5"/>
        <v>6313.75</v>
      </c>
      <c r="E80" s="225">
        <f t="shared" si="6"/>
        <v>3982381.41</v>
      </c>
      <c r="F80" s="117">
        <f t="shared" si="7"/>
        <v>6968841.7049999991</v>
      </c>
      <c r="G80" s="117">
        <v>5107</v>
      </c>
      <c r="H80" s="117">
        <v>5289</v>
      </c>
      <c r="I80" s="117">
        <v>8133</v>
      </c>
      <c r="J80" s="117">
        <v>8286</v>
      </c>
      <c r="K80" s="117">
        <v>10063</v>
      </c>
      <c r="L80" s="117">
        <v>10308</v>
      </c>
      <c r="M80" s="117">
        <v>5656</v>
      </c>
      <c r="N80" s="117">
        <v>5353</v>
      </c>
      <c r="O80" s="117">
        <v>8189</v>
      </c>
      <c r="P80" s="117">
        <v>13973</v>
      </c>
      <c r="Q80" s="117">
        <v>2693</v>
      </c>
      <c r="R80" s="117">
        <v>3185</v>
      </c>
      <c r="S80" s="117">
        <v>5622</v>
      </c>
      <c r="T80" s="117">
        <v>6415</v>
      </c>
      <c r="U80" s="117">
        <v>6589</v>
      </c>
      <c r="V80" s="117">
        <v>5809</v>
      </c>
      <c r="W80" s="117">
        <v>7268</v>
      </c>
      <c r="X80" s="117">
        <v>7742</v>
      </c>
      <c r="Y80" s="117">
        <v>3870</v>
      </c>
      <c r="Z80" s="117">
        <v>5289</v>
      </c>
      <c r="AA80" s="117">
        <v>25511</v>
      </c>
      <c r="AB80" s="117">
        <v>25773</v>
      </c>
      <c r="AC80" s="117">
        <v>26061</v>
      </c>
      <c r="AD80" s="117">
        <v>48520</v>
      </c>
      <c r="AE80" s="117">
        <v>48099</v>
      </c>
      <c r="AF80"/>
      <c r="AG80"/>
    </row>
    <row r="81" spans="1:33" ht="13.2" x14ac:dyDescent="0.25">
      <c r="A81" s="117" t="s">
        <v>603</v>
      </c>
      <c r="B81" s="117" t="s">
        <v>342</v>
      </c>
      <c r="C81" s="117">
        <f t="shared" si="4"/>
        <v>20398</v>
      </c>
      <c r="D81" s="117">
        <f t="shared" si="5"/>
        <v>18071.25</v>
      </c>
      <c r="E81" s="225">
        <f t="shared" si="6"/>
        <v>18133504.27</v>
      </c>
      <c r="F81" s="117">
        <f t="shared" si="7"/>
        <v>31732149.134999998</v>
      </c>
      <c r="G81" s="117">
        <v>22866</v>
      </c>
      <c r="H81" s="117">
        <v>16306</v>
      </c>
      <c r="I81" s="117">
        <v>38899</v>
      </c>
      <c r="J81" s="117">
        <v>46700</v>
      </c>
      <c r="K81" s="117">
        <v>34712</v>
      </c>
      <c r="L81" s="117">
        <v>32435</v>
      </c>
      <c r="M81" s="117">
        <v>50994</v>
      </c>
      <c r="N81" s="117">
        <v>84006</v>
      </c>
      <c r="O81" s="117">
        <v>50377</v>
      </c>
      <c r="P81" s="117">
        <v>94318</v>
      </c>
      <c r="Q81" s="117">
        <v>21818</v>
      </c>
      <c r="R81" s="117">
        <v>22285</v>
      </c>
      <c r="S81" s="117">
        <v>18603</v>
      </c>
      <c r="T81" s="117">
        <v>19782</v>
      </c>
      <c r="U81" s="117">
        <v>24559</v>
      </c>
      <c r="V81" s="117">
        <v>14219</v>
      </c>
      <c r="W81" s="117">
        <v>15784</v>
      </c>
      <c r="X81" s="117">
        <v>21978</v>
      </c>
      <c r="Y81" s="117">
        <v>22646</v>
      </c>
      <c r="Z81" s="117">
        <v>16306</v>
      </c>
      <c r="AA81" s="117">
        <v>118624</v>
      </c>
      <c r="AB81" s="117">
        <v>118466</v>
      </c>
      <c r="AC81" s="117">
        <v>118667</v>
      </c>
      <c r="AD81" s="117">
        <v>609176</v>
      </c>
      <c r="AE81" s="117">
        <v>613055</v>
      </c>
      <c r="AF81"/>
      <c r="AG81"/>
    </row>
    <row r="82" spans="1:33" ht="13.2" x14ac:dyDescent="0.25">
      <c r="A82" s="117" t="s">
        <v>600</v>
      </c>
      <c r="B82" s="117" t="s">
        <v>298</v>
      </c>
      <c r="C82" s="117">
        <f t="shared" si="4"/>
        <v>4063.25</v>
      </c>
      <c r="D82" s="117">
        <f t="shared" si="5"/>
        <v>3076</v>
      </c>
      <c r="E82" s="225">
        <f t="shared" si="6"/>
        <v>2995687.24</v>
      </c>
      <c r="F82" s="117">
        <f t="shared" si="7"/>
        <v>5242207.6199999992</v>
      </c>
      <c r="G82" s="117">
        <v>4392</v>
      </c>
      <c r="H82" s="117">
        <v>3725</v>
      </c>
      <c r="I82" s="117">
        <v>3399</v>
      </c>
      <c r="J82" s="117">
        <v>2813</v>
      </c>
      <c r="K82" s="117">
        <v>2142</v>
      </c>
      <c r="L82" s="117">
        <v>7120</v>
      </c>
      <c r="M82" s="117">
        <v>2744</v>
      </c>
      <c r="N82" s="117">
        <v>3037</v>
      </c>
      <c r="O82" s="117">
        <v>3292</v>
      </c>
      <c r="P82" s="117">
        <v>3152</v>
      </c>
      <c r="Q82" s="117">
        <v>2063</v>
      </c>
      <c r="R82" s="117">
        <v>1148</v>
      </c>
      <c r="S82" s="117">
        <v>4120</v>
      </c>
      <c r="T82" s="117">
        <v>3234</v>
      </c>
      <c r="U82" s="117">
        <v>4386</v>
      </c>
      <c r="V82" s="117">
        <v>2305</v>
      </c>
      <c r="W82" s="117">
        <v>4292</v>
      </c>
      <c r="X82" s="117">
        <v>3040</v>
      </c>
      <c r="Y82" s="117">
        <v>3455</v>
      </c>
      <c r="Z82" s="117">
        <v>3725</v>
      </c>
      <c r="AA82" s="117">
        <v>19383</v>
      </c>
      <c r="AB82" s="117">
        <v>19443</v>
      </c>
      <c r="AC82" s="117">
        <v>19604</v>
      </c>
      <c r="AD82" s="117">
        <v>25947</v>
      </c>
      <c r="AE82" s="117">
        <v>30413</v>
      </c>
      <c r="AF82"/>
      <c r="AG82"/>
    </row>
    <row r="83" spans="1:33" ht="13.2" x14ac:dyDescent="0.25">
      <c r="A83" s="117" t="s">
        <v>599</v>
      </c>
      <c r="B83" s="117" t="s">
        <v>419</v>
      </c>
      <c r="C83" s="117">
        <f t="shared" si="4"/>
        <v>952</v>
      </c>
      <c r="D83" s="117">
        <f t="shared" si="5"/>
        <v>979.5</v>
      </c>
      <c r="E83" s="225">
        <f t="shared" si="6"/>
        <v>4150625.22</v>
      </c>
      <c r="F83" s="117">
        <f t="shared" si="7"/>
        <v>7263254.6099999994</v>
      </c>
      <c r="G83" s="117">
        <v>439</v>
      </c>
      <c r="H83" s="117">
        <v>403</v>
      </c>
      <c r="I83" s="117">
        <v>7391</v>
      </c>
      <c r="J83" s="117">
        <v>6028</v>
      </c>
      <c r="K83" s="117">
        <v>25089</v>
      </c>
      <c r="L83" s="117">
        <v>22499</v>
      </c>
      <c r="M83" s="117">
        <v>8473</v>
      </c>
      <c r="N83" s="117">
        <v>7651</v>
      </c>
      <c r="O83" s="117">
        <v>7977</v>
      </c>
      <c r="P83" s="117">
        <v>7825</v>
      </c>
      <c r="Q83" s="117">
        <v>4678</v>
      </c>
      <c r="R83" s="117">
        <v>3267</v>
      </c>
      <c r="S83" s="117">
        <v>1093</v>
      </c>
      <c r="T83" s="117">
        <v>892</v>
      </c>
      <c r="U83" s="117">
        <v>2286</v>
      </c>
      <c r="V83" s="117">
        <v>2435</v>
      </c>
      <c r="W83" s="117">
        <v>190</v>
      </c>
      <c r="X83" s="117">
        <v>188</v>
      </c>
      <c r="Y83" s="117">
        <v>239</v>
      </c>
      <c r="Z83" s="117">
        <v>403</v>
      </c>
      <c r="AA83" s="117">
        <v>26863</v>
      </c>
      <c r="AB83" s="117">
        <v>27064</v>
      </c>
      <c r="AC83" s="117">
        <v>27162</v>
      </c>
      <c r="AD83" s="117">
        <v>53316</v>
      </c>
      <c r="AE83" s="117">
        <v>54380</v>
      </c>
      <c r="AF83"/>
      <c r="AG83"/>
    </row>
    <row r="84" spans="1:33" ht="13.2" x14ac:dyDescent="0.25">
      <c r="A84" s="117" t="s">
        <v>605</v>
      </c>
      <c r="B84" s="117" t="s">
        <v>495</v>
      </c>
      <c r="C84" s="117">
        <f t="shared" si="4"/>
        <v>10899.75</v>
      </c>
      <c r="D84" s="117">
        <f t="shared" si="5"/>
        <v>6058.75</v>
      </c>
      <c r="E84" s="225">
        <f t="shared" si="6"/>
        <v>6234189.5700000003</v>
      </c>
      <c r="F84" s="117">
        <f t="shared" si="7"/>
        <v>10909321.784999998</v>
      </c>
      <c r="G84" s="117">
        <v>2072</v>
      </c>
      <c r="H84" s="117">
        <v>2101</v>
      </c>
      <c r="I84" s="117">
        <v>12767</v>
      </c>
      <c r="J84" s="117">
        <v>14109</v>
      </c>
      <c r="K84" s="117">
        <v>12456</v>
      </c>
      <c r="L84" s="117">
        <v>12651</v>
      </c>
      <c r="M84" s="117">
        <v>5287</v>
      </c>
      <c r="N84" s="117">
        <v>7546</v>
      </c>
      <c r="O84" s="117">
        <v>12250</v>
      </c>
      <c r="P84" s="117">
        <v>12923</v>
      </c>
      <c r="Q84" s="117">
        <v>9034</v>
      </c>
      <c r="R84" s="117">
        <v>11751</v>
      </c>
      <c r="S84" s="117">
        <v>12942</v>
      </c>
      <c r="T84" s="117">
        <v>10953</v>
      </c>
      <c r="U84" s="117">
        <v>5959</v>
      </c>
      <c r="V84" s="117">
        <v>8724</v>
      </c>
      <c r="W84" s="117">
        <v>22400</v>
      </c>
      <c r="X84" s="117">
        <v>2457</v>
      </c>
      <c r="Y84" s="117">
        <v>2298</v>
      </c>
      <c r="Z84" s="117">
        <v>2101</v>
      </c>
      <c r="AA84" s="117">
        <v>40745</v>
      </c>
      <c r="AB84" s="117">
        <v>40767</v>
      </c>
      <c r="AC84" s="117">
        <v>40797</v>
      </c>
      <c r="AD84" s="117">
        <v>46597</v>
      </c>
      <c r="AE84" s="117">
        <v>56089</v>
      </c>
      <c r="AF84"/>
      <c r="AG84"/>
    </row>
    <row r="85" spans="1:33" ht="13.2" x14ac:dyDescent="0.25">
      <c r="A85" s="117" t="s">
        <v>601</v>
      </c>
      <c r="B85" s="117" t="s">
        <v>221</v>
      </c>
      <c r="C85" s="117">
        <f t="shared" si="4"/>
        <v>1191.75</v>
      </c>
      <c r="D85" s="117">
        <f t="shared" si="5"/>
        <v>1337.5</v>
      </c>
      <c r="E85" s="225">
        <f t="shared" si="6"/>
        <v>2871299.9</v>
      </c>
      <c r="F85" s="117">
        <f t="shared" si="7"/>
        <v>5024539.9499999993</v>
      </c>
      <c r="G85" s="117">
        <v>70</v>
      </c>
      <c r="H85" s="117">
        <v>314</v>
      </c>
      <c r="I85" s="117">
        <v>6969</v>
      </c>
      <c r="J85" s="117">
        <v>9012</v>
      </c>
      <c r="K85" s="117">
        <v>3082</v>
      </c>
      <c r="L85" s="117">
        <v>3273</v>
      </c>
      <c r="M85" s="117">
        <v>3153</v>
      </c>
      <c r="N85" s="117">
        <v>4990</v>
      </c>
      <c r="O85" s="117">
        <v>3814</v>
      </c>
      <c r="P85" s="117">
        <v>3488</v>
      </c>
      <c r="Q85" s="117">
        <v>1851</v>
      </c>
      <c r="R85" s="117">
        <v>4673</v>
      </c>
      <c r="S85" s="117">
        <v>2405</v>
      </c>
      <c r="T85" s="117">
        <v>2374</v>
      </c>
      <c r="U85" s="117">
        <v>1438</v>
      </c>
      <c r="V85" s="117">
        <v>1945</v>
      </c>
      <c r="W85" s="117">
        <v>537</v>
      </c>
      <c r="X85" s="117">
        <v>717</v>
      </c>
      <c r="Y85" s="117">
        <v>387</v>
      </c>
      <c r="Z85" s="117">
        <v>314</v>
      </c>
      <c r="AA85" s="117">
        <v>18561</v>
      </c>
      <c r="AB85" s="117">
        <v>18706</v>
      </c>
      <c r="AC85" s="117">
        <v>18790</v>
      </c>
      <c r="AD85" s="117">
        <v>44308</v>
      </c>
      <c r="AE85" s="117">
        <v>45726</v>
      </c>
      <c r="AF85"/>
      <c r="AG85"/>
    </row>
    <row r="86" spans="1:33" ht="13.2" x14ac:dyDescent="0.25">
      <c r="A86" s="117" t="s">
        <v>601</v>
      </c>
      <c r="B86" s="117" t="s">
        <v>222</v>
      </c>
      <c r="C86" s="117">
        <f t="shared" si="4"/>
        <v>3654</v>
      </c>
      <c r="D86" s="117">
        <f t="shared" si="5"/>
        <v>4242.75</v>
      </c>
      <c r="E86" s="225">
        <f t="shared" si="6"/>
        <v>3872052.59</v>
      </c>
      <c r="F86" s="117">
        <f t="shared" si="7"/>
        <v>6775775.294999999</v>
      </c>
      <c r="G86" s="117">
        <v>558</v>
      </c>
      <c r="H86" s="117">
        <v>559</v>
      </c>
      <c r="I86" s="117">
        <v>9770</v>
      </c>
      <c r="J86" s="117">
        <v>10398</v>
      </c>
      <c r="K86" s="117">
        <v>6668</v>
      </c>
      <c r="L86" s="117">
        <v>18037</v>
      </c>
      <c r="M86" s="117">
        <v>1760</v>
      </c>
      <c r="N86" s="117">
        <v>6483</v>
      </c>
      <c r="O86" s="117">
        <v>6630</v>
      </c>
      <c r="P86" s="117">
        <v>8645</v>
      </c>
      <c r="Q86" s="117">
        <v>4226</v>
      </c>
      <c r="R86" s="117">
        <v>4773</v>
      </c>
      <c r="S86" s="117">
        <v>4227</v>
      </c>
      <c r="T86" s="117">
        <v>6768</v>
      </c>
      <c r="U86" s="117">
        <v>6085</v>
      </c>
      <c r="V86" s="117">
        <v>6988</v>
      </c>
      <c r="W86" s="117">
        <v>2797</v>
      </c>
      <c r="X86" s="117">
        <v>2656</v>
      </c>
      <c r="Y86" s="117">
        <v>1507</v>
      </c>
      <c r="Z86" s="117">
        <v>559</v>
      </c>
      <c r="AA86" s="117">
        <v>25399</v>
      </c>
      <c r="AB86" s="117">
        <v>25446</v>
      </c>
      <c r="AC86" s="117">
        <v>25339</v>
      </c>
      <c r="AD86" s="117">
        <v>57703</v>
      </c>
      <c r="AE86" s="117">
        <v>53754</v>
      </c>
      <c r="AF86"/>
      <c r="AG86"/>
    </row>
    <row r="87" spans="1:33" ht="13.2" x14ac:dyDescent="0.25">
      <c r="A87" s="117" t="s">
        <v>608</v>
      </c>
      <c r="B87" s="117" t="s">
        <v>465</v>
      </c>
      <c r="C87" s="117">
        <f t="shared" si="4"/>
        <v>2107.75</v>
      </c>
      <c r="D87" s="117">
        <f t="shared" si="5"/>
        <v>2062.25</v>
      </c>
      <c r="E87" s="225">
        <f t="shared" si="6"/>
        <v>4835825.26</v>
      </c>
      <c r="F87" s="117">
        <f t="shared" si="7"/>
        <v>8462298.629999999</v>
      </c>
      <c r="G87" s="117">
        <v>503</v>
      </c>
      <c r="H87" s="117">
        <v>224</v>
      </c>
      <c r="I87" s="117">
        <v>6123</v>
      </c>
      <c r="J87" s="117">
        <v>4640</v>
      </c>
      <c r="K87" s="117">
        <v>4432</v>
      </c>
      <c r="L87" s="117">
        <v>4514</v>
      </c>
      <c r="M87" s="117">
        <v>37775</v>
      </c>
      <c r="N87" s="117">
        <v>35837</v>
      </c>
      <c r="O87" s="117">
        <v>3093</v>
      </c>
      <c r="P87" s="117">
        <v>3364</v>
      </c>
      <c r="Q87" s="117">
        <v>6637</v>
      </c>
      <c r="R87" s="117">
        <v>7321</v>
      </c>
      <c r="S87" s="117">
        <v>4715</v>
      </c>
      <c r="T87" s="117">
        <v>5194</v>
      </c>
      <c r="U87" s="117">
        <v>3552</v>
      </c>
      <c r="V87" s="117">
        <v>2734</v>
      </c>
      <c r="W87" s="117">
        <v>164</v>
      </c>
      <c r="X87" s="117">
        <v>97</v>
      </c>
      <c r="Y87" s="117">
        <v>0</v>
      </c>
      <c r="Z87" s="117">
        <v>224</v>
      </c>
      <c r="AA87" s="117">
        <v>31826</v>
      </c>
      <c r="AB87" s="117">
        <v>31757</v>
      </c>
      <c r="AC87" s="117">
        <v>31646</v>
      </c>
      <c r="AD87" s="117">
        <v>84066</v>
      </c>
      <c r="AE87" s="117">
        <v>77523</v>
      </c>
      <c r="AF87"/>
      <c r="AG87"/>
    </row>
    <row r="88" spans="1:33" ht="11.25" customHeight="1" x14ac:dyDescent="0.25">
      <c r="A88" s="117" t="s">
        <v>600</v>
      </c>
      <c r="B88" s="117" t="s">
        <v>299</v>
      </c>
      <c r="C88" s="117">
        <f t="shared" si="4"/>
        <v>10661</v>
      </c>
      <c r="D88" s="117">
        <f t="shared" si="5"/>
        <v>9031.75</v>
      </c>
      <c r="E88" s="225">
        <f t="shared" si="6"/>
        <v>5515524.1399999997</v>
      </c>
      <c r="F88" s="117">
        <f t="shared" si="7"/>
        <v>9651716.0699999984</v>
      </c>
      <c r="G88" s="117">
        <v>11393</v>
      </c>
      <c r="H88" s="117">
        <v>9941</v>
      </c>
      <c r="I88" s="117">
        <v>7379</v>
      </c>
      <c r="J88" s="117">
        <v>5058</v>
      </c>
      <c r="K88" s="117">
        <v>65847</v>
      </c>
      <c r="L88" s="117">
        <v>64384</v>
      </c>
      <c r="M88" s="117">
        <v>22242</v>
      </c>
      <c r="N88" s="117">
        <v>22545</v>
      </c>
      <c r="O88" s="117">
        <v>2666</v>
      </c>
      <c r="P88" s="117">
        <v>3242</v>
      </c>
      <c r="Q88" s="117">
        <v>5747</v>
      </c>
      <c r="R88" s="117">
        <v>6126</v>
      </c>
      <c r="S88" s="117">
        <v>4803</v>
      </c>
      <c r="T88" s="117">
        <v>7901</v>
      </c>
      <c r="U88" s="117">
        <v>7584</v>
      </c>
      <c r="V88" s="117">
        <v>7621</v>
      </c>
      <c r="W88" s="117">
        <v>15919</v>
      </c>
      <c r="X88" s="117">
        <v>10664</v>
      </c>
      <c r="Y88" s="117">
        <v>14338</v>
      </c>
      <c r="Z88" s="117">
        <v>9941</v>
      </c>
      <c r="AA88" s="117">
        <v>35802</v>
      </c>
      <c r="AB88" s="117">
        <v>35956</v>
      </c>
      <c r="AC88" s="117">
        <v>36094</v>
      </c>
      <c r="AD88" s="117">
        <v>79587</v>
      </c>
      <c r="AE88" s="117">
        <v>75572</v>
      </c>
      <c r="AF88"/>
      <c r="AG88"/>
    </row>
    <row r="89" spans="1:33" ht="13.2" x14ac:dyDescent="0.25">
      <c r="A89" s="117" t="s">
        <v>601</v>
      </c>
      <c r="B89" s="117" t="s">
        <v>223</v>
      </c>
      <c r="C89" s="117">
        <f t="shared" si="4"/>
        <v>49596.5</v>
      </c>
      <c r="D89" s="117">
        <f t="shared" si="5"/>
        <v>51113</v>
      </c>
      <c r="E89" s="225">
        <f t="shared" si="6"/>
        <v>17685006.920000002</v>
      </c>
      <c r="F89" s="117">
        <f t="shared" si="7"/>
        <v>30947315.459999997</v>
      </c>
      <c r="G89" s="117">
        <v>4856</v>
      </c>
      <c r="H89" s="117">
        <v>46911</v>
      </c>
      <c r="I89" s="117">
        <v>36924</v>
      </c>
      <c r="J89" s="117">
        <v>51163</v>
      </c>
      <c r="K89" s="117">
        <v>66741</v>
      </c>
      <c r="L89" s="117">
        <v>81433</v>
      </c>
      <c r="M89" s="117">
        <v>25486</v>
      </c>
      <c r="N89" s="117">
        <v>45634</v>
      </c>
      <c r="O89" s="117">
        <v>40192</v>
      </c>
      <c r="P89" s="117">
        <v>32626</v>
      </c>
      <c r="Q89" s="117">
        <v>59958</v>
      </c>
      <c r="R89" s="117">
        <v>70333</v>
      </c>
      <c r="S89" s="117">
        <v>51574</v>
      </c>
      <c r="T89" s="117">
        <v>52951</v>
      </c>
      <c r="U89" s="117">
        <v>33746</v>
      </c>
      <c r="V89" s="117">
        <v>37721</v>
      </c>
      <c r="W89" s="117">
        <v>66696</v>
      </c>
      <c r="X89" s="117">
        <v>66869</v>
      </c>
      <c r="Y89" s="117">
        <v>46370</v>
      </c>
      <c r="Z89" s="117">
        <v>46911</v>
      </c>
      <c r="AA89" s="117">
        <v>113448</v>
      </c>
      <c r="AB89" s="117">
        <v>114620</v>
      </c>
      <c r="AC89" s="117">
        <v>115732</v>
      </c>
      <c r="AD89" s="117">
        <v>225842</v>
      </c>
      <c r="AE89" s="117">
        <v>230020</v>
      </c>
      <c r="AF89"/>
      <c r="AG89"/>
    </row>
    <row r="90" spans="1:33" ht="13.2" x14ac:dyDescent="0.25">
      <c r="A90" s="117" t="s">
        <v>606</v>
      </c>
      <c r="B90" s="117" t="s">
        <v>268</v>
      </c>
      <c r="C90" s="117">
        <f t="shared" si="4"/>
        <v>1390.75</v>
      </c>
      <c r="D90" s="117">
        <f t="shared" si="5"/>
        <v>1116.75</v>
      </c>
      <c r="E90" s="225">
        <f t="shared" si="6"/>
        <v>1393168.77</v>
      </c>
      <c r="F90" s="117">
        <f t="shared" si="7"/>
        <v>2437931.3849999998</v>
      </c>
      <c r="G90" s="117">
        <v>545</v>
      </c>
      <c r="H90" s="117">
        <v>199</v>
      </c>
      <c r="I90" s="117">
        <v>2902</v>
      </c>
      <c r="J90" s="117">
        <v>2962</v>
      </c>
      <c r="K90" s="117">
        <v>1540</v>
      </c>
      <c r="L90" s="117">
        <v>1591</v>
      </c>
      <c r="M90" s="117">
        <v>3203</v>
      </c>
      <c r="N90" s="117">
        <v>3277</v>
      </c>
      <c r="O90" s="117">
        <v>5419</v>
      </c>
      <c r="P90" s="117">
        <v>5810</v>
      </c>
      <c r="Q90" s="117">
        <v>16512</v>
      </c>
      <c r="R90" s="117">
        <v>14084</v>
      </c>
      <c r="S90" s="117">
        <v>2580</v>
      </c>
      <c r="T90" s="117">
        <v>2527</v>
      </c>
      <c r="U90" s="117">
        <v>1476</v>
      </c>
      <c r="V90" s="117">
        <v>1510</v>
      </c>
      <c r="W90" s="117">
        <v>878</v>
      </c>
      <c r="X90" s="117">
        <v>231</v>
      </c>
      <c r="Y90" s="117">
        <v>629</v>
      </c>
      <c r="Z90" s="117">
        <v>199</v>
      </c>
      <c r="AA90" s="117">
        <v>9000</v>
      </c>
      <c r="AB90" s="117">
        <v>9111</v>
      </c>
      <c r="AC90" s="117">
        <v>9117</v>
      </c>
      <c r="AD90" s="117">
        <v>17353</v>
      </c>
      <c r="AE90" s="117">
        <v>15997</v>
      </c>
      <c r="AF90"/>
      <c r="AG90"/>
    </row>
    <row r="91" spans="1:33" ht="13.2" x14ac:dyDescent="0.25">
      <c r="A91" s="117" t="s">
        <v>599</v>
      </c>
      <c r="B91" s="117" t="s">
        <v>420</v>
      </c>
      <c r="C91" s="117">
        <f t="shared" si="4"/>
        <v>7013.5</v>
      </c>
      <c r="D91" s="117">
        <f t="shared" si="5"/>
        <v>6087.5</v>
      </c>
      <c r="E91" s="225">
        <f t="shared" si="6"/>
        <v>2920351.91</v>
      </c>
      <c r="F91" s="117">
        <f t="shared" si="7"/>
        <v>5110376.9549999991</v>
      </c>
      <c r="G91" s="117">
        <v>3196</v>
      </c>
      <c r="H91" s="117">
        <v>2147</v>
      </c>
      <c r="I91" s="117">
        <v>233</v>
      </c>
      <c r="J91" s="117">
        <v>30</v>
      </c>
      <c r="K91" s="117">
        <v>11629</v>
      </c>
      <c r="L91" s="117">
        <v>11356</v>
      </c>
      <c r="M91" s="117">
        <v>41</v>
      </c>
      <c r="N91" s="117">
        <v>572</v>
      </c>
      <c r="O91" s="117">
        <v>5278</v>
      </c>
      <c r="P91" s="117">
        <v>6804</v>
      </c>
      <c r="Q91" s="117">
        <v>6790</v>
      </c>
      <c r="R91" s="117">
        <v>7359</v>
      </c>
      <c r="S91" s="117">
        <v>5614</v>
      </c>
      <c r="T91" s="117">
        <v>5644</v>
      </c>
      <c r="U91" s="117">
        <v>7419</v>
      </c>
      <c r="V91" s="117">
        <v>7535</v>
      </c>
      <c r="W91" s="117">
        <v>9202</v>
      </c>
      <c r="X91" s="117">
        <v>9024</v>
      </c>
      <c r="Y91" s="117">
        <v>5819</v>
      </c>
      <c r="Z91" s="117">
        <v>2147</v>
      </c>
      <c r="AA91" s="117">
        <v>18554</v>
      </c>
      <c r="AB91" s="117">
        <v>18774</v>
      </c>
      <c r="AC91" s="117">
        <v>19111</v>
      </c>
      <c r="AD91" s="117">
        <v>44283</v>
      </c>
      <c r="AE91" s="117">
        <v>42810</v>
      </c>
      <c r="AF91"/>
      <c r="AG91"/>
    </row>
    <row r="92" spans="1:33" ht="13.2" x14ac:dyDescent="0.25">
      <c r="A92" s="117" t="s">
        <v>608</v>
      </c>
      <c r="B92" s="117" t="s">
        <v>466</v>
      </c>
      <c r="C92" s="117">
        <f t="shared" si="4"/>
        <v>2383.5</v>
      </c>
      <c r="D92" s="117">
        <f t="shared" si="5"/>
        <v>2936</v>
      </c>
      <c r="E92" s="225">
        <f t="shared" si="6"/>
        <v>3920187.74</v>
      </c>
      <c r="F92" s="117">
        <f t="shared" si="7"/>
        <v>6860007.8699999992</v>
      </c>
      <c r="G92" s="117">
        <v>1466</v>
      </c>
      <c r="H92" s="117">
        <v>1135</v>
      </c>
      <c r="I92" s="117">
        <v>4155</v>
      </c>
      <c r="J92" s="117">
        <v>9964</v>
      </c>
      <c r="K92" s="117">
        <v>2337</v>
      </c>
      <c r="L92" s="117">
        <v>2395</v>
      </c>
      <c r="M92" s="117">
        <v>4333</v>
      </c>
      <c r="N92" s="117">
        <v>5009</v>
      </c>
      <c r="O92" s="117">
        <v>5873</v>
      </c>
      <c r="P92" s="117">
        <v>5984</v>
      </c>
      <c r="Q92" s="117">
        <v>5744</v>
      </c>
      <c r="R92" s="117">
        <v>5639</v>
      </c>
      <c r="S92" s="117">
        <v>2810</v>
      </c>
      <c r="T92" s="117">
        <v>5479</v>
      </c>
      <c r="U92" s="117">
        <v>2600</v>
      </c>
      <c r="V92" s="117">
        <v>2784</v>
      </c>
      <c r="W92" s="117">
        <v>3165</v>
      </c>
      <c r="X92" s="117">
        <v>2346</v>
      </c>
      <c r="Y92" s="117">
        <v>959</v>
      </c>
      <c r="Z92" s="117">
        <v>1135</v>
      </c>
      <c r="AA92" s="117">
        <v>25297</v>
      </c>
      <c r="AB92" s="117">
        <v>25563</v>
      </c>
      <c r="AC92" s="117">
        <v>25654</v>
      </c>
      <c r="AD92" s="117">
        <v>62464</v>
      </c>
      <c r="AE92" s="117">
        <v>62122</v>
      </c>
      <c r="AF92"/>
      <c r="AG92"/>
    </row>
    <row r="93" spans="1:33" ht="13.2" x14ac:dyDescent="0.25">
      <c r="A93" s="117" t="s">
        <v>599</v>
      </c>
      <c r="B93" s="117" t="s">
        <v>421</v>
      </c>
      <c r="C93" s="117">
        <f t="shared" si="4"/>
        <v>54283.5</v>
      </c>
      <c r="D93" s="117">
        <f t="shared" si="5"/>
        <v>51723.75</v>
      </c>
      <c r="E93" s="225">
        <f t="shared" si="6"/>
        <v>35370777.890000001</v>
      </c>
      <c r="F93" s="117">
        <f t="shared" si="7"/>
        <v>61895967.944999993</v>
      </c>
      <c r="G93" s="117">
        <v>54585</v>
      </c>
      <c r="H93" s="117">
        <v>53941</v>
      </c>
      <c r="I93" s="117">
        <v>89424</v>
      </c>
      <c r="J93" s="117">
        <v>86852</v>
      </c>
      <c r="K93" s="117">
        <v>40715</v>
      </c>
      <c r="L93" s="117">
        <v>40495</v>
      </c>
      <c r="M93" s="117">
        <v>88428</v>
      </c>
      <c r="N93" s="117">
        <v>63759</v>
      </c>
      <c r="O93" s="117">
        <v>-65471</v>
      </c>
      <c r="P93" s="117">
        <v>63013</v>
      </c>
      <c r="Q93" s="117">
        <v>39675</v>
      </c>
      <c r="R93" s="117">
        <v>45818</v>
      </c>
      <c r="S93" s="117">
        <v>59232</v>
      </c>
      <c r="T93" s="117">
        <v>59044</v>
      </c>
      <c r="U93" s="117">
        <v>45103</v>
      </c>
      <c r="V93" s="117">
        <v>47547</v>
      </c>
      <c r="W93" s="117">
        <v>63741</v>
      </c>
      <c r="X93" s="117">
        <v>46363</v>
      </c>
      <c r="Y93" s="117">
        <v>49058</v>
      </c>
      <c r="Z93" s="117">
        <v>53941</v>
      </c>
      <c r="AA93" s="117">
        <v>226879</v>
      </c>
      <c r="AB93" s="117">
        <v>229184</v>
      </c>
      <c r="AC93" s="117">
        <v>231469</v>
      </c>
      <c r="AD93" s="117">
        <v>602344</v>
      </c>
      <c r="AE93" s="117">
        <v>606952</v>
      </c>
      <c r="AF93"/>
      <c r="AG93"/>
    </row>
    <row r="94" spans="1:33" ht="13.2" x14ac:dyDescent="0.25">
      <c r="A94" s="117" t="s">
        <v>601</v>
      </c>
      <c r="B94" s="117" t="s">
        <v>224</v>
      </c>
      <c r="C94" s="117">
        <f t="shared" si="4"/>
        <v>2194</v>
      </c>
      <c r="D94" s="117">
        <f t="shared" si="5"/>
        <v>1943.25</v>
      </c>
      <c r="E94" s="225">
        <f t="shared" si="6"/>
        <v>3527924.47</v>
      </c>
      <c r="F94" s="117">
        <f t="shared" si="7"/>
        <v>6173579.2349999994</v>
      </c>
      <c r="G94" s="117">
        <v>325</v>
      </c>
      <c r="H94" s="117">
        <v>335</v>
      </c>
      <c r="I94" s="117">
        <v>6837</v>
      </c>
      <c r="J94" s="117">
        <v>7358</v>
      </c>
      <c r="K94" s="117">
        <v>6540</v>
      </c>
      <c r="L94" s="117">
        <v>9207</v>
      </c>
      <c r="M94" s="117">
        <v>2757</v>
      </c>
      <c r="N94" s="117">
        <v>3306</v>
      </c>
      <c r="O94" s="117">
        <v>1818</v>
      </c>
      <c r="P94" s="117">
        <v>2109</v>
      </c>
      <c r="Q94" s="117">
        <v>2742</v>
      </c>
      <c r="R94" s="117">
        <v>3206</v>
      </c>
      <c r="S94" s="117">
        <v>2882</v>
      </c>
      <c r="T94" s="117">
        <v>2979</v>
      </c>
      <c r="U94" s="117">
        <v>1977</v>
      </c>
      <c r="V94" s="117">
        <v>1648</v>
      </c>
      <c r="W94" s="117">
        <v>3534</v>
      </c>
      <c r="X94" s="117">
        <v>2811</v>
      </c>
      <c r="Y94" s="117">
        <v>383</v>
      </c>
      <c r="Z94" s="117">
        <v>335</v>
      </c>
      <c r="AA94" s="117">
        <v>23029</v>
      </c>
      <c r="AB94" s="117">
        <v>23111</v>
      </c>
      <c r="AC94" s="117">
        <v>23087</v>
      </c>
      <c r="AD94" s="117">
        <v>57389</v>
      </c>
      <c r="AE94" s="117">
        <v>56727</v>
      </c>
      <c r="AF94"/>
      <c r="AG94"/>
    </row>
    <row r="95" spans="1:33" ht="13.2" x14ac:dyDescent="0.25">
      <c r="A95" s="117" t="s">
        <v>598</v>
      </c>
      <c r="B95" s="117" t="s">
        <v>133</v>
      </c>
      <c r="C95" s="117">
        <f t="shared" si="4"/>
        <v>16908.75</v>
      </c>
      <c r="D95" s="117">
        <f t="shared" si="5"/>
        <v>18486.5</v>
      </c>
      <c r="E95" s="225">
        <f t="shared" si="6"/>
        <v>16367631.91</v>
      </c>
      <c r="F95" s="117">
        <f t="shared" si="7"/>
        <v>28642016.954999998</v>
      </c>
      <c r="G95" s="117">
        <v>7114</v>
      </c>
      <c r="H95" s="117">
        <v>7299</v>
      </c>
      <c r="I95" s="117">
        <v>32553</v>
      </c>
      <c r="J95" s="117">
        <v>32358</v>
      </c>
      <c r="K95" s="117">
        <v>53917</v>
      </c>
      <c r="L95" s="117">
        <v>65894</v>
      </c>
      <c r="M95" s="117">
        <v>37994</v>
      </c>
      <c r="N95" s="117">
        <v>40393</v>
      </c>
      <c r="O95" s="117">
        <v>36831</v>
      </c>
      <c r="P95" s="117">
        <v>52604</v>
      </c>
      <c r="Q95" s="117">
        <v>35195</v>
      </c>
      <c r="R95" s="117">
        <v>41095</v>
      </c>
      <c r="S95" s="117">
        <v>23825</v>
      </c>
      <c r="T95" s="117">
        <v>26922</v>
      </c>
      <c r="U95" s="117">
        <v>10150</v>
      </c>
      <c r="V95" s="117">
        <v>15371</v>
      </c>
      <c r="W95" s="117">
        <v>26426</v>
      </c>
      <c r="X95" s="117">
        <v>24354</v>
      </c>
      <c r="Y95" s="117">
        <v>7234</v>
      </c>
      <c r="Z95" s="117">
        <v>7299</v>
      </c>
      <c r="AA95" s="117">
        <v>107508</v>
      </c>
      <c r="AB95" s="117">
        <v>107216</v>
      </c>
      <c r="AC95" s="117">
        <v>107111</v>
      </c>
      <c r="AD95" s="117">
        <v>388490</v>
      </c>
      <c r="AE95" s="117">
        <v>417881</v>
      </c>
      <c r="AF95"/>
      <c r="AG95"/>
    </row>
    <row r="96" spans="1:33" ht="13.2" x14ac:dyDescent="0.25">
      <c r="A96" s="117" t="s">
        <v>600</v>
      </c>
      <c r="B96" s="117" t="s">
        <v>300</v>
      </c>
      <c r="C96" s="117">
        <f t="shared" si="4"/>
        <v>178.5</v>
      </c>
      <c r="D96" s="117">
        <f t="shared" si="5"/>
        <v>191.5</v>
      </c>
      <c r="E96" s="225">
        <f t="shared" si="6"/>
        <v>2828513.1</v>
      </c>
      <c r="F96" s="117">
        <f t="shared" si="7"/>
        <v>4949666.55</v>
      </c>
      <c r="G96" s="117">
        <v>0</v>
      </c>
      <c r="H96" s="117">
        <v>84</v>
      </c>
      <c r="I96" s="117">
        <v>1415</v>
      </c>
      <c r="J96" s="117">
        <v>1206</v>
      </c>
      <c r="K96" s="117">
        <v>1524</v>
      </c>
      <c r="L96" s="117">
        <v>1870</v>
      </c>
      <c r="M96" s="117">
        <v>2358</v>
      </c>
      <c r="N96" s="117">
        <v>1845</v>
      </c>
      <c r="O96" s="117">
        <v>809</v>
      </c>
      <c r="P96" s="117">
        <v>1128</v>
      </c>
      <c r="Q96" s="117">
        <v>737</v>
      </c>
      <c r="R96" s="117">
        <v>764</v>
      </c>
      <c r="S96" s="117">
        <v>447</v>
      </c>
      <c r="T96" s="117">
        <v>410</v>
      </c>
      <c r="U96" s="117">
        <v>251</v>
      </c>
      <c r="V96" s="117">
        <v>251</v>
      </c>
      <c r="W96" s="117">
        <v>16</v>
      </c>
      <c r="X96" s="117">
        <v>21</v>
      </c>
      <c r="Y96" s="117">
        <v>0</v>
      </c>
      <c r="Z96" s="117">
        <v>84</v>
      </c>
      <c r="AA96" s="117">
        <v>18474</v>
      </c>
      <c r="AB96" s="117">
        <v>18475</v>
      </c>
      <c r="AC96" s="117">
        <v>18510</v>
      </c>
      <c r="AD96" s="117">
        <v>41950</v>
      </c>
      <c r="AE96" s="117">
        <v>42984</v>
      </c>
      <c r="AF96"/>
      <c r="AG96"/>
    </row>
    <row r="97" spans="1:33" ht="13.2" x14ac:dyDescent="0.25">
      <c r="A97" s="117" t="s">
        <v>604</v>
      </c>
      <c r="B97" s="117" t="s">
        <v>190</v>
      </c>
      <c r="C97" s="117">
        <f t="shared" si="4"/>
        <v>53071.25</v>
      </c>
      <c r="D97" s="117">
        <f t="shared" si="5"/>
        <v>61647.5</v>
      </c>
      <c r="E97" s="225">
        <f t="shared" si="6"/>
        <v>24290830.41</v>
      </c>
      <c r="F97" s="117">
        <f t="shared" si="7"/>
        <v>42506966.204999998</v>
      </c>
      <c r="G97" s="117">
        <v>18827</v>
      </c>
      <c r="H97" s="117">
        <v>20556</v>
      </c>
      <c r="I97" s="117">
        <v>68081</v>
      </c>
      <c r="J97" s="117">
        <v>82831</v>
      </c>
      <c r="K97" s="117">
        <v>52336</v>
      </c>
      <c r="L97" s="117">
        <v>72605</v>
      </c>
      <c r="M97" s="117">
        <v>51379</v>
      </c>
      <c r="N97" s="117">
        <v>111169</v>
      </c>
      <c r="O97" s="117">
        <v>64629</v>
      </c>
      <c r="P97" s="117">
        <v>63083</v>
      </c>
      <c r="Q97" s="117">
        <v>44383</v>
      </c>
      <c r="R97" s="117">
        <v>55458</v>
      </c>
      <c r="S97" s="117">
        <v>136626</v>
      </c>
      <c r="T97" s="117">
        <v>144096</v>
      </c>
      <c r="U97" s="117">
        <v>29100</v>
      </c>
      <c r="V97" s="117">
        <v>53145</v>
      </c>
      <c r="W97" s="117">
        <v>28729</v>
      </c>
      <c r="X97" s="117">
        <v>28793</v>
      </c>
      <c r="Y97" s="117">
        <v>17830</v>
      </c>
      <c r="Z97" s="117">
        <v>20556</v>
      </c>
      <c r="AA97" s="117">
        <v>158142</v>
      </c>
      <c r="AB97" s="117">
        <v>158276</v>
      </c>
      <c r="AC97" s="117">
        <v>158961</v>
      </c>
      <c r="AD97" s="117">
        <v>514799</v>
      </c>
      <c r="AE97" s="117">
        <v>558443</v>
      </c>
      <c r="AF97"/>
      <c r="AG97"/>
    </row>
    <row r="98" spans="1:33" ht="13.2" x14ac:dyDescent="0.25">
      <c r="A98" s="117" t="s">
        <v>601</v>
      </c>
      <c r="B98" s="117" t="s">
        <v>225</v>
      </c>
      <c r="C98" s="117">
        <f t="shared" si="4"/>
        <v>2840.5</v>
      </c>
      <c r="D98" s="117">
        <f t="shared" si="5"/>
        <v>1675.25</v>
      </c>
      <c r="E98" s="225">
        <f t="shared" si="6"/>
        <v>5065804.3100000005</v>
      </c>
      <c r="F98" s="117">
        <f t="shared" si="7"/>
        <v>8864743.1549999993</v>
      </c>
      <c r="G98" s="117">
        <v>1298</v>
      </c>
      <c r="H98" s="117">
        <v>1258</v>
      </c>
      <c r="I98" s="117">
        <v>2956</v>
      </c>
      <c r="J98" s="117">
        <v>6992</v>
      </c>
      <c r="K98" s="117">
        <v>2987</v>
      </c>
      <c r="L98" s="117">
        <v>3303</v>
      </c>
      <c r="M98" s="117">
        <v>5731</v>
      </c>
      <c r="N98" s="117">
        <v>6398</v>
      </c>
      <c r="O98" s="117">
        <v>2281</v>
      </c>
      <c r="P98" s="117">
        <v>2035</v>
      </c>
      <c r="Q98" s="117">
        <v>2234</v>
      </c>
      <c r="R98" s="117">
        <v>1693</v>
      </c>
      <c r="S98" s="117">
        <v>4315</v>
      </c>
      <c r="T98" s="117">
        <v>1409</v>
      </c>
      <c r="U98" s="117">
        <v>2264</v>
      </c>
      <c r="V98" s="117">
        <v>2425</v>
      </c>
      <c r="W98" s="117">
        <v>3303</v>
      </c>
      <c r="X98" s="117">
        <v>1609</v>
      </c>
      <c r="Y98" s="117">
        <v>1480</v>
      </c>
      <c r="Z98" s="117">
        <v>1258</v>
      </c>
      <c r="AA98" s="117">
        <v>32543</v>
      </c>
      <c r="AB98" s="117">
        <v>32852</v>
      </c>
      <c r="AC98" s="117">
        <v>33151</v>
      </c>
      <c r="AD98" s="117">
        <v>51599</v>
      </c>
      <c r="AE98" s="117">
        <v>51468</v>
      </c>
      <c r="AF98"/>
      <c r="AG98"/>
    </row>
    <row r="99" spans="1:33" ht="13.2" x14ac:dyDescent="0.25">
      <c r="A99" s="117" t="s">
        <v>601</v>
      </c>
      <c r="B99" s="117" t="s">
        <v>226</v>
      </c>
      <c r="C99" s="117">
        <f t="shared" si="4"/>
        <v>1293.75</v>
      </c>
      <c r="D99" s="117">
        <f t="shared" si="5"/>
        <v>1101.5</v>
      </c>
      <c r="E99" s="225">
        <f t="shared" si="6"/>
        <v>4103712.5500000003</v>
      </c>
      <c r="F99" s="117">
        <f t="shared" si="7"/>
        <v>7181161.2749999994</v>
      </c>
      <c r="G99" s="117">
        <v>136</v>
      </c>
      <c r="H99" s="117">
        <v>149</v>
      </c>
      <c r="I99" s="117">
        <v>6888</v>
      </c>
      <c r="J99" s="117">
        <v>5064</v>
      </c>
      <c r="K99" s="117">
        <v>2500</v>
      </c>
      <c r="L99" s="117">
        <v>2179</v>
      </c>
      <c r="M99" s="117">
        <v>2434</v>
      </c>
      <c r="N99" s="117">
        <v>2103</v>
      </c>
      <c r="O99" s="117">
        <v>5331</v>
      </c>
      <c r="P99" s="117">
        <v>4980</v>
      </c>
      <c r="Q99" s="117">
        <v>1896</v>
      </c>
      <c r="R99" s="117">
        <v>1446</v>
      </c>
      <c r="S99" s="117">
        <v>1723</v>
      </c>
      <c r="T99" s="117">
        <v>1350</v>
      </c>
      <c r="U99" s="117">
        <v>2237</v>
      </c>
      <c r="V99" s="117">
        <v>2183</v>
      </c>
      <c r="W99" s="117">
        <v>862</v>
      </c>
      <c r="X99" s="117">
        <v>724</v>
      </c>
      <c r="Y99" s="117">
        <v>353</v>
      </c>
      <c r="Z99" s="117">
        <v>149</v>
      </c>
      <c r="AA99" s="117">
        <v>26596</v>
      </c>
      <c r="AB99" s="117">
        <v>26798</v>
      </c>
      <c r="AC99" s="117">
        <v>26855</v>
      </c>
      <c r="AD99" s="117">
        <v>33645</v>
      </c>
      <c r="AE99" s="117">
        <v>34876</v>
      </c>
      <c r="AF99"/>
      <c r="AG99"/>
    </row>
    <row r="100" spans="1:33" ht="13.2" x14ac:dyDescent="0.25">
      <c r="A100" s="117" t="s">
        <v>599</v>
      </c>
      <c r="B100" s="117" t="s">
        <v>422</v>
      </c>
      <c r="C100" s="117">
        <f t="shared" si="4"/>
        <v>14575.75</v>
      </c>
      <c r="D100" s="117">
        <f t="shared" si="5"/>
        <v>14806.75</v>
      </c>
      <c r="E100" s="225">
        <f t="shared" si="6"/>
        <v>6690938.6600000001</v>
      </c>
      <c r="F100" s="117">
        <f t="shared" si="7"/>
        <v>11708595.329999998</v>
      </c>
      <c r="G100" s="117">
        <v>7959</v>
      </c>
      <c r="H100" s="117">
        <v>5648</v>
      </c>
      <c r="I100" s="117">
        <v>27820</v>
      </c>
      <c r="J100" s="117">
        <v>26227</v>
      </c>
      <c r="K100" s="117">
        <v>45615</v>
      </c>
      <c r="L100" s="117">
        <v>46198</v>
      </c>
      <c r="M100" s="117">
        <v>18962</v>
      </c>
      <c r="N100" s="117">
        <v>20618</v>
      </c>
      <c r="O100" s="117">
        <v>8105</v>
      </c>
      <c r="P100" s="117">
        <v>10232</v>
      </c>
      <c r="Q100" s="117">
        <v>10454</v>
      </c>
      <c r="R100" s="117">
        <v>14078</v>
      </c>
      <c r="S100" s="117">
        <v>16322</v>
      </c>
      <c r="T100" s="117">
        <v>17000</v>
      </c>
      <c r="U100" s="117">
        <v>19614</v>
      </c>
      <c r="V100" s="117">
        <v>20345</v>
      </c>
      <c r="W100" s="117">
        <v>15045</v>
      </c>
      <c r="X100" s="117">
        <v>16234</v>
      </c>
      <c r="Y100" s="117">
        <v>7322</v>
      </c>
      <c r="Z100" s="117">
        <v>5648</v>
      </c>
      <c r="AA100" s="117">
        <v>43032</v>
      </c>
      <c r="AB100" s="117">
        <v>43528</v>
      </c>
      <c r="AC100" s="117">
        <v>43786</v>
      </c>
      <c r="AD100" s="117">
        <v>98746</v>
      </c>
      <c r="AE100" s="117">
        <v>105010</v>
      </c>
      <c r="AF100"/>
      <c r="AG100"/>
    </row>
    <row r="101" spans="1:33" ht="13.2" x14ac:dyDescent="0.25">
      <c r="A101" s="117" t="s">
        <v>599</v>
      </c>
      <c r="B101" s="117" t="s">
        <v>423</v>
      </c>
      <c r="C101" s="117">
        <f t="shared" si="4"/>
        <v>1244.75</v>
      </c>
      <c r="D101" s="117">
        <f t="shared" si="5"/>
        <v>1203</v>
      </c>
      <c r="E101" s="225">
        <f t="shared" si="6"/>
        <v>3287707.15</v>
      </c>
      <c r="F101" s="117">
        <f t="shared" si="7"/>
        <v>5753218.5749999993</v>
      </c>
      <c r="G101" s="117">
        <v>78</v>
      </c>
      <c r="H101" s="117">
        <v>95</v>
      </c>
      <c r="I101" s="117">
        <v>4062</v>
      </c>
      <c r="J101" s="117">
        <v>3288</v>
      </c>
      <c r="K101" s="117">
        <v>1221</v>
      </c>
      <c r="L101" s="117">
        <v>763</v>
      </c>
      <c r="M101" s="117">
        <v>145</v>
      </c>
      <c r="N101" s="117">
        <v>374</v>
      </c>
      <c r="O101" s="117">
        <v>2770</v>
      </c>
      <c r="P101" s="117">
        <v>2712</v>
      </c>
      <c r="Q101" s="117">
        <v>486</v>
      </c>
      <c r="R101" s="117">
        <v>541</v>
      </c>
      <c r="S101" s="117">
        <v>3781</v>
      </c>
      <c r="T101" s="117">
        <v>3460</v>
      </c>
      <c r="U101" s="117">
        <v>885</v>
      </c>
      <c r="V101" s="117">
        <v>827</v>
      </c>
      <c r="W101" s="117">
        <v>280</v>
      </c>
      <c r="X101" s="117">
        <v>430</v>
      </c>
      <c r="Y101" s="117">
        <v>33</v>
      </c>
      <c r="Z101" s="117">
        <v>95</v>
      </c>
      <c r="AA101" s="117">
        <v>21502</v>
      </c>
      <c r="AB101" s="117">
        <v>21529</v>
      </c>
      <c r="AC101" s="117">
        <v>21515</v>
      </c>
      <c r="AD101" s="117">
        <v>39272</v>
      </c>
      <c r="AE101" s="117">
        <v>40395</v>
      </c>
      <c r="AF101"/>
      <c r="AG101"/>
    </row>
    <row r="102" spans="1:33" ht="13.2" x14ac:dyDescent="0.25">
      <c r="A102" s="117" t="s">
        <v>599</v>
      </c>
      <c r="B102" s="117" t="s">
        <v>424</v>
      </c>
      <c r="C102" s="117">
        <f t="shared" si="4"/>
        <v>17852.75</v>
      </c>
      <c r="D102" s="117">
        <f t="shared" si="5"/>
        <v>12595.25</v>
      </c>
      <c r="E102" s="225">
        <f t="shared" si="6"/>
        <v>6049442.2800000003</v>
      </c>
      <c r="F102" s="117">
        <f t="shared" si="7"/>
        <v>10586029.139999999</v>
      </c>
      <c r="G102" s="117">
        <v>15565</v>
      </c>
      <c r="H102" s="117">
        <v>15509</v>
      </c>
      <c r="I102" s="117">
        <v>16673</v>
      </c>
      <c r="J102" s="117">
        <v>17193</v>
      </c>
      <c r="K102" s="117">
        <v>7849</v>
      </c>
      <c r="L102" s="117">
        <v>11349</v>
      </c>
      <c r="M102" s="117">
        <v>5118</v>
      </c>
      <c r="N102" s="117">
        <v>11144</v>
      </c>
      <c r="O102" s="117">
        <v>5825</v>
      </c>
      <c r="P102" s="117">
        <v>11031</v>
      </c>
      <c r="Q102" s="117">
        <v>13175</v>
      </c>
      <c r="R102" s="117">
        <v>7341</v>
      </c>
      <c r="S102" s="117">
        <v>18224</v>
      </c>
      <c r="T102" s="117">
        <v>7342</v>
      </c>
      <c r="U102" s="117">
        <v>14652</v>
      </c>
      <c r="V102" s="117">
        <v>14025</v>
      </c>
      <c r="W102" s="117">
        <v>21846</v>
      </c>
      <c r="X102" s="117">
        <v>13505</v>
      </c>
      <c r="Y102" s="117">
        <v>16689</v>
      </c>
      <c r="Z102" s="117">
        <v>15509</v>
      </c>
      <c r="AA102" s="117">
        <v>39070</v>
      </c>
      <c r="AB102" s="117">
        <v>39258</v>
      </c>
      <c r="AC102" s="117">
        <v>39588</v>
      </c>
      <c r="AD102" s="117">
        <v>79812</v>
      </c>
      <c r="AE102" s="117">
        <v>77945</v>
      </c>
      <c r="AF102"/>
      <c r="AG102"/>
    </row>
    <row r="103" spans="1:33" ht="13.2" x14ac:dyDescent="0.25">
      <c r="A103" s="117" t="s">
        <v>599</v>
      </c>
      <c r="B103" s="117" t="s">
        <v>425</v>
      </c>
      <c r="C103" s="117">
        <f t="shared" si="4"/>
        <v>6463.75</v>
      </c>
      <c r="D103" s="117">
        <f t="shared" si="5"/>
        <v>6148.5</v>
      </c>
      <c r="E103" s="225">
        <f t="shared" si="6"/>
        <v>4654286.9800000004</v>
      </c>
      <c r="F103" s="117">
        <f t="shared" si="7"/>
        <v>8144621.4899999993</v>
      </c>
      <c r="G103" s="117">
        <v>3548</v>
      </c>
      <c r="H103" s="117">
        <v>3109</v>
      </c>
      <c r="I103" s="117">
        <v>13284</v>
      </c>
      <c r="J103" s="117">
        <v>15044</v>
      </c>
      <c r="K103" s="117">
        <v>11332</v>
      </c>
      <c r="L103" s="117">
        <v>11938</v>
      </c>
      <c r="M103" s="117">
        <v>-1618</v>
      </c>
      <c r="N103" s="117">
        <v>10483</v>
      </c>
      <c r="O103" s="117">
        <v>4013</v>
      </c>
      <c r="P103" s="117">
        <v>5723</v>
      </c>
      <c r="Q103" s="117">
        <v>4269</v>
      </c>
      <c r="R103" s="117">
        <v>5707</v>
      </c>
      <c r="S103" s="117">
        <v>6134</v>
      </c>
      <c r="T103" s="117">
        <v>6994</v>
      </c>
      <c r="U103" s="117">
        <v>7546</v>
      </c>
      <c r="V103" s="117">
        <v>8640</v>
      </c>
      <c r="W103" s="117">
        <v>7842</v>
      </c>
      <c r="X103" s="117">
        <v>5851</v>
      </c>
      <c r="Y103" s="117">
        <v>4333</v>
      </c>
      <c r="Z103" s="117">
        <v>3109</v>
      </c>
      <c r="AA103" s="117">
        <v>30032</v>
      </c>
      <c r="AB103" s="117">
        <v>30352</v>
      </c>
      <c r="AC103" s="117">
        <v>30458</v>
      </c>
      <c r="AD103" s="117">
        <v>85919</v>
      </c>
      <c r="AE103" s="117">
        <v>87861</v>
      </c>
      <c r="AF103"/>
      <c r="AG103"/>
    </row>
    <row r="104" spans="1:33" ht="13.2" x14ac:dyDescent="0.25">
      <c r="A104" s="117" t="s">
        <v>608</v>
      </c>
      <c r="B104" s="117" t="s">
        <v>467</v>
      </c>
      <c r="C104" s="117">
        <f t="shared" si="4"/>
        <v>5492.75</v>
      </c>
      <c r="D104" s="117">
        <f t="shared" si="5"/>
        <v>5154.5</v>
      </c>
      <c r="E104" s="225">
        <f t="shared" si="6"/>
        <v>2608772.3199999998</v>
      </c>
      <c r="F104" s="117">
        <f t="shared" si="7"/>
        <v>4565138.1599999992</v>
      </c>
      <c r="G104" s="117">
        <v>1034</v>
      </c>
      <c r="H104" s="117">
        <v>1043</v>
      </c>
      <c r="I104" s="117">
        <v>5285</v>
      </c>
      <c r="J104" s="117">
        <v>7930</v>
      </c>
      <c r="K104" s="117">
        <v>5127</v>
      </c>
      <c r="L104" s="117">
        <v>11343</v>
      </c>
      <c r="M104" s="117">
        <v>1583</v>
      </c>
      <c r="N104" s="117">
        <v>2792</v>
      </c>
      <c r="O104" s="117">
        <v>7080</v>
      </c>
      <c r="P104" s="117">
        <v>7061</v>
      </c>
      <c r="Q104" s="117">
        <v>1196</v>
      </c>
      <c r="R104" s="117">
        <v>1599</v>
      </c>
      <c r="S104" s="117">
        <v>19228</v>
      </c>
      <c r="T104" s="117">
        <v>18172</v>
      </c>
      <c r="U104" s="117">
        <v>1343</v>
      </c>
      <c r="V104" s="117">
        <v>607</v>
      </c>
      <c r="W104" s="117">
        <v>482</v>
      </c>
      <c r="X104" s="117">
        <v>796</v>
      </c>
      <c r="Y104" s="117">
        <v>918</v>
      </c>
      <c r="Z104" s="117">
        <v>1043</v>
      </c>
      <c r="AA104" s="117">
        <v>17129</v>
      </c>
      <c r="AB104" s="117">
        <v>17048</v>
      </c>
      <c r="AC104" s="117">
        <v>17072</v>
      </c>
      <c r="AD104" s="117">
        <v>33269</v>
      </c>
      <c r="AE104" s="117">
        <v>33764</v>
      </c>
      <c r="AF104"/>
      <c r="AG104"/>
    </row>
    <row r="105" spans="1:33" ht="13.2" x14ac:dyDescent="0.25">
      <c r="A105" s="117" t="s">
        <v>599</v>
      </c>
      <c r="B105" s="117" t="s">
        <v>426</v>
      </c>
      <c r="C105" s="117">
        <f t="shared" si="4"/>
        <v>5083</v>
      </c>
      <c r="D105" s="117">
        <f t="shared" si="5"/>
        <v>6857.25</v>
      </c>
      <c r="E105" s="225">
        <f t="shared" si="6"/>
        <v>4041977.31</v>
      </c>
      <c r="F105" s="117">
        <f t="shared" si="7"/>
        <v>7073129.6549999993</v>
      </c>
      <c r="G105" s="117">
        <v>6306</v>
      </c>
      <c r="H105" s="117">
        <v>5699</v>
      </c>
      <c r="I105" s="117">
        <v>12713</v>
      </c>
      <c r="J105" s="117">
        <v>12813</v>
      </c>
      <c r="K105" s="117">
        <v>6700</v>
      </c>
      <c r="L105" s="117">
        <v>5602</v>
      </c>
      <c r="M105" s="117">
        <v>7594</v>
      </c>
      <c r="N105" s="117">
        <v>9086</v>
      </c>
      <c r="O105" s="117">
        <v>3572</v>
      </c>
      <c r="P105" s="117">
        <v>4268</v>
      </c>
      <c r="Q105" s="117">
        <v>5213</v>
      </c>
      <c r="R105" s="117">
        <v>5008</v>
      </c>
      <c r="S105" s="117">
        <v>6255</v>
      </c>
      <c r="T105" s="117">
        <v>5391</v>
      </c>
      <c r="U105" s="117">
        <v>7042</v>
      </c>
      <c r="V105" s="117">
        <v>11924</v>
      </c>
      <c r="W105" s="117">
        <v>2434</v>
      </c>
      <c r="X105" s="117">
        <v>4415</v>
      </c>
      <c r="Y105" s="117">
        <v>4601</v>
      </c>
      <c r="Z105" s="117">
        <v>5699</v>
      </c>
      <c r="AA105" s="117">
        <v>26241</v>
      </c>
      <c r="AB105" s="117">
        <v>26327</v>
      </c>
      <c r="AC105" s="117">
        <v>26451</v>
      </c>
      <c r="AD105" s="117">
        <v>39000</v>
      </c>
      <c r="AE105" s="117">
        <v>51599</v>
      </c>
      <c r="AF105"/>
      <c r="AG105"/>
    </row>
    <row r="106" spans="1:33" ht="13.2" x14ac:dyDescent="0.25">
      <c r="A106" s="117" t="s">
        <v>603</v>
      </c>
      <c r="B106" s="117" t="s">
        <v>344</v>
      </c>
      <c r="C106" s="117">
        <f t="shared" si="4"/>
        <v>5596</v>
      </c>
      <c r="D106" s="117">
        <f t="shared" si="5"/>
        <v>5534.5</v>
      </c>
      <c r="E106" s="225">
        <f t="shared" si="6"/>
        <v>7580904.1000000006</v>
      </c>
      <c r="F106" s="117">
        <f t="shared" si="7"/>
        <v>13265962.049999999</v>
      </c>
      <c r="G106" s="117">
        <v>3965</v>
      </c>
      <c r="H106" s="117">
        <v>4216</v>
      </c>
      <c r="I106" s="117">
        <v>6830</v>
      </c>
      <c r="J106" s="117">
        <v>6576</v>
      </c>
      <c r="K106" s="117">
        <v>8344</v>
      </c>
      <c r="L106" s="117">
        <v>7879</v>
      </c>
      <c r="M106" s="117">
        <v>5819</v>
      </c>
      <c r="N106" s="117">
        <v>6019</v>
      </c>
      <c r="O106" s="117">
        <v>5700</v>
      </c>
      <c r="P106" s="117">
        <v>8649</v>
      </c>
      <c r="Q106" s="117">
        <v>5648</v>
      </c>
      <c r="R106" s="117">
        <v>4496</v>
      </c>
      <c r="S106" s="117">
        <v>4773</v>
      </c>
      <c r="T106" s="117">
        <v>4443</v>
      </c>
      <c r="U106" s="117">
        <v>8145</v>
      </c>
      <c r="V106" s="117">
        <v>7313</v>
      </c>
      <c r="W106" s="117">
        <v>5760</v>
      </c>
      <c r="X106" s="117">
        <v>6166</v>
      </c>
      <c r="Y106" s="117">
        <v>3706</v>
      </c>
      <c r="Z106" s="117">
        <v>4216</v>
      </c>
      <c r="AA106" s="117">
        <v>48661</v>
      </c>
      <c r="AB106" s="117">
        <v>49136</v>
      </c>
      <c r="AC106" s="117">
        <v>49610</v>
      </c>
      <c r="AD106" s="117">
        <v>126489</v>
      </c>
      <c r="AE106" s="117">
        <v>128391</v>
      </c>
      <c r="AF106"/>
      <c r="AG106"/>
    </row>
    <row r="107" spans="1:33" ht="13.2" x14ac:dyDescent="0.25">
      <c r="A107" s="117" t="s">
        <v>610</v>
      </c>
      <c r="B107" s="117" t="s">
        <v>390</v>
      </c>
      <c r="C107" s="117">
        <f t="shared" si="4"/>
        <v>13412.25</v>
      </c>
      <c r="D107" s="117">
        <f t="shared" si="5"/>
        <v>10354.5</v>
      </c>
      <c r="E107" s="225">
        <f t="shared" si="6"/>
        <v>5753907.7400000002</v>
      </c>
      <c r="F107" s="117">
        <f t="shared" si="7"/>
        <v>10068867.869999999</v>
      </c>
      <c r="G107" s="117">
        <v>15891</v>
      </c>
      <c r="H107" s="117">
        <v>15546</v>
      </c>
      <c r="I107" s="117">
        <v>8727</v>
      </c>
      <c r="J107" s="117">
        <v>7554</v>
      </c>
      <c r="K107" s="117">
        <v>18043</v>
      </c>
      <c r="L107" s="117">
        <v>14801</v>
      </c>
      <c r="M107" s="117">
        <v>7793</v>
      </c>
      <c r="N107" s="117">
        <v>7421</v>
      </c>
      <c r="O107" s="117">
        <v>5486</v>
      </c>
      <c r="P107" s="117">
        <v>4999</v>
      </c>
      <c r="Q107" s="117">
        <v>5753</v>
      </c>
      <c r="R107" s="117">
        <v>5469</v>
      </c>
      <c r="S107" s="117">
        <v>10910</v>
      </c>
      <c r="T107" s="117">
        <v>7350</v>
      </c>
      <c r="U107" s="117">
        <v>9710</v>
      </c>
      <c r="V107" s="117">
        <v>9015</v>
      </c>
      <c r="W107" s="117">
        <v>18053</v>
      </c>
      <c r="X107" s="117">
        <v>9507</v>
      </c>
      <c r="Y107" s="117">
        <v>14976</v>
      </c>
      <c r="Z107" s="117">
        <v>15546</v>
      </c>
      <c r="AA107" s="117">
        <v>37256</v>
      </c>
      <c r="AB107" s="117">
        <v>37653</v>
      </c>
      <c r="AC107" s="117">
        <v>37654</v>
      </c>
      <c r="AD107" s="117">
        <v>159124</v>
      </c>
      <c r="AE107" s="117">
        <v>161785</v>
      </c>
      <c r="AF107"/>
      <c r="AG107"/>
    </row>
    <row r="108" spans="1:33" ht="13.2" x14ac:dyDescent="0.25">
      <c r="A108" s="117" t="s">
        <v>599</v>
      </c>
      <c r="B108" s="117" t="s">
        <v>427</v>
      </c>
      <c r="C108" s="117">
        <f t="shared" si="4"/>
        <v>11808</v>
      </c>
      <c r="D108" s="117">
        <f t="shared" si="5"/>
        <v>11610.25</v>
      </c>
      <c r="E108" s="225">
        <f t="shared" si="6"/>
        <v>3633821.8000000003</v>
      </c>
      <c r="F108" s="117">
        <f t="shared" si="7"/>
        <v>6358890.8999999994</v>
      </c>
      <c r="G108" s="117">
        <v>10674</v>
      </c>
      <c r="H108" s="117">
        <v>10674</v>
      </c>
      <c r="I108" s="117">
        <v>10754</v>
      </c>
      <c r="J108" s="117">
        <v>10770</v>
      </c>
      <c r="K108" s="117">
        <v>5927</v>
      </c>
      <c r="L108" s="117">
        <v>6493</v>
      </c>
      <c r="M108" s="117">
        <v>7330</v>
      </c>
      <c r="N108" s="117">
        <v>7523</v>
      </c>
      <c r="O108" s="117">
        <v>5785</v>
      </c>
      <c r="P108" s="117">
        <v>6248</v>
      </c>
      <c r="Q108" s="117">
        <v>5360</v>
      </c>
      <c r="R108" s="117">
        <v>5416</v>
      </c>
      <c r="S108" s="117">
        <v>17947</v>
      </c>
      <c r="T108" s="117">
        <v>17774</v>
      </c>
      <c r="U108" s="117">
        <v>11009</v>
      </c>
      <c r="V108" s="117">
        <v>11176</v>
      </c>
      <c r="W108" s="117">
        <v>10732</v>
      </c>
      <c r="X108" s="117">
        <v>6817</v>
      </c>
      <c r="Y108" s="117">
        <v>7544</v>
      </c>
      <c r="Z108" s="117">
        <v>10674</v>
      </c>
      <c r="AA108" s="117">
        <v>23316</v>
      </c>
      <c r="AB108" s="117">
        <v>23554</v>
      </c>
      <c r="AC108" s="117">
        <v>23780</v>
      </c>
      <c r="AD108" s="117">
        <v>58647</v>
      </c>
      <c r="AE108" s="117">
        <v>59079</v>
      </c>
      <c r="AF108"/>
      <c r="AG108"/>
    </row>
    <row r="109" spans="1:33" ht="13.2" x14ac:dyDescent="0.25">
      <c r="A109" s="117" t="s">
        <v>600</v>
      </c>
      <c r="B109" s="117" t="s">
        <v>563</v>
      </c>
      <c r="C109" s="117">
        <f t="shared" si="4"/>
        <v>5241.25</v>
      </c>
      <c r="D109" s="117">
        <f t="shared" si="5"/>
        <v>5715.75</v>
      </c>
      <c r="E109" s="225">
        <f t="shared" si="6"/>
        <v>8818512.290000001</v>
      </c>
      <c r="F109" s="117">
        <f t="shared" si="7"/>
        <v>15431675.144999998</v>
      </c>
      <c r="G109" s="117">
        <v>3754</v>
      </c>
      <c r="H109" s="117">
        <v>4110</v>
      </c>
      <c r="I109" s="117">
        <v>4488</v>
      </c>
      <c r="J109" s="117">
        <v>2388</v>
      </c>
      <c r="K109" s="117">
        <v>23224</v>
      </c>
      <c r="L109" s="117">
        <v>23821</v>
      </c>
      <c r="M109" s="117">
        <v>5836</v>
      </c>
      <c r="N109" s="117">
        <v>6962</v>
      </c>
      <c r="O109" s="117">
        <v>9769</v>
      </c>
      <c r="P109" s="117">
        <v>3930</v>
      </c>
      <c r="Q109" s="117">
        <v>8354</v>
      </c>
      <c r="R109" s="117">
        <v>3897</v>
      </c>
      <c r="S109" s="117">
        <v>8635</v>
      </c>
      <c r="T109" s="117">
        <v>6966</v>
      </c>
      <c r="U109" s="117">
        <v>7291</v>
      </c>
      <c r="V109" s="117">
        <v>7944</v>
      </c>
      <c r="W109" s="117">
        <v>3066</v>
      </c>
      <c r="X109" s="117">
        <v>3843</v>
      </c>
      <c r="Y109" s="117">
        <v>1973</v>
      </c>
      <c r="Z109" s="117">
        <v>4110</v>
      </c>
      <c r="AA109" s="117">
        <v>56973</v>
      </c>
      <c r="AB109" s="117">
        <v>57350</v>
      </c>
      <c r="AC109" s="117">
        <v>57709</v>
      </c>
      <c r="AD109" s="117">
        <v>158594</v>
      </c>
      <c r="AE109" s="117">
        <v>158055</v>
      </c>
      <c r="AF109"/>
      <c r="AG109"/>
    </row>
    <row r="110" spans="1:33" ht="13.2" x14ac:dyDescent="0.25">
      <c r="A110" s="117" t="s">
        <v>603</v>
      </c>
      <c r="B110" s="117" t="s">
        <v>345</v>
      </c>
      <c r="C110" s="117">
        <f t="shared" si="4"/>
        <v>18218.5</v>
      </c>
      <c r="D110" s="117">
        <f t="shared" si="5"/>
        <v>14939.5</v>
      </c>
      <c r="E110" s="225">
        <f t="shared" si="6"/>
        <v>5604917.9900000002</v>
      </c>
      <c r="F110" s="117">
        <f t="shared" si="7"/>
        <v>9808147.9949999992</v>
      </c>
      <c r="G110" s="117">
        <v>3808</v>
      </c>
      <c r="H110" s="117">
        <v>3434</v>
      </c>
      <c r="I110" s="117">
        <v>34563</v>
      </c>
      <c r="J110" s="117">
        <v>35696</v>
      </c>
      <c r="K110" s="117">
        <v>105255</v>
      </c>
      <c r="L110" s="117">
        <v>115324</v>
      </c>
      <c r="M110" s="117">
        <v>41115</v>
      </c>
      <c r="N110" s="117">
        <v>54280</v>
      </c>
      <c r="O110" s="117">
        <v>20926</v>
      </c>
      <c r="P110" s="117">
        <v>25136</v>
      </c>
      <c r="Q110" s="117">
        <v>46107</v>
      </c>
      <c r="R110" s="117">
        <v>44677</v>
      </c>
      <c r="S110" s="117">
        <v>16886</v>
      </c>
      <c r="T110" s="117">
        <v>19488</v>
      </c>
      <c r="U110" s="117">
        <v>28236</v>
      </c>
      <c r="V110" s="117">
        <v>20481</v>
      </c>
      <c r="W110" s="117">
        <v>20234</v>
      </c>
      <c r="X110" s="117">
        <v>16355</v>
      </c>
      <c r="Y110" s="117">
        <v>7518</v>
      </c>
      <c r="Z110" s="117">
        <v>3434</v>
      </c>
      <c r="AA110" s="117">
        <v>35745</v>
      </c>
      <c r="AB110" s="117">
        <v>36296</v>
      </c>
      <c r="AC110" s="117">
        <v>36679</v>
      </c>
      <c r="AD110" s="117">
        <v>223656</v>
      </c>
      <c r="AE110" s="117">
        <v>220701</v>
      </c>
      <c r="AF110"/>
      <c r="AG110"/>
    </row>
    <row r="111" spans="1:33" ht="13.2" x14ac:dyDescent="0.25">
      <c r="A111" s="117" t="s">
        <v>603</v>
      </c>
      <c r="B111" s="117" t="s">
        <v>346</v>
      </c>
      <c r="C111" s="117">
        <f t="shared" si="4"/>
        <v>18912</v>
      </c>
      <c r="D111" s="117">
        <f t="shared" si="5"/>
        <v>16421.75</v>
      </c>
      <c r="E111" s="225">
        <f t="shared" si="6"/>
        <v>11179732.41</v>
      </c>
      <c r="F111" s="117">
        <f t="shared" si="7"/>
        <v>19563617.204999998</v>
      </c>
      <c r="G111" s="117">
        <v>10429</v>
      </c>
      <c r="H111" s="117">
        <v>10429</v>
      </c>
      <c r="I111" s="117">
        <v>17570</v>
      </c>
      <c r="J111" s="117">
        <v>21893</v>
      </c>
      <c r="K111" s="117">
        <v>57171</v>
      </c>
      <c r="L111" s="117">
        <v>68048</v>
      </c>
      <c r="M111" s="117">
        <v>26633</v>
      </c>
      <c r="N111" s="117">
        <v>29227</v>
      </c>
      <c r="O111" s="117">
        <v>6028</v>
      </c>
      <c r="P111" s="117">
        <v>6580</v>
      </c>
      <c r="Q111" s="117">
        <v>6250</v>
      </c>
      <c r="R111" s="117">
        <v>7386</v>
      </c>
      <c r="S111" s="117">
        <v>33908</v>
      </c>
      <c r="T111" s="117">
        <v>29961</v>
      </c>
      <c r="U111" s="117">
        <v>21056</v>
      </c>
      <c r="V111" s="117">
        <v>17627</v>
      </c>
      <c r="W111" s="117">
        <v>11135</v>
      </c>
      <c r="X111" s="117">
        <v>7670</v>
      </c>
      <c r="Y111" s="117">
        <v>9549</v>
      </c>
      <c r="Z111" s="117">
        <v>10429</v>
      </c>
      <c r="AA111" s="117">
        <v>71757</v>
      </c>
      <c r="AB111" s="117">
        <v>72690</v>
      </c>
      <c r="AC111" s="117">
        <v>73161</v>
      </c>
      <c r="AD111" s="117">
        <v>345918</v>
      </c>
      <c r="AE111" s="117">
        <v>366388</v>
      </c>
      <c r="AF111"/>
      <c r="AG111"/>
    </row>
    <row r="112" spans="1:33" ht="13.2" x14ac:dyDescent="0.25">
      <c r="A112" s="117" t="s">
        <v>599</v>
      </c>
      <c r="B112" s="117" t="s">
        <v>428</v>
      </c>
      <c r="C112" s="117">
        <f t="shared" si="4"/>
        <v>233</v>
      </c>
      <c r="D112" s="117">
        <f t="shared" si="5"/>
        <v>147.75</v>
      </c>
      <c r="E112" s="225">
        <f t="shared" si="6"/>
        <v>1906763.18</v>
      </c>
      <c r="F112" s="117">
        <f t="shared" si="7"/>
        <v>3336679.59</v>
      </c>
      <c r="G112" s="117">
        <v>381</v>
      </c>
      <c r="H112" s="117">
        <v>363</v>
      </c>
      <c r="I112" s="117">
        <v>4122</v>
      </c>
      <c r="J112" s="117">
        <v>6437</v>
      </c>
      <c r="K112" s="117">
        <v>12502</v>
      </c>
      <c r="L112" s="117">
        <v>14030</v>
      </c>
      <c r="M112" s="117">
        <v>2116</v>
      </c>
      <c r="N112" s="117">
        <v>2234</v>
      </c>
      <c r="O112" s="117">
        <v>973</v>
      </c>
      <c r="P112" s="117">
        <v>888</v>
      </c>
      <c r="Q112" s="117">
        <v>140</v>
      </c>
      <c r="R112" s="117">
        <v>1</v>
      </c>
      <c r="S112" s="117">
        <v>0</v>
      </c>
      <c r="T112" s="117">
        <v>41</v>
      </c>
      <c r="U112" s="117">
        <v>290</v>
      </c>
      <c r="V112" s="117">
        <v>114</v>
      </c>
      <c r="W112" s="117">
        <v>158</v>
      </c>
      <c r="X112" s="117">
        <v>73</v>
      </c>
      <c r="Y112" s="117">
        <v>484</v>
      </c>
      <c r="Z112" s="117">
        <v>363</v>
      </c>
      <c r="AA112" s="117">
        <v>12381</v>
      </c>
      <c r="AB112" s="117">
        <v>12412</v>
      </c>
      <c r="AC112" s="117">
        <v>12478</v>
      </c>
      <c r="AD112" s="117">
        <v>31350</v>
      </c>
      <c r="AE112" s="117">
        <v>27302</v>
      </c>
      <c r="AF112"/>
      <c r="AG112"/>
    </row>
    <row r="113" spans="1:33" ht="13.2" x14ac:dyDescent="0.25">
      <c r="A113" s="117" t="s">
        <v>607</v>
      </c>
      <c r="B113" s="117" t="s">
        <v>148</v>
      </c>
      <c r="C113" s="117">
        <f t="shared" si="4"/>
        <v>20375</v>
      </c>
      <c r="D113" s="117">
        <f t="shared" si="5"/>
        <v>12808.75</v>
      </c>
      <c r="E113" s="225">
        <f t="shared" si="6"/>
        <v>35353204.740000002</v>
      </c>
      <c r="F113" s="117">
        <f t="shared" si="7"/>
        <v>61865216.369999997</v>
      </c>
      <c r="G113" s="271">
        <f>W113</f>
        <v>14961</v>
      </c>
      <c r="H113" s="271">
        <f>X113</f>
        <v>5623</v>
      </c>
      <c r="I113" s="117">
        <v>20617</v>
      </c>
      <c r="J113" s="117">
        <v>62409</v>
      </c>
      <c r="K113" s="117">
        <v>6180</v>
      </c>
      <c r="L113" s="117">
        <v>4064</v>
      </c>
      <c r="M113" s="117">
        <v>16341</v>
      </c>
      <c r="N113" s="117">
        <v>56746</v>
      </c>
      <c r="O113" s="117">
        <v>20379</v>
      </c>
      <c r="P113" s="117">
        <v>38684</v>
      </c>
      <c r="Q113" s="117">
        <v>59765</v>
      </c>
      <c r="R113" s="117">
        <v>23998</v>
      </c>
      <c r="S113" s="117">
        <v>48782</v>
      </c>
      <c r="T113" s="117">
        <v>27801</v>
      </c>
      <c r="U113" s="117">
        <v>12289</v>
      </c>
      <c r="V113" s="117">
        <v>17811</v>
      </c>
      <c r="W113" s="117">
        <v>14961</v>
      </c>
      <c r="X113" s="117">
        <v>5623</v>
      </c>
      <c r="Y113" s="117">
        <v>5468</v>
      </c>
      <c r="Z113" s="117">
        <v>0</v>
      </c>
      <c r="AA113" s="117">
        <v>228399</v>
      </c>
      <c r="AB113" s="117">
        <v>230061</v>
      </c>
      <c r="AC113" s="117">
        <v>231354</v>
      </c>
      <c r="AD113" s="117">
        <v>996931</v>
      </c>
      <c r="AE113" s="117">
        <v>961869</v>
      </c>
      <c r="AF113"/>
      <c r="AG113"/>
    </row>
    <row r="114" spans="1:33" ht="13.2" x14ac:dyDescent="0.25">
      <c r="A114" s="117" t="s">
        <v>608</v>
      </c>
      <c r="B114" s="117" t="s">
        <v>468</v>
      </c>
      <c r="C114" s="117">
        <f t="shared" si="4"/>
        <v>356.5</v>
      </c>
      <c r="D114" s="117">
        <f t="shared" si="5"/>
        <v>180.75</v>
      </c>
      <c r="E114" s="225">
        <f t="shared" si="6"/>
        <v>2178764.98</v>
      </c>
      <c r="F114" s="117">
        <f t="shared" si="7"/>
        <v>3812660.4899999998</v>
      </c>
      <c r="G114" s="117">
        <v>25</v>
      </c>
      <c r="H114" s="117">
        <v>98</v>
      </c>
      <c r="I114" s="117">
        <v>725</v>
      </c>
      <c r="J114" s="117">
        <v>1243</v>
      </c>
      <c r="K114" s="117">
        <v>1736</v>
      </c>
      <c r="L114" s="117">
        <v>957</v>
      </c>
      <c r="M114" s="117">
        <v>276</v>
      </c>
      <c r="N114" s="117">
        <v>1876</v>
      </c>
      <c r="O114" s="117">
        <v>564</v>
      </c>
      <c r="P114" s="117">
        <v>51</v>
      </c>
      <c r="Q114" s="117">
        <v>154</v>
      </c>
      <c r="R114" s="117">
        <v>334</v>
      </c>
      <c r="S114" s="117">
        <v>899</v>
      </c>
      <c r="T114" s="117">
        <v>372</v>
      </c>
      <c r="U114" s="117">
        <v>377</v>
      </c>
      <c r="V114" s="117">
        <v>252</v>
      </c>
      <c r="W114" s="117">
        <v>150</v>
      </c>
      <c r="X114" s="117">
        <v>1</v>
      </c>
      <c r="Y114" s="117">
        <v>0</v>
      </c>
      <c r="Z114" s="117">
        <v>98</v>
      </c>
      <c r="AA114" s="117">
        <v>14329</v>
      </c>
      <c r="AB114" s="117">
        <v>14216</v>
      </c>
      <c r="AC114" s="117">
        <v>14258</v>
      </c>
      <c r="AD114" s="117">
        <v>32371</v>
      </c>
      <c r="AE114" s="117">
        <v>31774</v>
      </c>
      <c r="AF114"/>
      <c r="AG114"/>
    </row>
    <row r="115" spans="1:33" ht="13.2" x14ac:dyDescent="0.25">
      <c r="A115" s="117" t="s">
        <v>604</v>
      </c>
      <c r="B115" s="117" t="s">
        <v>191</v>
      </c>
      <c r="C115" s="117">
        <f t="shared" si="4"/>
        <v>1817.75</v>
      </c>
      <c r="D115" s="117">
        <f t="shared" si="5"/>
        <v>1921.25</v>
      </c>
      <c r="E115" s="225">
        <f t="shared" si="6"/>
        <v>3708698.7</v>
      </c>
      <c r="F115" s="117">
        <f t="shared" si="7"/>
        <v>6489919.3499999996</v>
      </c>
      <c r="G115" s="117">
        <v>193</v>
      </c>
      <c r="H115" s="117">
        <v>192</v>
      </c>
      <c r="I115" s="117">
        <v>2005</v>
      </c>
      <c r="J115" s="117">
        <v>13321</v>
      </c>
      <c r="K115" s="117">
        <v>1028</v>
      </c>
      <c r="L115" s="117">
        <v>5526</v>
      </c>
      <c r="M115" s="117">
        <v>1648</v>
      </c>
      <c r="N115" s="117">
        <v>1478</v>
      </c>
      <c r="O115" s="117">
        <v>1527</v>
      </c>
      <c r="P115" s="117">
        <v>1559</v>
      </c>
      <c r="Q115" s="117">
        <v>1813</v>
      </c>
      <c r="R115" s="117">
        <v>1842</v>
      </c>
      <c r="S115" s="117">
        <v>2711</v>
      </c>
      <c r="T115" s="117">
        <v>3450</v>
      </c>
      <c r="U115" s="117">
        <v>3105</v>
      </c>
      <c r="V115" s="117">
        <v>3338</v>
      </c>
      <c r="W115" s="117">
        <v>670</v>
      </c>
      <c r="X115" s="117">
        <v>705</v>
      </c>
      <c r="Y115" s="117">
        <v>785</v>
      </c>
      <c r="Z115" s="117">
        <v>192</v>
      </c>
      <c r="AA115" s="117">
        <v>24271</v>
      </c>
      <c r="AB115" s="117">
        <v>24295</v>
      </c>
      <c r="AC115" s="117">
        <v>24270</v>
      </c>
      <c r="AD115" s="117">
        <v>57510</v>
      </c>
      <c r="AE115" s="117">
        <v>63990</v>
      </c>
      <c r="AF115"/>
      <c r="AG115"/>
    </row>
    <row r="116" spans="1:33" ht="13.2" x14ac:dyDescent="0.25">
      <c r="A116" s="117" t="s">
        <v>599</v>
      </c>
      <c r="B116" s="117" t="s">
        <v>429</v>
      </c>
      <c r="C116" s="117">
        <f t="shared" si="4"/>
        <v>6079</v>
      </c>
      <c r="D116" s="117">
        <f t="shared" si="5"/>
        <v>4561.25</v>
      </c>
      <c r="E116" s="225">
        <f t="shared" si="6"/>
        <v>2168679.52</v>
      </c>
      <c r="F116" s="117">
        <f t="shared" si="7"/>
        <v>3795011.76</v>
      </c>
      <c r="G116" s="117">
        <v>5742</v>
      </c>
      <c r="H116" s="117">
        <v>4786</v>
      </c>
      <c r="I116" s="117">
        <v>4054</v>
      </c>
      <c r="J116" s="117">
        <v>7039</v>
      </c>
      <c r="K116" s="117">
        <v>5687</v>
      </c>
      <c r="L116" s="117">
        <v>5999</v>
      </c>
      <c r="M116" s="117">
        <v>5494</v>
      </c>
      <c r="N116" s="117">
        <v>5609</v>
      </c>
      <c r="O116" s="117">
        <v>2267</v>
      </c>
      <c r="P116" s="117">
        <v>2430</v>
      </c>
      <c r="Q116" s="117">
        <v>3847</v>
      </c>
      <c r="R116" s="117">
        <v>2308</v>
      </c>
      <c r="S116" s="117">
        <v>2854</v>
      </c>
      <c r="T116" s="117">
        <v>2594</v>
      </c>
      <c r="U116" s="117">
        <v>8067</v>
      </c>
      <c r="V116" s="117">
        <v>5909</v>
      </c>
      <c r="W116" s="117">
        <v>6388</v>
      </c>
      <c r="X116" s="117">
        <v>4956</v>
      </c>
      <c r="Y116" s="117">
        <v>7007</v>
      </c>
      <c r="Z116" s="117">
        <v>4786</v>
      </c>
      <c r="AA116" s="117">
        <v>13907</v>
      </c>
      <c r="AB116" s="117">
        <v>14109</v>
      </c>
      <c r="AC116" s="117">
        <v>14192</v>
      </c>
      <c r="AD116" s="117">
        <v>22242</v>
      </c>
      <c r="AE116" s="117">
        <v>14866</v>
      </c>
      <c r="AF116"/>
      <c r="AG116"/>
    </row>
    <row r="117" spans="1:33" ht="13.2" x14ac:dyDescent="0.25">
      <c r="A117" s="117" t="s">
        <v>600</v>
      </c>
      <c r="B117" s="117" t="s">
        <v>301</v>
      </c>
      <c r="C117" s="117">
        <f t="shared" si="4"/>
        <v>14723.5</v>
      </c>
      <c r="D117" s="117">
        <f t="shared" si="5"/>
        <v>6089</v>
      </c>
      <c r="E117" s="225">
        <f t="shared" si="6"/>
        <v>24634958.530000001</v>
      </c>
      <c r="F117" s="117">
        <f t="shared" si="7"/>
        <v>43109162.264999993</v>
      </c>
      <c r="G117" s="117">
        <v>4819</v>
      </c>
      <c r="H117" s="117">
        <v>4671</v>
      </c>
      <c r="I117" s="117">
        <v>22096</v>
      </c>
      <c r="J117" s="117">
        <v>22444</v>
      </c>
      <c r="K117" s="117">
        <v>32899</v>
      </c>
      <c r="L117" s="117">
        <v>36777</v>
      </c>
      <c r="M117" s="117">
        <v>31278</v>
      </c>
      <c r="N117" s="117">
        <v>33453</v>
      </c>
      <c r="O117" s="117">
        <v>21097</v>
      </c>
      <c r="P117" s="117">
        <v>23736</v>
      </c>
      <c r="Q117" s="117">
        <v>12777</v>
      </c>
      <c r="R117" s="117">
        <v>13659</v>
      </c>
      <c r="S117" s="117">
        <v>9861</v>
      </c>
      <c r="T117" s="117">
        <v>8258</v>
      </c>
      <c r="U117" s="117">
        <v>9475</v>
      </c>
      <c r="V117" s="117">
        <v>6477</v>
      </c>
      <c r="W117" s="117">
        <v>25922</v>
      </c>
      <c r="X117" s="117">
        <v>4950</v>
      </c>
      <c r="Y117" s="117">
        <v>13636</v>
      </c>
      <c r="Z117" s="117">
        <v>4671</v>
      </c>
      <c r="AA117" s="117">
        <v>159234</v>
      </c>
      <c r="AB117" s="117">
        <v>159819</v>
      </c>
      <c r="AC117" s="117">
        <v>161213</v>
      </c>
      <c r="AD117" s="117">
        <v>595166</v>
      </c>
      <c r="AE117" s="117">
        <v>614587</v>
      </c>
      <c r="AF117"/>
      <c r="AG117"/>
    </row>
    <row r="118" spans="1:33" x14ac:dyDescent="0.2">
      <c r="A118" s="117" t="s">
        <v>600</v>
      </c>
      <c r="B118" s="117" t="s">
        <v>302</v>
      </c>
      <c r="C118" s="117">
        <f t="shared" si="4"/>
        <v>62050.25</v>
      </c>
      <c r="D118" s="117">
        <f t="shared" si="5"/>
        <v>37311.75</v>
      </c>
      <c r="E118" s="225">
        <f t="shared" si="6"/>
        <v>23566816.629999999</v>
      </c>
      <c r="F118" s="117">
        <f t="shared" si="7"/>
        <v>41240001.314999998</v>
      </c>
      <c r="G118" s="271">
        <f>W118</f>
        <v>92267</v>
      </c>
      <c r="H118" s="271">
        <f>X118</f>
        <v>70069</v>
      </c>
      <c r="I118" s="117">
        <v>116756</v>
      </c>
      <c r="J118" s="117">
        <v>88564</v>
      </c>
      <c r="K118" s="117">
        <v>87318</v>
      </c>
      <c r="L118" s="117">
        <v>65188</v>
      </c>
      <c r="M118" s="117">
        <v>75393</v>
      </c>
      <c r="N118" s="117">
        <v>102070</v>
      </c>
      <c r="O118" s="117">
        <v>62200</v>
      </c>
      <c r="P118" s="117">
        <v>60573</v>
      </c>
      <c r="Q118" s="117">
        <v>37074</v>
      </c>
      <c r="R118" s="117">
        <v>41871</v>
      </c>
      <c r="S118" s="117">
        <v>50333</v>
      </c>
      <c r="T118" s="117">
        <v>43417</v>
      </c>
      <c r="U118" s="117">
        <v>43566</v>
      </c>
      <c r="V118" s="117">
        <v>35761</v>
      </c>
      <c r="W118" s="117">
        <v>92267</v>
      </c>
      <c r="X118" s="117">
        <v>70069</v>
      </c>
      <c r="Y118" s="117">
        <v>62035</v>
      </c>
      <c r="Z118" s="117">
        <v>0</v>
      </c>
      <c r="AA118" s="117">
        <v>151655</v>
      </c>
      <c r="AB118" s="117">
        <v>153170</v>
      </c>
      <c r="AC118" s="117">
        <v>154223</v>
      </c>
      <c r="AD118" s="117">
        <v>496696</v>
      </c>
      <c r="AE118" s="117">
        <v>491856</v>
      </c>
    </row>
    <row r="119" spans="1:33" ht="13.2" x14ac:dyDescent="0.25">
      <c r="A119" s="117" t="s">
        <v>599</v>
      </c>
      <c r="B119" s="117" t="s">
        <v>430</v>
      </c>
      <c r="C119" s="117">
        <f t="shared" si="4"/>
        <v>5790.75</v>
      </c>
      <c r="D119" s="117">
        <f t="shared" si="5"/>
        <v>5146.75</v>
      </c>
      <c r="E119" s="225">
        <f t="shared" si="6"/>
        <v>4613486.71</v>
      </c>
      <c r="F119" s="117">
        <f t="shared" si="7"/>
        <v>8073224.3549999995</v>
      </c>
      <c r="G119" s="117">
        <v>5612</v>
      </c>
      <c r="H119" s="117">
        <v>5424</v>
      </c>
      <c r="I119" s="117">
        <v>29164</v>
      </c>
      <c r="J119" s="117">
        <v>36478</v>
      </c>
      <c r="K119" s="117">
        <v>30056</v>
      </c>
      <c r="L119" s="117">
        <v>39463</v>
      </c>
      <c r="M119" s="117">
        <v>36683</v>
      </c>
      <c r="N119" s="117">
        <v>40740</v>
      </c>
      <c r="O119" s="117">
        <v>29030</v>
      </c>
      <c r="P119" s="117">
        <v>30687</v>
      </c>
      <c r="Q119" s="117">
        <v>24134</v>
      </c>
      <c r="R119" s="117">
        <v>23900</v>
      </c>
      <c r="S119" s="117">
        <v>8317</v>
      </c>
      <c r="T119" s="117">
        <v>8688</v>
      </c>
      <c r="U119" s="117">
        <v>3867</v>
      </c>
      <c r="V119" s="117">
        <v>3492</v>
      </c>
      <c r="W119" s="117">
        <v>5313</v>
      </c>
      <c r="X119" s="117">
        <v>2983</v>
      </c>
      <c r="Y119" s="117">
        <v>5666</v>
      </c>
      <c r="Z119" s="117">
        <v>5424</v>
      </c>
      <c r="AA119" s="117">
        <v>29581</v>
      </c>
      <c r="AB119" s="117">
        <v>29888</v>
      </c>
      <c r="AC119" s="117">
        <v>30191</v>
      </c>
      <c r="AD119" s="117">
        <v>45915</v>
      </c>
      <c r="AE119" s="117">
        <v>54727</v>
      </c>
      <c r="AF119"/>
      <c r="AG119"/>
    </row>
    <row r="120" spans="1:33" ht="13.2" x14ac:dyDescent="0.25">
      <c r="A120" s="117" t="s">
        <v>604</v>
      </c>
      <c r="B120" s="117" t="s">
        <v>192</v>
      </c>
      <c r="C120" s="117">
        <f t="shared" si="4"/>
        <v>12002.25</v>
      </c>
      <c r="D120" s="117">
        <f t="shared" si="5"/>
        <v>10323.5</v>
      </c>
      <c r="E120" s="225">
        <f t="shared" si="6"/>
        <v>9256465.75</v>
      </c>
      <c r="F120" s="117">
        <f t="shared" si="7"/>
        <v>16198057.874999998</v>
      </c>
      <c r="G120" s="117">
        <v>9921</v>
      </c>
      <c r="H120" s="117">
        <v>11162</v>
      </c>
      <c r="I120" s="117">
        <v>20419</v>
      </c>
      <c r="J120" s="117">
        <v>26293</v>
      </c>
      <c r="K120" s="117">
        <v>20210</v>
      </c>
      <c r="L120" s="117">
        <v>30194</v>
      </c>
      <c r="M120" s="117">
        <v>29731</v>
      </c>
      <c r="N120" s="117">
        <v>40858</v>
      </c>
      <c r="O120" s="117">
        <v>23371</v>
      </c>
      <c r="P120" s="117">
        <v>23950</v>
      </c>
      <c r="Q120" s="117">
        <v>9947</v>
      </c>
      <c r="R120" s="117">
        <v>11136</v>
      </c>
      <c r="S120" s="117">
        <v>6995</v>
      </c>
      <c r="T120" s="117">
        <v>7228</v>
      </c>
      <c r="U120" s="117">
        <v>9221</v>
      </c>
      <c r="V120" s="117">
        <v>8659</v>
      </c>
      <c r="W120" s="117">
        <v>16790</v>
      </c>
      <c r="X120" s="117">
        <v>14245</v>
      </c>
      <c r="Y120" s="117">
        <v>15003</v>
      </c>
      <c r="Z120" s="117">
        <v>11162</v>
      </c>
      <c r="AA120" s="117">
        <v>60196</v>
      </c>
      <c r="AB120" s="117">
        <v>60553</v>
      </c>
      <c r="AC120" s="117">
        <v>60575</v>
      </c>
      <c r="AD120" s="117">
        <v>196470</v>
      </c>
      <c r="AE120" s="117">
        <v>203932</v>
      </c>
      <c r="AF120"/>
      <c r="AG120"/>
    </row>
    <row r="121" spans="1:33" ht="13.2" x14ac:dyDescent="0.25">
      <c r="A121" s="117" t="s">
        <v>601</v>
      </c>
      <c r="B121" s="117" t="s">
        <v>228</v>
      </c>
      <c r="C121" s="117">
        <f t="shared" si="4"/>
        <v>19171</v>
      </c>
      <c r="D121" s="117">
        <f t="shared" si="5"/>
        <v>15337.75</v>
      </c>
      <c r="E121" s="225">
        <f t="shared" si="6"/>
        <v>7269477.3200000003</v>
      </c>
      <c r="F121" s="117">
        <f t="shared" si="7"/>
        <v>12720990.659999998</v>
      </c>
      <c r="G121" s="117">
        <v>0</v>
      </c>
      <c r="H121" s="117">
        <v>0</v>
      </c>
      <c r="I121" s="117">
        <v>24483</v>
      </c>
      <c r="J121" s="117">
        <v>55774</v>
      </c>
      <c r="K121" s="117">
        <v>44881</v>
      </c>
      <c r="L121" s="117">
        <v>45442</v>
      </c>
      <c r="M121" s="117">
        <v>31527</v>
      </c>
      <c r="N121" s="117">
        <v>32142</v>
      </c>
      <c r="O121" s="117">
        <v>25864</v>
      </c>
      <c r="P121" s="117">
        <v>30869</v>
      </c>
      <c r="Q121" s="117">
        <v>31972</v>
      </c>
      <c r="R121" s="117">
        <v>25647</v>
      </c>
      <c r="S121" s="117">
        <v>52097</v>
      </c>
      <c r="T121" s="117">
        <v>41272</v>
      </c>
      <c r="U121" s="117">
        <v>24587</v>
      </c>
      <c r="V121" s="117">
        <v>20079</v>
      </c>
      <c r="W121" s="117">
        <v>0</v>
      </c>
      <c r="X121" s="117">
        <v>0</v>
      </c>
      <c r="Y121" s="117">
        <v>0</v>
      </c>
      <c r="Z121" s="117">
        <v>0</v>
      </c>
      <c r="AA121" s="117">
        <v>46358</v>
      </c>
      <c r="AB121" s="117">
        <v>46834</v>
      </c>
      <c r="AC121" s="117">
        <v>47572</v>
      </c>
      <c r="AD121" s="117">
        <v>206546</v>
      </c>
      <c r="AE121" s="117">
        <v>194928</v>
      </c>
      <c r="AF121"/>
      <c r="AG121"/>
    </row>
    <row r="122" spans="1:33" ht="13.2" x14ac:dyDescent="0.25">
      <c r="A122" s="117" t="s">
        <v>603</v>
      </c>
      <c r="B122" s="117" t="s">
        <v>347</v>
      </c>
      <c r="C122" s="117">
        <f t="shared" si="4"/>
        <v>6227.75</v>
      </c>
      <c r="D122" s="117">
        <f t="shared" si="5"/>
        <v>5527.75</v>
      </c>
      <c r="E122" s="225">
        <f t="shared" si="6"/>
        <v>2758678.93</v>
      </c>
      <c r="F122" s="117">
        <f t="shared" si="7"/>
        <v>4827462.4649999999</v>
      </c>
      <c r="G122" s="117">
        <v>1611</v>
      </c>
      <c r="H122" s="117">
        <v>1612</v>
      </c>
      <c r="I122" s="117">
        <v>3257</v>
      </c>
      <c r="J122" s="117">
        <v>3258</v>
      </c>
      <c r="K122" s="117">
        <v>1634</v>
      </c>
      <c r="L122" s="117">
        <v>1665</v>
      </c>
      <c r="M122" s="117">
        <v>2270</v>
      </c>
      <c r="N122" s="117">
        <v>2870</v>
      </c>
      <c r="O122" s="117">
        <v>4347</v>
      </c>
      <c r="P122" s="117">
        <v>5567</v>
      </c>
      <c r="Q122" s="117">
        <v>5055</v>
      </c>
      <c r="R122" s="117">
        <v>5420</v>
      </c>
      <c r="S122" s="117">
        <v>7472</v>
      </c>
      <c r="T122" s="117">
        <v>5472</v>
      </c>
      <c r="U122" s="117">
        <v>7006</v>
      </c>
      <c r="V122" s="117">
        <v>6923</v>
      </c>
      <c r="W122" s="117">
        <v>8579</v>
      </c>
      <c r="X122" s="117">
        <v>8104</v>
      </c>
      <c r="Y122" s="117">
        <v>1854</v>
      </c>
      <c r="Z122" s="117">
        <v>1612</v>
      </c>
      <c r="AA122" s="117">
        <v>17866</v>
      </c>
      <c r="AB122" s="117">
        <v>17957</v>
      </c>
      <c r="AC122" s="117">
        <v>18053</v>
      </c>
      <c r="AD122" s="117">
        <v>44946</v>
      </c>
      <c r="AE122" s="117">
        <v>46291</v>
      </c>
      <c r="AF122"/>
      <c r="AG122"/>
    </row>
    <row r="123" spans="1:33" ht="13.2" x14ac:dyDescent="0.25">
      <c r="A123" s="117" t="s">
        <v>602</v>
      </c>
      <c r="B123" s="117" t="s">
        <v>171</v>
      </c>
      <c r="C123" s="117">
        <f t="shared" si="4"/>
        <v>545</v>
      </c>
      <c r="D123" s="117">
        <f t="shared" si="5"/>
        <v>593.5</v>
      </c>
      <c r="E123" s="225">
        <f t="shared" si="6"/>
        <v>2407979.98</v>
      </c>
      <c r="F123" s="117">
        <f t="shared" si="7"/>
        <v>4213767.9899999993</v>
      </c>
      <c r="G123" s="117">
        <v>0</v>
      </c>
      <c r="H123" s="117">
        <v>0</v>
      </c>
      <c r="I123" s="117">
        <v>917</v>
      </c>
      <c r="J123" s="117">
        <v>3203</v>
      </c>
      <c r="K123" s="117">
        <v>5695</v>
      </c>
      <c r="L123" s="117">
        <v>12065</v>
      </c>
      <c r="M123" s="117">
        <v>200</v>
      </c>
      <c r="N123" s="117">
        <v>522</v>
      </c>
      <c r="O123" s="117">
        <v>415</v>
      </c>
      <c r="P123" s="117">
        <v>515</v>
      </c>
      <c r="Q123" s="117">
        <v>449</v>
      </c>
      <c r="R123" s="117">
        <v>782</v>
      </c>
      <c r="S123" s="117">
        <v>1041</v>
      </c>
      <c r="T123" s="117">
        <v>830</v>
      </c>
      <c r="U123" s="117">
        <v>1139</v>
      </c>
      <c r="V123" s="117">
        <v>1544</v>
      </c>
      <c r="W123" s="117">
        <v>0</v>
      </c>
      <c r="X123" s="117">
        <v>0</v>
      </c>
      <c r="Y123" s="117">
        <v>0</v>
      </c>
      <c r="Z123" s="117">
        <v>0</v>
      </c>
      <c r="AA123" s="117">
        <v>15864</v>
      </c>
      <c r="AB123" s="117">
        <v>15789</v>
      </c>
      <c r="AC123" s="117">
        <v>15758</v>
      </c>
      <c r="AD123" s="117">
        <v>69207</v>
      </c>
      <c r="AE123" s="117">
        <v>69228</v>
      </c>
      <c r="AF123"/>
      <c r="AG123"/>
    </row>
    <row r="124" spans="1:33" ht="13.2" x14ac:dyDescent="0.25">
      <c r="A124" s="117" t="s">
        <v>604</v>
      </c>
      <c r="B124" s="117" t="s">
        <v>229</v>
      </c>
      <c r="C124" s="117">
        <f t="shared" si="4"/>
        <v>4506.5</v>
      </c>
      <c r="D124" s="117">
        <f t="shared" si="5"/>
        <v>4384.75</v>
      </c>
      <c r="E124" s="225">
        <f t="shared" si="6"/>
        <v>1859697.7</v>
      </c>
      <c r="F124" s="117">
        <f t="shared" si="7"/>
        <v>3254318.8499999996</v>
      </c>
      <c r="G124" s="117">
        <v>49</v>
      </c>
      <c r="H124" s="117">
        <v>49</v>
      </c>
      <c r="I124" s="117">
        <v>3098</v>
      </c>
      <c r="J124" s="117">
        <v>3134</v>
      </c>
      <c r="K124" s="117">
        <v>6142</v>
      </c>
      <c r="L124" s="117">
        <v>6153</v>
      </c>
      <c r="M124" s="117">
        <v>2590</v>
      </c>
      <c r="N124" s="117">
        <v>2699</v>
      </c>
      <c r="O124" s="117">
        <v>1988</v>
      </c>
      <c r="P124" s="117">
        <v>2003</v>
      </c>
      <c r="Q124" s="117">
        <v>4265</v>
      </c>
      <c r="R124" s="117">
        <v>5074</v>
      </c>
      <c r="S124" s="117">
        <v>6083</v>
      </c>
      <c r="T124" s="117">
        <v>6112</v>
      </c>
      <c r="U124" s="117">
        <v>3936</v>
      </c>
      <c r="V124" s="117">
        <v>3954</v>
      </c>
      <c r="W124" s="117">
        <v>7849</v>
      </c>
      <c r="X124" s="117">
        <v>7424</v>
      </c>
      <c r="Y124" s="117">
        <v>158</v>
      </c>
      <c r="Z124" s="117">
        <v>49</v>
      </c>
      <c r="AA124" s="117">
        <v>12036</v>
      </c>
      <c r="AB124" s="117">
        <v>12157</v>
      </c>
      <c r="AC124" s="117">
        <v>12170</v>
      </c>
      <c r="AD124" s="117">
        <v>23201</v>
      </c>
      <c r="AE124" s="117">
        <v>21499</v>
      </c>
      <c r="AF124"/>
      <c r="AG124"/>
    </row>
    <row r="125" spans="1:33" ht="13.2" x14ac:dyDescent="0.25">
      <c r="A125" s="117" t="s">
        <v>600</v>
      </c>
      <c r="B125" s="117" t="s">
        <v>303</v>
      </c>
      <c r="C125" s="117">
        <f t="shared" si="4"/>
        <v>2762.75</v>
      </c>
      <c r="D125" s="117">
        <f t="shared" si="5"/>
        <v>2249.75</v>
      </c>
      <c r="E125" s="225">
        <f t="shared" si="6"/>
        <v>5983886.79</v>
      </c>
      <c r="F125" s="117">
        <f t="shared" si="7"/>
        <v>10471312.395</v>
      </c>
      <c r="G125" s="117">
        <v>3595</v>
      </c>
      <c r="H125" s="117">
        <v>3670</v>
      </c>
      <c r="I125" s="117">
        <v>11882</v>
      </c>
      <c r="J125" s="117">
        <v>7035</v>
      </c>
      <c r="K125" s="117">
        <v>10043</v>
      </c>
      <c r="L125" s="117">
        <v>7044</v>
      </c>
      <c r="M125" s="117">
        <v>4575</v>
      </c>
      <c r="N125" s="117">
        <v>4906</v>
      </c>
      <c r="O125" s="117">
        <v>2985</v>
      </c>
      <c r="P125" s="117">
        <v>2664</v>
      </c>
      <c r="Q125" s="117">
        <v>7648</v>
      </c>
      <c r="R125" s="117">
        <v>4878</v>
      </c>
      <c r="S125" s="117">
        <v>5064</v>
      </c>
      <c r="T125" s="117">
        <v>2191</v>
      </c>
      <c r="U125" s="117">
        <v>803</v>
      </c>
      <c r="V125" s="117">
        <v>822</v>
      </c>
      <c r="W125" s="117">
        <v>2560</v>
      </c>
      <c r="X125" s="117">
        <v>2316</v>
      </c>
      <c r="Y125" s="117">
        <v>2624</v>
      </c>
      <c r="Z125" s="117">
        <v>3670</v>
      </c>
      <c r="AA125" s="117">
        <v>39171</v>
      </c>
      <c r="AB125" s="117">
        <v>39149</v>
      </c>
      <c r="AC125" s="117">
        <v>39159</v>
      </c>
      <c r="AD125" s="117">
        <v>84453</v>
      </c>
      <c r="AE125" s="117">
        <v>87013</v>
      </c>
      <c r="AF125"/>
      <c r="AG125"/>
    </row>
    <row r="126" spans="1:33" ht="13.2" x14ac:dyDescent="0.25">
      <c r="A126" s="117" t="s">
        <v>600</v>
      </c>
      <c r="B126" s="117" t="s">
        <v>304</v>
      </c>
      <c r="C126" s="117">
        <f t="shared" si="4"/>
        <v>0</v>
      </c>
      <c r="D126" s="117">
        <f t="shared" si="5"/>
        <v>0</v>
      </c>
      <c r="E126" s="225">
        <f t="shared" si="6"/>
        <v>4168351.18</v>
      </c>
      <c r="F126" s="117">
        <f t="shared" si="7"/>
        <v>7294273.5899999989</v>
      </c>
      <c r="G126" s="117">
        <v>0</v>
      </c>
      <c r="H126" s="117">
        <v>0</v>
      </c>
      <c r="I126" s="117">
        <v>0</v>
      </c>
      <c r="J126" s="117">
        <v>0</v>
      </c>
      <c r="K126" s="117">
        <v>0</v>
      </c>
      <c r="L126" s="117">
        <v>0</v>
      </c>
      <c r="M126" s="117">
        <v>0</v>
      </c>
      <c r="N126" s="117">
        <v>0</v>
      </c>
      <c r="O126" s="117">
        <v>0</v>
      </c>
      <c r="P126" s="117">
        <v>0</v>
      </c>
      <c r="Q126" s="117">
        <v>0</v>
      </c>
      <c r="R126" s="117">
        <v>0</v>
      </c>
      <c r="S126" s="117">
        <v>0</v>
      </c>
      <c r="T126" s="117">
        <v>0</v>
      </c>
      <c r="U126" s="117">
        <v>0</v>
      </c>
      <c r="V126" s="117">
        <v>0</v>
      </c>
      <c r="W126" s="117">
        <v>0</v>
      </c>
      <c r="X126" s="117">
        <v>0</v>
      </c>
      <c r="Y126" s="117">
        <v>0</v>
      </c>
      <c r="Z126" s="117">
        <v>0</v>
      </c>
      <c r="AA126" s="117">
        <v>26920</v>
      </c>
      <c r="AB126" s="117">
        <v>27080</v>
      </c>
      <c r="AC126" s="117">
        <v>27278</v>
      </c>
      <c r="AD126" s="117">
        <v>54105</v>
      </c>
      <c r="AE126" s="117">
        <v>53837</v>
      </c>
      <c r="AF126"/>
      <c r="AG126"/>
    </row>
    <row r="127" spans="1:33" ht="13.2" x14ac:dyDescent="0.25">
      <c r="A127" s="117" t="s">
        <v>601</v>
      </c>
      <c r="B127" s="117" t="s">
        <v>230</v>
      </c>
      <c r="C127" s="117">
        <f t="shared" si="4"/>
        <v>1330</v>
      </c>
      <c r="D127" s="117">
        <f t="shared" si="5"/>
        <v>1330.5</v>
      </c>
      <c r="E127" s="225">
        <f t="shared" si="6"/>
        <v>2834472.69</v>
      </c>
      <c r="F127" s="117">
        <f t="shared" si="7"/>
        <v>4960095.3449999997</v>
      </c>
      <c r="G127" s="117">
        <v>261</v>
      </c>
      <c r="H127" s="117">
        <v>210</v>
      </c>
      <c r="I127" s="117">
        <v>2094</v>
      </c>
      <c r="J127" s="117">
        <v>1925</v>
      </c>
      <c r="K127" s="117">
        <v>7124</v>
      </c>
      <c r="L127" s="117">
        <v>7686</v>
      </c>
      <c r="M127" s="117">
        <v>3146</v>
      </c>
      <c r="N127" s="117">
        <v>5612</v>
      </c>
      <c r="O127" s="117">
        <v>2574</v>
      </c>
      <c r="P127" s="117">
        <v>2882</v>
      </c>
      <c r="Q127" s="117">
        <v>2830</v>
      </c>
      <c r="R127" s="117">
        <v>2821</v>
      </c>
      <c r="S127" s="117">
        <v>2125</v>
      </c>
      <c r="T127" s="117">
        <v>2429</v>
      </c>
      <c r="U127" s="117">
        <v>861</v>
      </c>
      <c r="V127" s="117">
        <v>964</v>
      </c>
      <c r="W127" s="117">
        <v>2041</v>
      </c>
      <c r="X127" s="117">
        <v>1929</v>
      </c>
      <c r="Y127" s="117">
        <v>293</v>
      </c>
      <c r="Z127" s="117" t="s">
        <v>843</v>
      </c>
      <c r="AA127" s="117">
        <v>18563</v>
      </c>
      <c r="AB127" s="117">
        <v>18608</v>
      </c>
      <c r="AC127" s="117">
        <v>18549</v>
      </c>
      <c r="AD127" s="117">
        <v>54310</v>
      </c>
      <c r="AE127" s="117">
        <v>54452</v>
      </c>
      <c r="AF127"/>
      <c r="AG127"/>
    </row>
    <row r="128" spans="1:33" ht="13.2" x14ac:dyDescent="0.25">
      <c r="A128" s="117" t="s">
        <v>602</v>
      </c>
      <c r="B128" s="117" t="s">
        <v>172</v>
      </c>
      <c r="C128" s="117">
        <f t="shared" si="4"/>
        <v>8859.25</v>
      </c>
      <c r="D128" s="117">
        <f t="shared" si="5"/>
        <v>9568.75</v>
      </c>
      <c r="E128" s="225">
        <f t="shared" si="6"/>
        <v>7679008.1200000001</v>
      </c>
      <c r="F128" s="117">
        <f t="shared" si="7"/>
        <v>13437636.059999999</v>
      </c>
      <c r="G128" s="117">
        <v>4836</v>
      </c>
      <c r="H128" s="117">
        <v>6041</v>
      </c>
      <c r="I128" s="117">
        <v>15860.827969210106</v>
      </c>
      <c r="J128" s="117">
        <v>20465.720307898951</v>
      </c>
      <c r="K128" s="117">
        <v>15253.851985559566</v>
      </c>
      <c r="L128" s="117">
        <v>87947.934296028878</v>
      </c>
      <c r="M128" s="117">
        <v>601.18566271273858</v>
      </c>
      <c r="N128" s="117">
        <v>3874.3289324394018</v>
      </c>
      <c r="O128" s="117">
        <v>14554.033831872099</v>
      </c>
      <c r="P128" s="117">
        <v>17936.217947395566</v>
      </c>
      <c r="Q128" s="117">
        <v>6876</v>
      </c>
      <c r="R128" s="117">
        <v>13997</v>
      </c>
      <c r="S128" s="117">
        <v>13638</v>
      </c>
      <c r="T128" s="117">
        <v>16901</v>
      </c>
      <c r="U128" s="117">
        <v>5860</v>
      </c>
      <c r="V128" s="117">
        <v>6601</v>
      </c>
      <c r="W128" s="117">
        <v>8891</v>
      </c>
      <c r="X128" s="117">
        <v>8732</v>
      </c>
      <c r="Y128" s="117">
        <v>7048</v>
      </c>
      <c r="Z128" s="117">
        <v>6041</v>
      </c>
      <c r="AA128" s="117">
        <v>50201</v>
      </c>
      <c r="AB128" s="117">
        <v>50200</v>
      </c>
      <c r="AC128" s="117">
        <v>50252</v>
      </c>
      <c r="AD128" s="117">
        <v>108886</v>
      </c>
      <c r="AE128" s="117">
        <v>129041</v>
      </c>
      <c r="AF128"/>
      <c r="AG128"/>
    </row>
    <row r="129" spans="1:33" ht="13.2" x14ac:dyDescent="0.25">
      <c r="A129" s="117" t="s">
        <v>600</v>
      </c>
      <c r="B129" s="117" t="s">
        <v>305</v>
      </c>
      <c r="C129" s="117">
        <f t="shared" si="4"/>
        <v>20825.75</v>
      </c>
      <c r="D129" s="117">
        <f t="shared" si="5"/>
        <v>18584.25</v>
      </c>
      <c r="E129" s="225">
        <f t="shared" si="6"/>
        <v>8671814.6899999995</v>
      </c>
      <c r="F129" s="117">
        <f t="shared" si="7"/>
        <v>15174966.344999999</v>
      </c>
      <c r="G129" s="117">
        <v>19298</v>
      </c>
      <c r="H129" s="117">
        <v>19415</v>
      </c>
      <c r="I129" s="117">
        <v>49907</v>
      </c>
      <c r="J129" s="117">
        <v>55493</v>
      </c>
      <c r="K129" s="117">
        <v>42231</v>
      </c>
      <c r="L129" s="117">
        <v>45094</v>
      </c>
      <c r="M129" s="117">
        <v>21888</v>
      </c>
      <c r="N129" s="117">
        <v>22920</v>
      </c>
      <c r="O129" s="117">
        <v>33869</v>
      </c>
      <c r="P129" s="117">
        <v>45843</v>
      </c>
      <c r="Q129" s="117">
        <v>18490</v>
      </c>
      <c r="R129" s="117">
        <v>20128</v>
      </c>
      <c r="S129" s="117">
        <v>25758</v>
      </c>
      <c r="T129" s="117">
        <v>21444</v>
      </c>
      <c r="U129" s="117">
        <v>29838</v>
      </c>
      <c r="V129" s="117">
        <v>23491</v>
      </c>
      <c r="W129" s="117">
        <v>10050</v>
      </c>
      <c r="X129" s="117">
        <v>9987</v>
      </c>
      <c r="Y129" s="117">
        <v>17657</v>
      </c>
      <c r="Z129" s="117">
        <v>19415</v>
      </c>
      <c r="AA129" s="117">
        <v>54937</v>
      </c>
      <c r="AB129" s="117">
        <v>55868</v>
      </c>
      <c r="AC129" s="117">
        <v>56749</v>
      </c>
      <c r="AD129" s="117">
        <v>140065</v>
      </c>
      <c r="AE129" s="117">
        <v>142101</v>
      </c>
      <c r="AF129"/>
      <c r="AG129"/>
    </row>
    <row r="130" spans="1:33" ht="13.2" x14ac:dyDescent="0.25">
      <c r="A130" s="117" t="s">
        <v>608</v>
      </c>
      <c r="B130" s="117" t="s">
        <v>469</v>
      </c>
      <c r="C130" s="117">
        <f t="shared" si="4"/>
        <v>6191.5</v>
      </c>
      <c r="D130" s="117">
        <f t="shared" si="5"/>
        <v>5556</v>
      </c>
      <c r="E130" s="225">
        <f t="shared" si="6"/>
        <v>13267881.060000001</v>
      </c>
      <c r="F130" s="117">
        <f t="shared" si="7"/>
        <v>23217706.529999997</v>
      </c>
      <c r="G130" s="117">
        <v>37</v>
      </c>
      <c r="H130" s="117">
        <v>459</v>
      </c>
      <c r="I130" s="117">
        <v>15659</v>
      </c>
      <c r="J130" s="117">
        <v>18351</v>
      </c>
      <c r="K130" s="117">
        <v>20391</v>
      </c>
      <c r="L130" s="117">
        <v>20918</v>
      </c>
      <c r="M130" s="117">
        <v>13725</v>
      </c>
      <c r="N130" s="117">
        <v>13055</v>
      </c>
      <c r="O130" s="117">
        <v>11221</v>
      </c>
      <c r="P130" s="117">
        <v>10770</v>
      </c>
      <c r="Q130" s="117">
        <v>16342</v>
      </c>
      <c r="R130" s="117">
        <v>16358</v>
      </c>
      <c r="S130" s="117">
        <v>5290</v>
      </c>
      <c r="T130" s="117">
        <v>5463</v>
      </c>
      <c r="U130" s="117">
        <v>8183</v>
      </c>
      <c r="V130" s="117">
        <v>6553</v>
      </c>
      <c r="W130" s="117">
        <v>11256</v>
      </c>
      <c r="X130" s="117">
        <v>9749</v>
      </c>
      <c r="Y130" s="117">
        <v>37</v>
      </c>
      <c r="Z130" s="117">
        <v>459</v>
      </c>
      <c r="AA130" s="117">
        <v>87202</v>
      </c>
      <c r="AB130" s="117">
        <v>86819</v>
      </c>
      <c r="AC130" s="117">
        <v>86826</v>
      </c>
      <c r="AD130" s="117">
        <v>255513</v>
      </c>
      <c r="AE130" s="117">
        <v>256964</v>
      </c>
      <c r="AF130"/>
      <c r="AG130"/>
    </row>
    <row r="131" spans="1:33" ht="13.2" x14ac:dyDescent="0.25">
      <c r="A131" s="117" t="s">
        <v>599</v>
      </c>
      <c r="B131" s="117" t="s">
        <v>431</v>
      </c>
      <c r="C131" s="117">
        <f t="shared" ref="C131:C194" si="8">SUM(S131,U131,W131,Y131)/4</f>
        <v>1857</v>
      </c>
      <c r="D131" s="117">
        <f t="shared" ref="D131:D194" si="9">SUM(T131,V131,X131,Z131)/4</f>
        <v>1655.25</v>
      </c>
      <c r="E131" s="225">
        <f t="shared" ref="E131:E194" si="10">AC131*152.81</f>
        <v>2439611.65</v>
      </c>
      <c r="F131" s="117">
        <f t="shared" ref="F131:F194" si="11">AC131*$AF$3</f>
        <v>4269120.8249999993</v>
      </c>
      <c r="G131" s="117">
        <v>1394</v>
      </c>
      <c r="H131" s="117">
        <v>1189</v>
      </c>
      <c r="I131" s="117">
        <v>2460</v>
      </c>
      <c r="J131" s="117">
        <v>2587</v>
      </c>
      <c r="K131" s="117">
        <v>1817</v>
      </c>
      <c r="L131" s="117">
        <v>1606</v>
      </c>
      <c r="M131" s="117">
        <v>2044</v>
      </c>
      <c r="N131" s="117">
        <v>3047</v>
      </c>
      <c r="O131" s="117">
        <v>561</v>
      </c>
      <c r="P131" s="117">
        <v>623</v>
      </c>
      <c r="Q131" s="117">
        <v>1406</v>
      </c>
      <c r="R131" s="117">
        <v>1340</v>
      </c>
      <c r="S131" s="117">
        <v>1544</v>
      </c>
      <c r="T131" s="117">
        <v>1613</v>
      </c>
      <c r="U131" s="117">
        <v>2416</v>
      </c>
      <c r="V131" s="117">
        <v>2415</v>
      </c>
      <c r="W131" s="117">
        <v>1403</v>
      </c>
      <c r="X131" s="117">
        <v>1404</v>
      </c>
      <c r="Y131" s="117">
        <v>2065</v>
      </c>
      <c r="Z131" s="117">
        <v>1189</v>
      </c>
      <c r="AA131" s="117">
        <v>15713</v>
      </c>
      <c r="AB131" s="117">
        <v>15891</v>
      </c>
      <c r="AC131" s="117">
        <v>15965</v>
      </c>
      <c r="AD131" s="117">
        <v>24614</v>
      </c>
      <c r="AE131" s="117">
        <v>25110</v>
      </c>
      <c r="AF131"/>
      <c r="AG131"/>
    </row>
    <row r="132" spans="1:33" ht="13.2" x14ac:dyDescent="0.25">
      <c r="A132" s="117" t="s">
        <v>600</v>
      </c>
      <c r="B132" s="117" t="s">
        <v>306</v>
      </c>
      <c r="C132" s="117">
        <f t="shared" si="8"/>
        <v>10275.5</v>
      </c>
      <c r="D132" s="117">
        <f t="shared" si="9"/>
        <v>7149</v>
      </c>
      <c r="E132" s="225">
        <f t="shared" si="10"/>
        <v>3584769.79</v>
      </c>
      <c r="F132" s="117">
        <f t="shared" si="11"/>
        <v>6273053.8949999996</v>
      </c>
      <c r="G132" s="117">
        <v>5603</v>
      </c>
      <c r="H132" s="117">
        <v>5665</v>
      </c>
      <c r="I132" s="117">
        <v>9671</v>
      </c>
      <c r="J132" s="117">
        <v>22046</v>
      </c>
      <c r="K132" s="117">
        <v>15452</v>
      </c>
      <c r="L132" s="117">
        <v>14616</v>
      </c>
      <c r="M132" s="117">
        <v>11017</v>
      </c>
      <c r="N132" s="117">
        <v>15860</v>
      </c>
      <c r="O132" s="117">
        <v>2958</v>
      </c>
      <c r="P132" s="117">
        <v>4384</v>
      </c>
      <c r="Q132" s="117">
        <v>5100</v>
      </c>
      <c r="R132" s="117">
        <v>5471</v>
      </c>
      <c r="S132" s="117">
        <v>10731</v>
      </c>
      <c r="T132" s="117">
        <v>10400</v>
      </c>
      <c r="U132" s="117">
        <v>11282</v>
      </c>
      <c r="V132" s="117">
        <v>4790</v>
      </c>
      <c r="W132" s="117">
        <v>7494</v>
      </c>
      <c r="X132" s="117">
        <v>7741</v>
      </c>
      <c r="Y132" s="117">
        <v>11595</v>
      </c>
      <c r="Z132" s="117">
        <v>5665</v>
      </c>
      <c r="AA132" s="117">
        <v>22851</v>
      </c>
      <c r="AB132" s="117">
        <v>23102</v>
      </c>
      <c r="AC132" s="117">
        <v>23459</v>
      </c>
      <c r="AD132" s="117">
        <v>55914</v>
      </c>
      <c r="AE132" s="117">
        <v>57387</v>
      </c>
      <c r="AF132"/>
      <c r="AG132"/>
    </row>
    <row r="133" spans="1:33" ht="13.2" x14ac:dyDescent="0.25">
      <c r="A133" s="117" t="s">
        <v>604</v>
      </c>
      <c r="B133" s="117" t="s">
        <v>193</v>
      </c>
      <c r="C133" s="117">
        <f t="shared" si="8"/>
        <v>4312.25</v>
      </c>
      <c r="D133" s="117">
        <f t="shared" si="9"/>
        <v>4286.75</v>
      </c>
      <c r="E133" s="225">
        <f t="shared" si="10"/>
        <v>5472431.7199999997</v>
      </c>
      <c r="F133" s="117">
        <f t="shared" si="11"/>
        <v>9576307.8599999994</v>
      </c>
      <c r="G133" s="117">
        <v>4237</v>
      </c>
      <c r="H133" s="117">
        <v>4283</v>
      </c>
      <c r="I133" s="117">
        <v>10926</v>
      </c>
      <c r="J133" s="117">
        <v>7556</v>
      </c>
      <c r="K133" s="117">
        <v>5388</v>
      </c>
      <c r="L133" s="117">
        <v>9182</v>
      </c>
      <c r="M133" s="117">
        <v>3312</v>
      </c>
      <c r="N133" s="117">
        <v>4274</v>
      </c>
      <c r="O133" s="117">
        <v>1682</v>
      </c>
      <c r="P133" s="117">
        <v>2478</v>
      </c>
      <c r="Q133" s="117">
        <v>5217</v>
      </c>
      <c r="R133" s="117">
        <v>5939</v>
      </c>
      <c r="S133" s="117">
        <v>1477</v>
      </c>
      <c r="T133" s="117">
        <v>1957</v>
      </c>
      <c r="U133" s="117">
        <v>3862</v>
      </c>
      <c r="V133" s="117">
        <v>3518</v>
      </c>
      <c r="W133" s="117">
        <v>6578</v>
      </c>
      <c r="X133" s="117">
        <v>7389</v>
      </c>
      <c r="Y133" s="117">
        <v>5332</v>
      </c>
      <c r="Z133" s="117">
        <v>4283</v>
      </c>
      <c r="AA133" s="117">
        <v>35774</v>
      </c>
      <c r="AB133" s="117">
        <v>35808</v>
      </c>
      <c r="AC133" s="117">
        <v>35812</v>
      </c>
      <c r="AD133" s="117">
        <v>124309</v>
      </c>
      <c r="AE133" s="117">
        <v>128951</v>
      </c>
      <c r="AF133"/>
      <c r="AG133"/>
    </row>
    <row r="134" spans="1:33" ht="13.2" x14ac:dyDescent="0.25">
      <c r="A134" s="117" t="s">
        <v>603</v>
      </c>
      <c r="B134" s="117" t="s">
        <v>348</v>
      </c>
      <c r="C134" s="117">
        <f t="shared" si="8"/>
        <v>9585.75</v>
      </c>
      <c r="D134" s="117">
        <f t="shared" si="9"/>
        <v>8559.5</v>
      </c>
      <c r="E134" s="225">
        <f t="shared" si="10"/>
        <v>6118665.21</v>
      </c>
      <c r="F134" s="117">
        <f t="shared" si="11"/>
        <v>10707163.604999999</v>
      </c>
      <c r="G134" s="117">
        <v>12555</v>
      </c>
      <c r="H134" s="117">
        <v>12454</v>
      </c>
      <c r="I134" s="117">
        <v>10111</v>
      </c>
      <c r="J134" s="117">
        <v>10853</v>
      </c>
      <c r="K134" s="117">
        <v>8157</v>
      </c>
      <c r="L134" s="117">
        <v>12146</v>
      </c>
      <c r="M134" s="117">
        <v>14516</v>
      </c>
      <c r="N134" s="117">
        <v>15154</v>
      </c>
      <c r="O134" s="117">
        <v>6625</v>
      </c>
      <c r="P134" s="117">
        <v>7257</v>
      </c>
      <c r="Q134" s="117">
        <v>5938</v>
      </c>
      <c r="R134" s="117">
        <v>8627</v>
      </c>
      <c r="S134" s="117">
        <v>9095</v>
      </c>
      <c r="T134" s="117">
        <v>5214</v>
      </c>
      <c r="U134" s="117">
        <v>5998</v>
      </c>
      <c r="V134" s="117">
        <v>5993</v>
      </c>
      <c r="W134" s="117">
        <v>10695</v>
      </c>
      <c r="X134" s="117">
        <v>10577</v>
      </c>
      <c r="Y134" s="117">
        <v>12555</v>
      </c>
      <c r="Z134" s="117">
        <v>12454</v>
      </c>
      <c r="AA134" s="117">
        <v>38721</v>
      </c>
      <c r="AB134" s="117">
        <v>38772</v>
      </c>
      <c r="AC134" s="117">
        <v>40041</v>
      </c>
      <c r="AD134" s="117">
        <v>94864</v>
      </c>
      <c r="AE134" s="117">
        <v>110026</v>
      </c>
      <c r="AF134"/>
      <c r="AG134"/>
    </row>
    <row r="135" spans="1:33" ht="13.2" x14ac:dyDescent="0.25">
      <c r="A135" s="117" t="s">
        <v>599</v>
      </c>
      <c r="B135" s="117" t="s">
        <v>432</v>
      </c>
      <c r="C135" s="117">
        <f t="shared" si="8"/>
        <v>38932.25</v>
      </c>
      <c r="D135" s="117">
        <f t="shared" si="9"/>
        <v>30553.25</v>
      </c>
      <c r="E135" s="225">
        <f t="shared" si="10"/>
        <v>13987463.35</v>
      </c>
      <c r="F135" s="117">
        <f t="shared" si="11"/>
        <v>24476916.674999997</v>
      </c>
      <c r="G135" s="117">
        <v>44639</v>
      </c>
      <c r="H135" s="117">
        <v>45089</v>
      </c>
      <c r="I135" s="117">
        <v>54447</v>
      </c>
      <c r="J135" s="117">
        <v>60661</v>
      </c>
      <c r="K135" s="117">
        <v>31481</v>
      </c>
      <c r="L135" s="117">
        <v>37568</v>
      </c>
      <c r="M135" s="117">
        <v>30602</v>
      </c>
      <c r="N135" s="117">
        <v>47857</v>
      </c>
      <c r="O135" s="117">
        <v>29241</v>
      </c>
      <c r="P135" s="117">
        <v>45677</v>
      </c>
      <c r="Q135" s="117">
        <v>18101</v>
      </c>
      <c r="R135" s="117">
        <v>22447</v>
      </c>
      <c r="S135" s="117">
        <v>74398</v>
      </c>
      <c r="T135" s="117">
        <v>45298</v>
      </c>
      <c r="U135" s="117">
        <v>26708</v>
      </c>
      <c r="V135" s="117">
        <v>16445</v>
      </c>
      <c r="W135" s="117">
        <v>14125</v>
      </c>
      <c r="X135" s="117">
        <v>15381</v>
      </c>
      <c r="Y135" s="117">
        <v>40498</v>
      </c>
      <c r="Z135" s="117">
        <v>45089</v>
      </c>
      <c r="AA135" s="117">
        <v>90619</v>
      </c>
      <c r="AB135" s="117">
        <v>90872</v>
      </c>
      <c r="AC135" s="117">
        <v>91535</v>
      </c>
      <c r="AD135" s="117">
        <v>226074</v>
      </c>
      <c r="AE135" s="117">
        <v>233398</v>
      </c>
      <c r="AF135"/>
      <c r="AG135"/>
    </row>
    <row r="136" spans="1:33" ht="13.2" x14ac:dyDescent="0.25">
      <c r="A136" s="117" t="s">
        <v>603</v>
      </c>
      <c r="B136" s="117" t="s">
        <v>349</v>
      </c>
      <c r="C136" s="117">
        <f t="shared" si="8"/>
        <v>13487.25</v>
      </c>
      <c r="D136" s="117">
        <f t="shared" si="9"/>
        <v>13536</v>
      </c>
      <c r="E136" s="225">
        <f t="shared" si="10"/>
        <v>4731303.22</v>
      </c>
      <c r="F136" s="117">
        <f t="shared" si="11"/>
        <v>8279393.6099999994</v>
      </c>
      <c r="G136" s="117">
        <v>11850</v>
      </c>
      <c r="H136" s="117">
        <v>11869</v>
      </c>
      <c r="I136" s="117">
        <v>21686</v>
      </c>
      <c r="J136" s="117">
        <v>12861</v>
      </c>
      <c r="K136" s="117">
        <v>12592</v>
      </c>
      <c r="L136" s="117">
        <v>16743</v>
      </c>
      <c r="M136" s="117">
        <v>10373</v>
      </c>
      <c r="N136" s="117">
        <v>12823</v>
      </c>
      <c r="O136" s="117">
        <v>12361</v>
      </c>
      <c r="P136" s="117">
        <v>13695</v>
      </c>
      <c r="Q136" s="117">
        <v>11118</v>
      </c>
      <c r="R136" s="117">
        <v>9133</v>
      </c>
      <c r="S136" s="117">
        <v>17477</v>
      </c>
      <c r="T136" s="117">
        <v>15333</v>
      </c>
      <c r="U136" s="117">
        <v>18797</v>
      </c>
      <c r="V136" s="117">
        <v>16916</v>
      </c>
      <c r="W136" s="117">
        <v>9827</v>
      </c>
      <c r="X136" s="117">
        <v>10026</v>
      </c>
      <c r="Y136" s="117">
        <v>7848</v>
      </c>
      <c r="Z136" s="117">
        <v>11869</v>
      </c>
      <c r="AA136" s="117">
        <v>29724</v>
      </c>
      <c r="AB136" s="117">
        <v>30681</v>
      </c>
      <c r="AC136" s="117">
        <v>30962</v>
      </c>
      <c r="AD136" s="117">
        <v>64258</v>
      </c>
      <c r="AE136" s="117">
        <v>67971</v>
      </c>
      <c r="AF136"/>
      <c r="AG136"/>
    </row>
    <row r="137" spans="1:33" ht="13.2" x14ac:dyDescent="0.25">
      <c r="A137" s="117" t="s">
        <v>604</v>
      </c>
      <c r="B137" s="117" t="s">
        <v>512</v>
      </c>
      <c r="C137" s="117">
        <f t="shared" si="8"/>
        <v>32362</v>
      </c>
      <c r="D137" s="117">
        <f t="shared" si="9"/>
        <v>35948.5</v>
      </c>
      <c r="E137" s="225">
        <f t="shared" si="10"/>
        <v>12325654.6</v>
      </c>
      <c r="F137" s="117">
        <f t="shared" si="11"/>
        <v>21568887.299999997</v>
      </c>
      <c r="G137" s="117">
        <v>22858</v>
      </c>
      <c r="H137" s="117">
        <v>23957</v>
      </c>
      <c r="I137" s="117">
        <v>47198</v>
      </c>
      <c r="J137" s="117">
        <v>55122</v>
      </c>
      <c r="K137" s="117">
        <v>37579</v>
      </c>
      <c r="L137" s="117">
        <v>42223</v>
      </c>
      <c r="M137" s="117">
        <v>65671</v>
      </c>
      <c r="N137" s="117">
        <v>69364</v>
      </c>
      <c r="O137" s="117">
        <v>43549</v>
      </c>
      <c r="P137" s="117">
        <v>52858</v>
      </c>
      <c r="Q137" s="117">
        <v>40101</v>
      </c>
      <c r="R137" s="117">
        <v>46383</v>
      </c>
      <c r="S137" s="117">
        <v>37778</v>
      </c>
      <c r="T137" s="117">
        <v>40893</v>
      </c>
      <c r="U137" s="117">
        <v>38132</v>
      </c>
      <c r="V137" s="117">
        <v>40613</v>
      </c>
      <c r="W137" s="117">
        <v>33835</v>
      </c>
      <c r="X137" s="117">
        <v>38331</v>
      </c>
      <c r="Y137" s="117">
        <v>19703</v>
      </c>
      <c r="Z137" s="117">
        <v>23957</v>
      </c>
      <c r="AA137" s="117">
        <v>80813</v>
      </c>
      <c r="AB137" s="117">
        <v>80608</v>
      </c>
      <c r="AC137" s="117">
        <v>80660</v>
      </c>
      <c r="AD137" s="117">
        <v>203045</v>
      </c>
      <c r="AE137" s="117">
        <v>214922</v>
      </c>
      <c r="AF137"/>
      <c r="AG137"/>
    </row>
    <row r="138" spans="1:33" ht="13.2" x14ac:dyDescent="0.25">
      <c r="A138" s="117" t="s">
        <v>607</v>
      </c>
      <c r="B138" s="117" t="s">
        <v>747</v>
      </c>
      <c r="C138" s="117">
        <f t="shared" si="8"/>
        <v>1175</v>
      </c>
      <c r="D138" s="117">
        <f t="shared" si="9"/>
        <v>1393</v>
      </c>
      <c r="E138" s="225">
        <f t="shared" si="10"/>
        <v>7554009.54</v>
      </c>
      <c r="F138" s="117">
        <f t="shared" si="11"/>
        <v>13218898.77</v>
      </c>
      <c r="G138" s="271">
        <f>W138</f>
        <v>1021</v>
      </c>
      <c r="H138" s="271">
        <f>X138</f>
        <v>1320</v>
      </c>
      <c r="I138" s="117">
        <v>4934</v>
      </c>
      <c r="J138" s="117">
        <v>6052</v>
      </c>
      <c r="K138" s="117">
        <v>2869</v>
      </c>
      <c r="L138" s="117">
        <v>11865</v>
      </c>
      <c r="M138" s="117">
        <v>2625</v>
      </c>
      <c r="N138" s="117">
        <v>4107</v>
      </c>
      <c r="O138" s="117">
        <v>3122</v>
      </c>
      <c r="P138" s="117">
        <v>2905</v>
      </c>
      <c r="Q138" s="117">
        <v>2394</v>
      </c>
      <c r="R138" s="117">
        <v>2251</v>
      </c>
      <c r="S138" s="117">
        <v>1295</v>
      </c>
      <c r="T138" s="117">
        <v>2439</v>
      </c>
      <c r="U138" s="117">
        <v>1432</v>
      </c>
      <c r="V138" s="117">
        <v>1813</v>
      </c>
      <c r="W138" s="117">
        <v>1021</v>
      </c>
      <c r="X138" s="117">
        <v>1320</v>
      </c>
      <c r="Y138" s="117">
        <v>952</v>
      </c>
      <c r="Z138" s="117">
        <v>0</v>
      </c>
      <c r="AA138" s="117">
        <v>49815</v>
      </c>
      <c r="AB138" s="117">
        <v>49656</v>
      </c>
      <c r="AC138" s="117">
        <v>49434</v>
      </c>
      <c r="AD138" s="117">
        <v>142570</v>
      </c>
      <c r="AE138" s="117">
        <v>142039</v>
      </c>
      <c r="AF138"/>
      <c r="AG138"/>
    </row>
    <row r="139" spans="1:33" ht="13.2" x14ac:dyDescent="0.25">
      <c r="A139" s="117" t="s">
        <v>601</v>
      </c>
      <c r="B139" s="117" t="s">
        <v>231</v>
      </c>
      <c r="C139" s="117">
        <f t="shared" si="8"/>
        <v>2196.75</v>
      </c>
      <c r="D139" s="117">
        <f t="shared" si="9"/>
        <v>1558</v>
      </c>
      <c r="E139" s="225">
        <f t="shared" si="10"/>
        <v>2518767.23</v>
      </c>
      <c r="F139" s="117">
        <f t="shared" si="11"/>
        <v>4407636.6149999993</v>
      </c>
      <c r="G139" s="117">
        <v>1212</v>
      </c>
      <c r="H139" s="117">
        <v>1212</v>
      </c>
      <c r="I139" s="117">
        <v>1632</v>
      </c>
      <c r="J139" s="117">
        <v>2282</v>
      </c>
      <c r="K139" s="117">
        <v>4112</v>
      </c>
      <c r="L139" s="117">
        <v>3906</v>
      </c>
      <c r="M139" s="117">
        <v>2022</v>
      </c>
      <c r="N139" s="117">
        <v>4239</v>
      </c>
      <c r="O139" s="117">
        <v>1892</v>
      </c>
      <c r="P139" s="117">
        <v>1997</v>
      </c>
      <c r="Q139" s="117">
        <v>1223</v>
      </c>
      <c r="R139" s="117">
        <v>2563</v>
      </c>
      <c r="S139" s="117">
        <v>674</v>
      </c>
      <c r="T139" s="117">
        <v>514</v>
      </c>
      <c r="U139" s="117">
        <v>1064</v>
      </c>
      <c r="V139" s="117">
        <v>1053</v>
      </c>
      <c r="W139" s="117">
        <v>2715</v>
      </c>
      <c r="X139" s="117">
        <v>3453</v>
      </c>
      <c r="Y139" s="117">
        <v>4334</v>
      </c>
      <c r="Z139" s="117">
        <v>1212</v>
      </c>
      <c r="AA139" s="117">
        <v>16468</v>
      </c>
      <c r="AB139" s="117">
        <v>16452</v>
      </c>
      <c r="AC139" s="117">
        <v>16483</v>
      </c>
      <c r="AD139" s="117">
        <v>10012</v>
      </c>
      <c r="AE139" s="117">
        <v>12266</v>
      </c>
      <c r="AF139"/>
      <c r="AG139"/>
    </row>
    <row r="140" spans="1:33" ht="13.2" x14ac:dyDescent="0.25">
      <c r="A140" s="117" t="s">
        <v>599</v>
      </c>
      <c r="B140" s="117" t="s">
        <v>433</v>
      </c>
      <c r="C140" s="117">
        <f t="shared" si="8"/>
        <v>13612.75</v>
      </c>
      <c r="D140" s="117">
        <f t="shared" si="9"/>
        <v>12562.25</v>
      </c>
      <c r="E140" s="225">
        <f t="shared" si="10"/>
        <v>6739990.6699999999</v>
      </c>
      <c r="F140" s="117">
        <f t="shared" si="11"/>
        <v>11794432.334999999</v>
      </c>
      <c r="G140" s="117">
        <v>6297</v>
      </c>
      <c r="H140" s="117">
        <v>5800</v>
      </c>
      <c r="I140" s="117">
        <v>10156</v>
      </c>
      <c r="J140" s="117">
        <v>2000</v>
      </c>
      <c r="K140" s="117">
        <v>5867</v>
      </c>
      <c r="L140" s="117">
        <v>9512</v>
      </c>
      <c r="M140" s="117">
        <v>4646</v>
      </c>
      <c r="N140" s="117">
        <v>13692</v>
      </c>
      <c r="O140" s="117">
        <v>10604</v>
      </c>
      <c r="P140" s="117">
        <v>24849</v>
      </c>
      <c r="Q140" s="117">
        <v>19634</v>
      </c>
      <c r="R140" s="117">
        <v>23900</v>
      </c>
      <c r="S140" s="117">
        <v>8497</v>
      </c>
      <c r="T140" s="117">
        <v>8219</v>
      </c>
      <c r="U140" s="117">
        <v>24698</v>
      </c>
      <c r="V140" s="117">
        <v>20517</v>
      </c>
      <c r="W140" s="117">
        <v>15284</v>
      </c>
      <c r="X140" s="117">
        <v>15713</v>
      </c>
      <c r="Y140" s="117">
        <v>5972</v>
      </c>
      <c r="Z140" s="117">
        <v>5800</v>
      </c>
      <c r="AA140" s="117">
        <v>43516</v>
      </c>
      <c r="AB140" s="117">
        <v>43747</v>
      </c>
      <c r="AC140" s="117">
        <v>44107</v>
      </c>
      <c r="AD140" s="117">
        <v>183628</v>
      </c>
      <c r="AE140" s="117">
        <v>185160</v>
      </c>
      <c r="AF140"/>
      <c r="AG140"/>
    </row>
    <row r="141" spans="1:33" ht="13.2" x14ac:dyDescent="0.25">
      <c r="A141" s="117" t="s">
        <v>603</v>
      </c>
      <c r="B141" s="117" t="s">
        <v>350</v>
      </c>
      <c r="C141" s="117">
        <f t="shared" si="8"/>
        <v>1715.25</v>
      </c>
      <c r="D141" s="117">
        <f t="shared" si="9"/>
        <v>1543.75</v>
      </c>
      <c r="E141" s="225">
        <f t="shared" si="10"/>
        <v>3356166.0300000003</v>
      </c>
      <c r="F141" s="117">
        <f t="shared" si="11"/>
        <v>5873016.0149999997</v>
      </c>
      <c r="G141" s="117">
        <v>1424</v>
      </c>
      <c r="H141" s="117">
        <v>1489</v>
      </c>
      <c r="I141" s="117">
        <v>3026</v>
      </c>
      <c r="J141" s="117">
        <v>3155</v>
      </c>
      <c r="K141" s="117">
        <v>4490</v>
      </c>
      <c r="L141" s="117">
        <v>4806</v>
      </c>
      <c r="M141" s="117">
        <v>2493</v>
      </c>
      <c r="N141" s="117">
        <v>1194</v>
      </c>
      <c r="O141" s="117">
        <v>2120</v>
      </c>
      <c r="P141" s="117">
        <v>557</v>
      </c>
      <c r="Q141" s="117">
        <v>1753</v>
      </c>
      <c r="R141" s="117">
        <v>922</v>
      </c>
      <c r="S141" s="117">
        <v>30</v>
      </c>
      <c r="T141" s="117">
        <v>106</v>
      </c>
      <c r="U141" s="117">
        <v>2256</v>
      </c>
      <c r="V141" s="117">
        <v>2317</v>
      </c>
      <c r="W141" s="117">
        <v>2365</v>
      </c>
      <c r="X141" s="117">
        <v>2263</v>
      </c>
      <c r="Y141" s="117">
        <v>2210</v>
      </c>
      <c r="Z141" s="117">
        <v>1489</v>
      </c>
      <c r="AA141" s="117">
        <v>21313</v>
      </c>
      <c r="AB141" s="117">
        <v>21821</v>
      </c>
      <c r="AC141" s="117">
        <v>21963</v>
      </c>
      <c r="AD141" s="117">
        <v>47759</v>
      </c>
      <c r="AE141" s="117">
        <v>48406</v>
      </c>
      <c r="AF141"/>
      <c r="AG141"/>
    </row>
    <row r="142" spans="1:33" ht="13.2" x14ac:dyDescent="0.25">
      <c r="A142" s="117" t="s">
        <v>599</v>
      </c>
      <c r="B142" s="117" t="s">
        <v>434</v>
      </c>
      <c r="C142" s="117">
        <f t="shared" si="8"/>
        <v>3373.5</v>
      </c>
      <c r="D142" s="117">
        <f t="shared" si="9"/>
        <v>3008.5</v>
      </c>
      <c r="E142" s="225">
        <f t="shared" si="10"/>
        <v>2342577.2999999998</v>
      </c>
      <c r="F142" s="117">
        <f t="shared" si="11"/>
        <v>4099318.6499999994</v>
      </c>
      <c r="G142" s="117">
        <v>4663</v>
      </c>
      <c r="H142" s="117">
        <v>4394</v>
      </c>
      <c r="I142" s="117">
        <v>2989</v>
      </c>
      <c r="J142" s="117">
        <v>2783</v>
      </c>
      <c r="K142" s="117">
        <v>6757</v>
      </c>
      <c r="L142" s="117">
        <v>4979</v>
      </c>
      <c r="M142" s="117">
        <v>1711</v>
      </c>
      <c r="N142" s="117">
        <v>1479</v>
      </c>
      <c r="O142" s="117">
        <v>4461</v>
      </c>
      <c r="P142" s="117">
        <v>3667</v>
      </c>
      <c r="Q142" s="117">
        <v>3036</v>
      </c>
      <c r="R142" s="117">
        <v>2807</v>
      </c>
      <c r="S142" s="117">
        <v>4435</v>
      </c>
      <c r="T142" s="117">
        <v>2740</v>
      </c>
      <c r="U142" s="117">
        <v>2517</v>
      </c>
      <c r="V142" s="117">
        <v>2450</v>
      </c>
      <c r="W142" s="117">
        <v>3357</v>
      </c>
      <c r="X142" s="117">
        <v>2450</v>
      </c>
      <c r="Y142" s="117">
        <v>3185</v>
      </c>
      <c r="Z142" s="117">
        <v>4394</v>
      </c>
      <c r="AA142" s="117">
        <v>15282</v>
      </c>
      <c r="AB142" s="117">
        <v>15366</v>
      </c>
      <c r="AC142" s="117">
        <v>15330</v>
      </c>
      <c r="AD142" s="117">
        <v>29595</v>
      </c>
      <c r="AE142" s="117">
        <v>27517</v>
      </c>
      <c r="AF142"/>
      <c r="AG142"/>
    </row>
    <row r="143" spans="1:33" ht="13.2" x14ac:dyDescent="0.25">
      <c r="A143" s="117" t="s">
        <v>600</v>
      </c>
      <c r="B143" s="117" t="s">
        <v>307</v>
      </c>
      <c r="C143" s="117">
        <f t="shared" si="8"/>
        <v>16591</v>
      </c>
      <c r="D143" s="117">
        <f t="shared" si="9"/>
        <v>14784.25</v>
      </c>
      <c r="E143" s="225">
        <f t="shared" si="10"/>
        <v>13783156.380000001</v>
      </c>
      <c r="F143" s="117">
        <f t="shared" si="11"/>
        <v>24119396.189999998</v>
      </c>
      <c r="G143" s="117">
        <v>12486</v>
      </c>
      <c r="H143" s="117">
        <v>13734</v>
      </c>
      <c r="I143" s="117">
        <v>11263</v>
      </c>
      <c r="J143" s="117">
        <v>18872</v>
      </c>
      <c r="K143" s="117">
        <v>14634</v>
      </c>
      <c r="L143" s="117">
        <v>16857</v>
      </c>
      <c r="M143" s="117">
        <v>55584</v>
      </c>
      <c r="N143" s="117">
        <v>53490</v>
      </c>
      <c r="O143" s="117">
        <v>20051</v>
      </c>
      <c r="P143" s="117">
        <v>19564</v>
      </c>
      <c r="Q143" s="117">
        <v>20010</v>
      </c>
      <c r="R143" s="117">
        <v>19441</v>
      </c>
      <c r="S143" s="117">
        <v>23379</v>
      </c>
      <c r="T143" s="117">
        <v>17601</v>
      </c>
      <c r="U143" s="117">
        <v>18726</v>
      </c>
      <c r="V143" s="117">
        <v>20819</v>
      </c>
      <c r="W143" s="117">
        <v>12368</v>
      </c>
      <c r="X143" s="117">
        <v>6983</v>
      </c>
      <c r="Y143" s="117">
        <v>11891</v>
      </c>
      <c r="Z143" s="117">
        <v>13734</v>
      </c>
      <c r="AA143" s="117">
        <v>88915</v>
      </c>
      <c r="AB143" s="117">
        <v>89552</v>
      </c>
      <c r="AC143" s="117">
        <v>90198</v>
      </c>
      <c r="AD143" s="117">
        <v>303504</v>
      </c>
      <c r="AE143" s="117">
        <v>298865</v>
      </c>
      <c r="AF143"/>
      <c r="AG143"/>
    </row>
    <row r="144" spans="1:33" ht="13.2" x14ac:dyDescent="0.25">
      <c r="A144" s="117" t="s">
        <v>603</v>
      </c>
      <c r="B144" s="117" t="s">
        <v>748</v>
      </c>
      <c r="C144" s="117">
        <f t="shared" si="8"/>
        <v>10836.5</v>
      </c>
      <c r="D144" s="117">
        <f t="shared" si="9"/>
        <v>6696.5</v>
      </c>
      <c r="E144" s="225">
        <f t="shared" si="10"/>
        <v>13239764.02</v>
      </c>
      <c r="F144" s="117">
        <f t="shared" si="11"/>
        <v>23168504.009999998</v>
      </c>
      <c r="G144" s="271">
        <f>W143</f>
        <v>12368</v>
      </c>
      <c r="H144" s="271">
        <f>X143</f>
        <v>6983</v>
      </c>
      <c r="I144" s="117">
        <v>18900</v>
      </c>
      <c r="J144" s="117">
        <v>20446</v>
      </c>
      <c r="K144" s="117">
        <v>18146</v>
      </c>
      <c r="L144" s="117">
        <v>24184</v>
      </c>
      <c r="M144" s="117">
        <v>11463</v>
      </c>
      <c r="N144" s="117">
        <v>13856</v>
      </c>
      <c r="O144" s="117">
        <v>13396</v>
      </c>
      <c r="P144" s="117">
        <v>14880</v>
      </c>
      <c r="Q144" s="117">
        <v>8108</v>
      </c>
      <c r="R144" s="117">
        <v>8788</v>
      </c>
      <c r="S144" s="117">
        <v>12382</v>
      </c>
      <c r="T144" s="117">
        <v>11538</v>
      </c>
      <c r="U144" s="117">
        <v>10572</v>
      </c>
      <c r="V144" s="117">
        <v>9933</v>
      </c>
      <c r="W144" s="117">
        <v>6014</v>
      </c>
      <c r="X144" s="117">
        <v>5315</v>
      </c>
      <c r="Y144" s="117">
        <v>14378</v>
      </c>
      <c r="Z144" s="117">
        <v>0</v>
      </c>
      <c r="AA144" s="117">
        <v>85677</v>
      </c>
      <c r="AB144" s="117">
        <v>86129</v>
      </c>
      <c r="AC144" s="117">
        <v>86642</v>
      </c>
      <c r="AD144" s="117">
        <v>144787</v>
      </c>
      <c r="AE144" s="117">
        <v>154525</v>
      </c>
      <c r="AF144"/>
      <c r="AG144"/>
    </row>
    <row r="145" spans="1:33" ht="13.2" x14ac:dyDescent="0.25">
      <c r="A145" s="117" t="s">
        <v>604</v>
      </c>
      <c r="B145" s="117" t="s">
        <v>194</v>
      </c>
      <c r="C145" s="117">
        <f t="shared" si="8"/>
        <v>1709.25</v>
      </c>
      <c r="D145" s="117">
        <f t="shared" si="9"/>
        <v>1498.75</v>
      </c>
      <c r="E145" s="225">
        <f t="shared" si="10"/>
        <v>5340098.26</v>
      </c>
      <c r="F145" s="117">
        <f t="shared" si="11"/>
        <v>9344735.129999999</v>
      </c>
      <c r="G145" s="117">
        <v>252</v>
      </c>
      <c r="H145" s="117">
        <v>266</v>
      </c>
      <c r="I145" s="117">
        <v>5468</v>
      </c>
      <c r="J145" s="117">
        <v>4469</v>
      </c>
      <c r="K145" s="117">
        <v>5846</v>
      </c>
      <c r="L145" s="117">
        <v>8523</v>
      </c>
      <c r="M145" s="117">
        <v>5939</v>
      </c>
      <c r="N145" s="117">
        <v>6186</v>
      </c>
      <c r="O145" s="117">
        <v>1226</v>
      </c>
      <c r="P145" s="117">
        <v>1419</v>
      </c>
      <c r="Q145" s="117">
        <v>1252</v>
      </c>
      <c r="R145" s="117">
        <v>1383</v>
      </c>
      <c r="S145" s="117">
        <v>2697</v>
      </c>
      <c r="T145" s="117">
        <v>2913</v>
      </c>
      <c r="U145" s="117">
        <v>1898</v>
      </c>
      <c r="V145" s="117">
        <v>1581</v>
      </c>
      <c r="W145" s="117">
        <v>1967</v>
      </c>
      <c r="X145" s="117">
        <v>1235</v>
      </c>
      <c r="Y145" s="117">
        <v>275</v>
      </c>
      <c r="Z145" s="117">
        <v>266</v>
      </c>
      <c r="AA145" s="117">
        <v>35008</v>
      </c>
      <c r="AB145" s="117">
        <v>34934</v>
      </c>
      <c r="AC145" s="117">
        <v>34946</v>
      </c>
      <c r="AD145" s="117">
        <v>91707</v>
      </c>
      <c r="AE145" s="117">
        <v>105456</v>
      </c>
      <c r="AF145"/>
      <c r="AG145"/>
    </row>
    <row r="146" spans="1:33" ht="13.2" x14ac:dyDescent="0.25">
      <c r="A146" s="117" t="s">
        <v>600</v>
      </c>
      <c r="B146" s="117" t="s">
        <v>308</v>
      </c>
      <c r="C146" s="117">
        <f t="shared" si="8"/>
        <v>1026.75</v>
      </c>
      <c r="D146" s="117">
        <f t="shared" si="9"/>
        <v>559</v>
      </c>
      <c r="E146" s="225">
        <f t="shared" si="10"/>
        <v>7304623.6200000001</v>
      </c>
      <c r="F146" s="117">
        <f t="shared" si="11"/>
        <v>12782493.809999999</v>
      </c>
      <c r="G146" s="117">
        <v>474</v>
      </c>
      <c r="H146" s="117">
        <v>27</v>
      </c>
      <c r="I146" s="117">
        <v>3325</v>
      </c>
      <c r="J146" s="117">
        <v>3480</v>
      </c>
      <c r="K146" s="117">
        <v>5599</v>
      </c>
      <c r="L146" s="117">
        <v>10908</v>
      </c>
      <c r="M146" s="117">
        <v>1866</v>
      </c>
      <c r="N146" s="117">
        <v>4453</v>
      </c>
      <c r="O146" s="117">
        <v>4259</v>
      </c>
      <c r="P146" s="117">
        <v>3644</v>
      </c>
      <c r="Q146" s="117">
        <v>1919</v>
      </c>
      <c r="R146" s="117">
        <v>2714</v>
      </c>
      <c r="S146" s="117">
        <v>1249</v>
      </c>
      <c r="T146" s="117">
        <v>213</v>
      </c>
      <c r="U146" s="117">
        <v>1378</v>
      </c>
      <c r="V146" s="117">
        <v>1138</v>
      </c>
      <c r="W146" s="117">
        <v>1186</v>
      </c>
      <c r="X146" s="117">
        <v>858</v>
      </c>
      <c r="Y146" s="117">
        <v>294</v>
      </c>
      <c r="Z146" s="117">
        <v>27</v>
      </c>
      <c r="AA146" s="117">
        <v>47595</v>
      </c>
      <c r="AB146" s="117">
        <v>47686</v>
      </c>
      <c r="AC146" s="117">
        <v>47802</v>
      </c>
      <c r="AD146" s="117">
        <v>89417</v>
      </c>
      <c r="AE146" s="117">
        <v>88819</v>
      </c>
      <c r="AF146"/>
      <c r="AG146"/>
    </row>
    <row r="147" spans="1:33" ht="13.2" x14ac:dyDescent="0.25">
      <c r="A147" s="117" t="s">
        <v>598</v>
      </c>
      <c r="B147" s="117" t="s">
        <v>134</v>
      </c>
      <c r="C147" s="117">
        <f t="shared" si="8"/>
        <v>6995</v>
      </c>
      <c r="D147" s="117">
        <f t="shared" si="9"/>
        <v>9309.25</v>
      </c>
      <c r="E147" s="225">
        <f t="shared" si="10"/>
        <v>8508155.1799999997</v>
      </c>
      <c r="F147" s="117">
        <f t="shared" si="11"/>
        <v>14888575.589999998</v>
      </c>
      <c r="G147" s="117">
        <v>3038</v>
      </c>
      <c r="H147" s="117">
        <v>2466</v>
      </c>
      <c r="I147" s="117">
        <v>13439</v>
      </c>
      <c r="J147" s="117">
        <v>21562</v>
      </c>
      <c r="K147" s="117">
        <v>10279</v>
      </c>
      <c r="L147" s="117">
        <v>11516</v>
      </c>
      <c r="M147" s="117">
        <v>6892</v>
      </c>
      <c r="N147" s="117">
        <v>8822</v>
      </c>
      <c r="O147" s="117">
        <v>13050</v>
      </c>
      <c r="P147" s="117">
        <v>13735</v>
      </c>
      <c r="Q147" s="117">
        <v>10338</v>
      </c>
      <c r="R147" s="117">
        <v>8708</v>
      </c>
      <c r="S147" s="117">
        <v>6094</v>
      </c>
      <c r="T147" s="117">
        <v>3553</v>
      </c>
      <c r="U147" s="117">
        <v>15710</v>
      </c>
      <c r="V147" s="117">
        <v>27235</v>
      </c>
      <c r="W147" s="117">
        <v>3431</v>
      </c>
      <c r="X147" s="117">
        <v>3983</v>
      </c>
      <c r="Y147" s="117">
        <v>2745</v>
      </c>
      <c r="Z147" s="117">
        <v>2466</v>
      </c>
      <c r="AA147" s="117">
        <v>55320</v>
      </c>
      <c r="AB147" s="117">
        <v>55685</v>
      </c>
      <c r="AC147" s="117">
        <v>55678</v>
      </c>
      <c r="AD147" s="117">
        <v>104668</v>
      </c>
      <c r="AE147" s="117">
        <v>110175</v>
      </c>
      <c r="AF147"/>
      <c r="AG147"/>
    </row>
    <row r="148" spans="1:33" ht="13.2" x14ac:dyDescent="0.25">
      <c r="A148" s="117" t="s">
        <v>600</v>
      </c>
      <c r="B148" s="117" t="s">
        <v>309</v>
      </c>
      <c r="C148" s="117">
        <f t="shared" si="8"/>
        <v>5904.75</v>
      </c>
      <c r="D148" s="117">
        <f t="shared" si="9"/>
        <v>5137.25</v>
      </c>
      <c r="E148" s="225">
        <f t="shared" si="10"/>
        <v>11160783.970000001</v>
      </c>
      <c r="F148" s="117">
        <f t="shared" si="11"/>
        <v>19530458.984999999</v>
      </c>
      <c r="G148" s="117">
        <v>8301</v>
      </c>
      <c r="H148" s="117">
        <v>8112</v>
      </c>
      <c r="I148" s="117">
        <v>9104</v>
      </c>
      <c r="J148" s="117">
        <v>8799</v>
      </c>
      <c r="K148" s="117">
        <v>11033</v>
      </c>
      <c r="L148" s="117">
        <v>16329</v>
      </c>
      <c r="M148" s="117">
        <v>21490</v>
      </c>
      <c r="N148" s="117">
        <v>28278</v>
      </c>
      <c r="O148" s="117">
        <v>16972</v>
      </c>
      <c r="P148" s="117">
        <v>17947</v>
      </c>
      <c r="Q148" s="117">
        <v>15307</v>
      </c>
      <c r="R148" s="117">
        <v>14289</v>
      </c>
      <c r="S148" s="117">
        <v>6331</v>
      </c>
      <c r="T148" s="117">
        <v>4707</v>
      </c>
      <c r="U148" s="117">
        <v>4648</v>
      </c>
      <c r="V148" s="117">
        <v>3918</v>
      </c>
      <c r="W148" s="117">
        <v>3961</v>
      </c>
      <c r="X148" s="117">
        <v>3812</v>
      </c>
      <c r="Y148" s="117">
        <v>8679</v>
      </c>
      <c r="Z148" s="117">
        <v>8112</v>
      </c>
      <c r="AA148" s="117">
        <v>72519</v>
      </c>
      <c r="AB148" s="117">
        <v>72808</v>
      </c>
      <c r="AC148" s="117">
        <v>73037</v>
      </c>
      <c r="AD148" s="117">
        <v>180961</v>
      </c>
      <c r="AE148" s="117">
        <v>179073</v>
      </c>
      <c r="AF148"/>
      <c r="AG148"/>
    </row>
    <row r="149" spans="1:33" ht="13.2" x14ac:dyDescent="0.25">
      <c r="A149" s="117" t="s">
        <v>608</v>
      </c>
      <c r="B149" s="117" t="s">
        <v>470</v>
      </c>
      <c r="C149" s="117">
        <f t="shared" si="8"/>
        <v>10390.25</v>
      </c>
      <c r="D149" s="117">
        <f t="shared" si="9"/>
        <v>9901.25</v>
      </c>
      <c r="E149" s="225">
        <f t="shared" si="10"/>
        <v>6462793.3300000001</v>
      </c>
      <c r="F149" s="117">
        <f t="shared" si="11"/>
        <v>11309359.664999999</v>
      </c>
      <c r="G149" s="117">
        <v>5773</v>
      </c>
      <c r="H149" s="117">
        <v>4627</v>
      </c>
      <c r="I149" s="117">
        <v>6567</v>
      </c>
      <c r="J149" s="117">
        <v>7094</v>
      </c>
      <c r="K149" s="117">
        <v>10039</v>
      </c>
      <c r="L149" s="117">
        <v>11326</v>
      </c>
      <c r="M149" s="117">
        <v>9784</v>
      </c>
      <c r="N149" s="117">
        <v>12703</v>
      </c>
      <c r="O149" s="117">
        <v>10111</v>
      </c>
      <c r="P149" s="117">
        <v>9124</v>
      </c>
      <c r="Q149" s="117">
        <v>9237</v>
      </c>
      <c r="R149" s="117">
        <v>9718</v>
      </c>
      <c r="S149" s="117">
        <v>7230</v>
      </c>
      <c r="T149" s="117">
        <v>8186</v>
      </c>
      <c r="U149" s="117">
        <v>12408</v>
      </c>
      <c r="V149" s="117">
        <v>13349</v>
      </c>
      <c r="W149" s="117">
        <v>15842</v>
      </c>
      <c r="X149" s="117">
        <v>13443</v>
      </c>
      <c r="Y149" s="117">
        <v>6081</v>
      </c>
      <c r="Z149" s="117">
        <v>4627</v>
      </c>
      <c r="AA149" s="117">
        <v>42135</v>
      </c>
      <c r="AB149" s="117">
        <v>42266</v>
      </c>
      <c r="AC149" s="117">
        <v>42293</v>
      </c>
      <c r="AD149" s="117">
        <v>93987</v>
      </c>
      <c r="AE149" s="117">
        <v>97609</v>
      </c>
      <c r="AF149"/>
      <c r="AG149"/>
    </row>
    <row r="150" spans="1:33" ht="13.2" x14ac:dyDescent="0.25">
      <c r="A150" s="117" t="s">
        <v>606</v>
      </c>
      <c r="B150" s="117" t="s">
        <v>269</v>
      </c>
      <c r="C150" s="117">
        <f t="shared" si="8"/>
        <v>13996</v>
      </c>
      <c r="D150" s="117">
        <f t="shared" si="9"/>
        <v>12675.5</v>
      </c>
      <c r="E150" s="225">
        <f t="shared" si="10"/>
        <v>7625524.6200000001</v>
      </c>
      <c r="F150" s="117">
        <f t="shared" si="11"/>
        <v>13344044.309999999</v>
      </c>
      <c r="G150" s="117">
        <v>13154</v>
      </c>
      <c r="H150" s="117">
        <v>13154</v>
      </c>
      <c r="I150" s="117">
        <v>28340</v>
      </c>
      <c r="J150" s="117">
        <v>28308</v>
      </c>
      <c r="K150" s="117">
        <v>11066</v>
      </c>
      <c r="L150" s="117">
        <v>11135</v>
      </c>
      <c r="M150" s="117">
        <v>26183</v>
      </c>
      <c r="N150" s="117">
        <v>26177</v>
      </c>
      <c r="O150" s="117">
        <v>34434</v>
      </c>
      <c r="P150" s="117">
        <v>34429</v>
      </c>
      <c r="Q150" s="117">
        <v>20518</v>
      </c>
      <c r="R150" s="117">
        <v>20509</v>
      </c>
      <c r="S150" s="117">
        <v>20067</v>
      </c>
      <c r="T150" s="117">
        <v>20073</v>
      </c>
      <c r="U150" s="117">
        <v>14419</v>
      </c>
      <c r="V150" s="117">
        <v>14566</v>
      </c>
      <c r="W150" s="117">
        <v>2999</v>
      </c>
      <c r="X150" s="117">
        <v>2909</v>
      </c>
      <c r="Y150" s="117">
        <v>18499</v>
      </c>
      <c r="Z150" s="117">
        <v>13154</v>
      </c>
      <c r="AA150" s="117">
        <v>49294</v>
      </c>
      <c r="AB150" s="117">
        <v>49586</v>
      </c>
      <c r="AC150" s="117">
        <v>49902</v>
      </c>
      <c r="AD150" s="117">
        <v>129247</v>
      </c>
      <c r="AE150" s="117">
        <v>128292</v>
      </c>
      <c r="AF150"/>
      <c r="AG150"/>
    </row>
    <row r="151" spans="1:33" ht="13.2" x14ac:dyDescent="0.25">
      <c r="A151" s="117" t="s">
        <v>600</v>
      </c>
      <c r="B151" s="117" t="s">
        <v>310</v>
      </c>
      <c r="C151" s="117">
        <f t="shared" si="8"/>
        <v>855</v>
      </c>
      <c r="D151" s="117">
        <f t="shared" si="9"/>
        <v>632.5</v>
      </c>
      <c r="E151" s="225">
        <f t="shared" si="10"/>
        <v>6307996.7999999998</v>
      </c>
      <c r="F151" s="117">
        <f t="shared" si="11"/>
        <v>11038478.399999999</v>
      </c>
      <c r="G151" s="117">
        <v>20</v>
      </c>
      <c r="H151" s="117">
        <v>20</v>
      </c>
      <c r="I151" s="117">
        <v>3305</v>
      </c>
      <c r="J151" s="117">
        <v>2670</v>
      </c>
      <c r="K151" s="117">
        <v>1726</v>
      </c>
      <c r="L151" s="117">
        <v>1427</v>
      </c>
      <c r="M151" s="117">
        <v>2973</v>
      </c>
      <c r="N151" s="117">
        <v>2972</v>
      </c>
      <c r="O151" s="117">
        <v>5201</v>
      </c>
      <c r="P151" s="117">
        <v>2455</v>
      </c>
      <c r="Q151" s="117">
        <v>2047</v>
      </c>
      <c r="R151" s="117">
        <v>2056</v>
      </c>
      <c r="S151" s="117">
        <v>3235</v>
      </c>
      <c r="T151" s="117">
        <v>2965</v>
      </c>
      <c r="U151" s="117">
        <v>82</v>
      </c>
      <c r="V151" s="117">
        <v>-542</v>
      </c>
      <c r="W151" s="117">
        <v>80</v>
      </c>
      <c r="X151" s="117">
        <v>87</v>
      </c>
      <c r="Y151" s="117">
        <v>23</v>
      </c>
      <c r="Z151" s="117">
        <v>20</v>
      </c>
      <c r="AA151" s="117">
        <v>41378</v>
      </c>
      <c r="AB151" s="117">
        <v>41364</v>
      </c>
      <c r="AC151" s="117">
        <v>41280</v>
      </c>
      <c r="AD151" s="117">
        <v>65087</v>
      </c>
      <c r="AE151" s="117">
        <v>60996</v>
      </c>
      <c r="AF151"/>
      <c r="AG151"/>
    </row>
    <row r="152" spans="1:33" ht="13.2" x14ac:dyDescent="0.25">
      <c r="A152" s="117" t="s">
        <v>610</v>
      </c>
      <c r="B152" s="117" t="s">
        <v>391</v>
      </c>
      <c r="C152" s="117">
        <f t="shared" si="8"/>
        <v>889</v>
      </c>
      <c r="D152" s="117">
        <f t="shared" si="9"/>
        <v>1526.75</v>
      </c>
      <c r="E152" s="225">
        <f t="shared" si="10"/>
        <v>4205789.63</v>
      </c>
      <c r="F152" s="117">
        <f t="shared" si="11"/>
        <v>7359787.8149999995</v>
      </c>
      <c r="G152" s="117">
        <v>893</v>
      </c>
      <c r="H152" s="117">
        <v>816</v>
      </c>
      <c r="I152" s="117">
        <v>5498</v>
      </c>
      <c r="J152" s="117">
        <v>4667</v>
      </c>
      <c r="K152" s="117">
        <v>8378</v>
      </c>
      <c r="L152" s="117">
        <v>7496</v>
      </c>
      <c r="M152" s="117">
        <v>4995</v>
      </c>
      <c r="N152" s="117">
        <v>3905</v>
      </c>
      <c r="O152" s="117">
        <v>2157</v>
      </c>
      <c r="P152" s="117">
        <v>2813</v>
      </c>
      <c r="Q152" s="117">
        <v>580</v>
      </c>
      <c r="R152" s="117">
        <v>795</v>
      </c>
      <c r="S152" s="117">
        <v>652</v>
      </c>
      <c r="T152" s="117">
        <v>761</v>
      </c>
      <c r="U152" s="117">
        <v>262</v>
      </c>
      <c r="V152" s="117">
        <v>3262</v>
      </c>
      <c r="W152" s="117">
        <v>1408</v>
      </c>
      <c r="X152" s="117">
        <v>1268</v>
      </c>
      <c r="Y152" s="117">
        <v>1234</v>
      </c>
      <c r="Z152" s="117">
        <v>816</v>
      </c>
      <c r="AA152" s="117">
        <v>27400</v>
      </c>
      <c r="AB152" s="117">
        <v>27469</v>
      </c>
      <c r="AC152" s="117">
        <v>27523</v>
      </c>
      <c r="AD152" s="117">
        <v>54721</v>
      </c>
      <c r="AE152" s="117">
        <v>59912</v>
      </c>
      <c r="AF152"/>
      <c r="AG152"/>
    </row>
    <row r="153" spans="1:33" ht="13.2" x14ac:dyDescent="0.25">
      <c r="A153" s="117" t="s">
        <v>606</v>
      </c>
      <c r="B153" s="117" t="s">
        <v>270</v>
      </c>
      <c r="C153" s="117">
        <f t="shared" si="8"/>
        <v>6262.5</v>
      </c>
      <c r="D153" s="117">
        <f t="shared" si="9"/>
        <v>4374.25</v>
      </c>
      <c r="E153" s="225">
        <f t="shared" si="10"/>
        <v>5220295.22</v>
      </c>
      <c r="F153" s="117">
        <f t="shared" si="11"/>
        <v>9135089.6099999994</v>
      </c>
      <c r="G153" s="117">
        <v>405</v>
      </c>
      <c r="H153" s="117">
        <v>425</v>
      </c>
      <c r="I153" s="117">
        <v>13135</v>
      </c>
      <c r="J153" s="117">
        <v>10116</v>
      </c>
      <c r="K153" s="117">
        <v>8798</v>
      </c>
      <c r="L153" s="117">
        <v>2494</v>
      </c>
      <c r="M153" s="117">
        <v>7119</v>
      </c>
      <c r="N153" s="117">
        <v>6446</v>
      </c>
      <c r="O153" s="117">
        <v>3492</v>
      </c>
      <c r="P153" s="117">
        <v>2564</v>
      </c>
      <c r="Q153" s="117">
        <v>10623</v>
      </c>
      <c r="R153" s="117">
        <v>9924</v>
      </c>
      <c r="S153" s="117">
        <v>5186</v>
      </c>
      <c r="T153" s="117">
        <v>5217</v>
      </c>
      <c r="U153" s="117">
        <v>7285</v>
      </c>
      <c r="V153" s="117">
        <v>6407</v>
      </c>
      <c r="W153" s="117">
        <v>9015</v>
      </c>
      <c r="X153" s="117">
        <v>5448</v>
      </c>
      <c r="Y153" s="117">
        <v>3564</v>
      </c>
      <c r="Z153" s="117">
        <v>425</v>
      </c>
      <c r="AA153" s="117">
        <v>34206</v>
      </c>
      <c r="AB153" s="117">
        <v>34299</v>
      </c>
      <c r="AC153" s="117">
        <v>34162</v>
      </c>
      <c r="AD153" s="117">
        <v>59251</v>
      </c>
      <c r="AE153" s="117">
        <v>62013</v>
      </c>
      <c r="AF153"/>
      <c r="AG153"/>
    </row>
    <row r="154" spans="1:33" ht="13.2" x14ac:dyDescent="0.25">
      <c r="A154" s="117" t="s">
        <v>603</v>
      </c>
      <c r="B154" s="117" t="s">
        <v>351</v>
      </c>
      <c r="C154" s="117">
        <f t="shared" si="8"/>
        <v>4257</v>
      </c>
      <c r="D154" s="117">
        <f t="shared" si="9"/>
        <v>2980.5</v>
      </c>
      <c r="E154" s="225">
        <f t="shared" si="10"/>
        <v>4104629.41</v>
      </c>
      <c r="F154" s="117">
        <f t="shared" si="11"/>
        <v>7182765.7049999991</v>
      </c>
      <c r="G154" s="117">
        <v>3962</v>
      </c>
      <c r="H154" s="117">
        <v>3963</v>
      </c>
      <c r="I154" s="117">
        <v>20671</v>
      </c>
      <c r="J154" s="117">
        <v>21393</v>
      </c>
      <c r="K154" s="117">
        <v>13739</v>
      </c>
      <c r="L154" s="117">
        <v>59290</v>
      </c>
      <c r="M154" s="117">
        <v>16085</v>
      </c>
      <c r="N154" s="117">
        <v>20302</v>
      </c>
      <c r="O154" s="117">
        <v>23260</v>
      </c>
      <c r="P154" s="117">
        <v>20293</v>
      </c>
      <c r="Q154" s="117">
        <v>9026</v>
      </c>
      <c r="R154" s="117">
        <v>7776</v>
      </c>
      <c r="S154" s="117">
        <v>6423</v>
      </c>
      <c r="T154" s="117">
        <v>4043</v>
      </c>
      <c r="U154" s="117">
        <v>1550</v>
      </c>
      <c r="V154" s="117">
        <v>2860</v>
      </c>
      <c r="W154" s="117">
        <v>4192</v>
      </c>
      <c r="X154" s="117">
        <v>1056</v>
      </c>
      <c r="Y154" s="117">
        <v>4863</v>
      </c>
      <c r="Z154" s="117">
        <v>3963</v>
      </c>
      <c r="AA154" s="117">
        <v>26377</v>
      </c>
      <c r="AB154" s="117">
        <v>26632</v>
      </c>
      <c r="AC154" s="117">
        <v>26861</v>
      </c>
      <c r="AD154" s="117">
        <v>112006</v>
      </c>
      <c r="AE154" s="117">
        <v>51573</v>
      </c>
      <c r="AF154"/>
      <c r="AG154"/>
    </row>
    <row r="155" spans="1:33" ht="13.2" x14ac:dyDescent="0.25">
      <c r="A155" s="117" t="s">
        <v>604</v>
      </c>
      <c r="B155" s="117" t="s">
        <v>195</v>
      </c>
      <c r="C155" s="117">
        <f t="shared" si="8"/>
        <v>31177.75</v>
      </c>
      <c r="D155" s="117">
        <f t="shared" si="9"/>
        <v>33636.75</v>
      </c>
      <c r="E155" s="225">
        <f t="shared" si="10"/>
        <v>8219191.4699999997</v>
      </c>
      <c r="F155" s="117">
        <f t="shared" si="11"/>
        <v>14382912.734999999</v>
      </c>
      <c r="G155" s="117">
        <v>43733</v>
      </c>
      <c r="H155" s="117">
        <v>42068</v>
      </c>
      <c r="I155" s="117">
        <v>40044</v>
      </c>
      <c r="J155" s="117">
        <v>42056</v>
      </c>
      <c r="K155" s="117">
        <v>54811</v>
      </c>
      <c r="L155" s="117">
        <v>61735</v>
      </c>
      <c r="M155" s="117">
        <v>40083</v>
      </c>
      <c r="N155" s="117">
        <v>47258</v>
      </c>
      <c r="O155" s="117">
        <v>27273</v>
      </c>
      <c r="P155" s="117">
        <v>27574</v>
      </c>
      <c r="Q155" s="117">
        <v>31214</v>
      </c>
      <c r="R155" s="117">
        <v>34226</v>
      </c>
      <c r="S155" s="117">
        <v>28517</v>
      </c>
      <c r="T155" s="117">
        <v>35315</v>
      </c>
      <c r="U155" s="117">
        <v>40467</v>
      </c>
      <c r="V155" s="117">
        <v>38848</v>
      </c>
      <c r="W155" s="117">
        <v>22898</v>
      </c>
      <c r="X155" s="117">
        <v>18316</v>
      </c>
      <c r="Y155" s="117">
        <v>32829</v>
      </c>
      <c r="Z155" s="117">
        <v>42068</v>
      </c>
      <c r="AA155" s="117">
        <v>52514</v>
      </c>
      <c r="AB155" s="117">
        <v>53258</v>
      </c>
      <c r="AC155" s="117">
        <v>53787</v>
      </c>
      <c r="AD155" s="117">
        <v>114730</v>
      </c>
      <c r="AE155" s="117">
        <v>114320</v>
      </c>
      <c r="AF155"/>
      <c r="AG155"/>
    </row>
    <row r="156" spans="1:33" ht="13.2" x14ac:dyDescent="0.25">
      <c r="A156" s="117" t="s">
        <v>610</v>
      </c>
      <c r="B156" s="117" t="s">
        <v>392</v>
      </c>
      <c r="C156" s="117">
        <f t="shared" si="8"/>
        <v>2778.5</v>
      </c>
      <c r="D156" s="117">
        <f t="shared" si="9"/>
        <v>2613.75</v>
      </c>
      <c r="E156" s="225">
        <f t="shared" si="10"/>
        <v>1956579.24</v>
      </c>
      <c r="F156" s="117">
        <f t="shared" si="11"/>
        <v>3423853.6199999996</v>
      </c>
      <c r="G156" s="117">
        <v>3458</v>
      </c>
      <c r="H156" s="117">
        <v>3482</v>
      </c>
      <c r="I156" s="117">
        <v>1614</v>
      </c>
      <c r="J156" s="117">
        <v>1472</v>
      </c>
      <c r="K156" s="117">
        <v>1419</v>
      </c>
      <c r="L156" s="117">
        <v>1320</v>
      </c>
      <c r="M156" s="117">
        <v>1584</v>
      </c>
      <c r="N156" s="117">
        <v>1460</v>
      </c>
      <c r="O156" s="117">
        <v>2160</v>
      </c>
      <c r="P156" s="117">
        <v>2070</v>
      </c>
      <c r="Q156" s="117">
        <v>4092</v>
      </c>
      <c r="R156" s="117">
        <v>2828</v>
      </c>
      <c r="S156" s="117">
        <v>1685</v>
      </c>
      <c r="T156" s="117">
        <v>1627</v>
      </c>
      <c r="U156" s="117">
        <v>3918</v>
      </c>
      <c r="V156" s="117">
        <v>3936</v>
      </c>
      <c r="W156" s="117">
        <v>2725</v>
      </c>
      <c r="X156" s="117">
        <v>1410</v>
      </c>
      <c r="Y156" s="117">
        <v>2786</v>
      </c>
      <c r="Z156" s="117">
        <v>3482</v>
      </c>
      <c r="AA156" s="117">
        <v>12620</v>
      </c>
      <c r="AB156" s="117">
        <v>12710</v>
      </c>
      <c r="AC156" s="117">
        <v>12804</v>
      </c>
      <c r="AD156" s="117">
        <v>36212</v>
      </c>
      <c r="AE156" s="117">
        <v>37420</v>
      </c>
      <c r="AF156"/>
      <c r="AG156"/>
    </row>
    <row r="157" spans="1:33" ht="13.2" x14ac:dyDescent="0.25">
      <c r="A157" s="117" t="s">
        <v>603</v>
      </c>
      <c r="B157" s="117" t="s">
        <v>352</v>
      </c>
      <c r="C157" s="117">
        <f t="shared" si="8"/>
        <v>21748.5</v>
      </c>
      <c r="D157" s="117">
        <f t="shared" si="9"/>
        <v>18901.25</v>
      </c>
      <c r="E157" s="225">
        <f t="shared" si="10"/>
        <v>9980326.7200000007</v>
      </c>
      <c r="F157" s="117">
        <f t="shared" si="11"/>
        <v>17464755.359999999</v>
      </c>
      <c r="G157" s="117">
        <v>17772</v>
      </c>
      <c r="H157" s="117">
        <v>14303</v>
      </c>
      <c r="I157" s="117">
        <v>38501</v>
      </c>
      <c r="J157" s="117">
        <v>42278</v>
      </c>
      <c r="K157" s="117">
        <v>77954</v>
      </c>
      <c r="L157" s="117">
        <v>73609</v>
      </c>
      <c r="M157" s="117">
        <v>36375</v>
      </c>
      <c r="N157" s="117">
        <v>58141</v>
      </c>
      <c r="O157" s="117">
        <v>18152</v>
      </c>
      <c r="P157" s="117">
        <v>19224</v>
      </c>
      <c r="Q157" s="117">
        <v>28067</v>
      </c>
      <c r="R157" s="117">
        <v>32902</v>
      </c>
      <c r="S157" s="117">
        <v>21892</v>
      </c>
      <c r="T157" s="117">
        <v>23118</v>
      </c>
      <c r="U157" s="117">
        <v>20005</v>
      </c>
      <c r="V157" s="117">
        <v>19681</v>
      </c>
      <c r="W157" s="117">
        <v>21987</v>
      </c>
      <c r="X157" s="117">
        <v>18503</v>
      </c>
      <c r="Y157" s="117">
        <v>23110</v>
      </c>
      <c r="Z157" s="117">
        <v>14303</v>
      </c>
      <c r="AA157" s="117">
        <v>64546</v>
      </c>
      <c r="AB157" s="117">
        <v>64940</v>
      </c>
      <c r="AC157" s="117">
        <v>65312</v>
      </c>
      <c r="AD157" s="117">
        <v>168461</v>
      </c>
      <c r="AE157" s="117">
        <v>171153</v>
      </c>
      <c r="AF157"/>
      <c r="AG157"/>
    </row>
    <row r="158" spans="1:33" ht="13.2" x14ac:dyDescent="0.25">
      <c r="A158" s="117" t="s">
        <v>608</v>
      </c>
      <c r="B158" s="117" t="s">
        <v>471</v>
      </c>
      <c r="C158" s="117">
        <f t="shared" si="8"/>
        <v>2428</v>
      </c>
      <c r="D158" s="117">
        <f t="shared" si="9"/>
        <v>2211</v>
      </c>
      <c r="E158" s="225">
        <f t="shared" si="10"/>
        <v>6974706.8300000001</v>
      </c>
      <c r="F158" s="117">
        <f t="shared" si="11"/>
        <v>12205166.414999999</v>
      </c>
      <c r="G158" s="117">
        <v>324</v>
      </c>
      <c r="H158" s="117">
        <v>29</v>
      </c>
      <c r="I158" s="117">
        <v>1793</v>
      </c>
      <c r="J158" s="117">
        <v>1419</v>
      </c>
      <c r="K158" s="117">
        <v>1431</v>
      </c>
      <c r="L158" s="117">
        <v>1209</v>
      </c>
      <c r="M158" s="117">
        <v>2694</v>
      </c>
      <c r="N158" s="117">
        <v>3996</v>
      </c>
      <c r="O158" s="117">
        <v>2642</v>
      </c>
      <c r="P158" s="117">
        <v>2874</v>
      </c>
      <c r="Q158" s="117">
        <v>3064</v>
      </c>
      <c r="R158" s="117">
        <v>3130</v>
      </c>
      <c r="S158" s="117">
        <v>3442</v>
      </c>
      <c r="T158" s="117">
        <v>3333</v>
      </c>
      <c r="U158" s="117">
        <v>3222</v>
      </c>
      <c r="V158" s="117">
        <v>2980</v>
      </c>
      <c r="W158" s="117">
        <v>2438</v>
      </c>
      <c r="X158" s="117">
        <v>2502</v>
      </c>
      <c r="Y158" s="117">
        <v>610</v>
      </c>
      <c r="Z158" s="117">
        <v>29</v>
      </c>
      <c r="AA158" s="117">
        <v>45954</v>
      </c>
      <c r="AB158" s="117">
        <v>45789</v>
      </c>
      <c r="AC158" s="117">
        <v>45643</v>
      </c>
      <c r="AD158" s="117">
        <v>102449</v>
      </c>
      <c r="AE158" s="117">
        <v>118336</v>
      </c>
      <c r="AF158"/>
      <c r="AG158"/>
    </row>
    <row r="159" spans="1:33" ht="13.2" x14ac:dyDescent="0.25">
      <c r="A159" s="117" t="s">
        <v>600</v>
      </c>
      <c r="B159" s="117" t="s">
        <v>311</v>
      </c>
      <c r="C159" s="117">
        <f t="shared" si="8"/>
        <v>1473.25</v>
      </c>
      <c r="D159" s="117">
        <f t="shared" si="9"/>
        <v>1249.75</v>
      </c>
      <c r="E159" s="225">
        <f t="shared" si="10"/>
        <v>3474288.16</v>
      </c>
      <c r="F159" s="117">
        <f t="shared" si="11"/>
        <v>6079720.0799999991</v>
      </c>
      <c r="G159" s="117">
        <v>1763</v>
      </c>
      <c r="H159" s="117">
        <v>1903</v>
      </c>
      <c r="I159" s="117">
        <v>5551</v>
      </c>
      <c r="J159" s="117">
        <v>3904</v>
      </c>
      <c r="K159" s="117">
        <v>4034</v>
      </c>
      <c r="L159" s="117">
        <v>3944</v>
      </c>
      <c r="M159" s="117">
        <v>2302</v>
      </c>
      <c r="N159" s="117">
        <v>4705</v>
      </c>
      <c r="O159" s="117">
        <v>3286</v>
      </c>
      <c r="P159" s="117">
        <v>2934</v>
      </c>
      <c r="Q159" s="117">
        <v>1831</v>
      </c>
      <c r="R159" s="117">
        <v>3656</v>
      </c>
      <c r="S159" s="117">
        <v>2169</v>
      </c>
      <c r="T159" s="117">
        <v>904</v>
      </c>
      <c r="U159" s="117">
        <v>1725</v>
      </c>
      <c r="V159" s="117">
        <v>1753</v>
      </c>
      <c r="W159" s="117">
        <v>180</v>
      </c>
      <c r="X159" s="117">
        <v>439</v>
      </c>
      <c r="Y159" s="117">
        <v>1819</v>
      </c>
      <c r="Z159" s="117">
        <v>1903</v>
      </c>
      <c r="AA159" s="117">
        <v>22524</v>
      </c>
      <c r="AB159" s="117">
        <v>22671</v>
      </c>
      <c r="AC159" s="117">
        <v>22736</v>
      </c>
      <c r="AD159" s="117">
        <v>63834</v>
      </c>
      <c r="AE159" s="117">
        <v>66786</v>
      </c>
      <c r="AF159"/>
      <c r="AG159"/>
    </row>
    <row r="160" spans="1:33" ht="13.2" x14ac:dyDescent="0.25">
      <c r="A160" s="117" t="s">
        <v>603</v>
      </c>
      <c r="B160" s="117" t="s">
        <v>354</v>
      </c>
      <c r="C160" s="117">
        <f t="shared" si="8"/>
        <v>2136.75</v>
      </c>
      <c r="D160" s="117">
        <f t="shared" si="9"/>
        <v>2866.75</v>
      </c>
      <c r="E160" s="225">
        <f t="shared" si="10"/>
        <v>4485431.93</v>
      </c>
      <c r="F160" s="117">
        <f t="shared" si="11"/>
        <v>7849138.9649999989</v>
      </c>
      <c r="G160" s="117">
        <v>2174</v>
      </c>
      <c r="H160" s="117">
        <v>2476</v>
      </c>
      <c r="I160" s="117">
        <v>5403</v>
      </c>
      <c r="J160" s="117">
        <v>6396</v>
      </c>
      <c r="K160" s="117">
        <v>8617</v>
      </c>
      <c r="L160" s="117">
        <v>14606</v>
      </c>
      <c r="M160" s="117">
        <v>4585</v>
      </c>
      <c r="N160" s="117">
        <v>3620</v>
      </c>
      <c r="O160" s="117">
        <v>5143</v>
      </c>
      <c r="P160" s="117">
        <v>6442</v>
      </c>
      <c r="Q160" s="117">
        <v>3472</v>
      </c>
      <c r="R160" s="117">
        <v>3621</v>
      </c>
      <c r="S160" s="117">
        <v>3272</v>
      </c>
      <c r="T160" s="117">
        <v>4192</v>
      </c>
      <c r="U160" s="117">
        <v>4039</v>
      </c>
      <c r="V160" s="117">
        <v>4030</v>
      </c>
      <c r="W160" s="117">
        <v>1318</v>
      </c>
      <c r="X160" s="117">
        <v>769</v>
      </c>
      <c r="Y160" s="117">
        <v>-82</v>
      </c>
      <c r="Z160" s="117">
        <v>2476</v>
      </c>
      <c r="AA160" s="117">
        <v>29139</v>
      </c>
      <c r="AB160" s="117">
        <v>29290</v>
      </c>
      <c r="AC160" s="117">
        <v>29353</v>
      </c>
      <c r="AD160" s="117">
        <v>54210</v>
      </c>
      <c r="AE160" s="117">
        <v>49815</v>
      </c>
      <c r="AF160"/>
      <c r="AG160"/>
    </row>
    <row r="161" spans="1:33" ht="13.2" x14ac:dyDescent="0.25">
      <c r="A161" s="117" t="s">
        <v>603</v>
      </c>
      <c r="B161" s="117" t="s">
        <v>549</v>
      </c>
      <c r="C161" s="117">
        <f t="shared" si="8"/>
        <v>8116</v>
      </c>
      <c r="D161" s="117">
        <f t="shared" si="9"/>
        <v>8164.75</v>
      </c>
      <c r="E161" s="225">
        <f t="shared" si="10"/>
        <v>8563930.8300000001</v>
      </c>
      <c r="F161" s="117">
        <f t="shared" si="11"/>
        <v>14986178.414999999</v>
      </c>
      <c r="G161" s="117">
        <v>11675</v>
      </c>
      <c r="H161" s="117">
        <v>11868</v>
      </c>
      <c r="I161" s="117">
        <v>15479</v>
      </c>
      <c r="J161" s="117">
        <v>15339</v>
      </c>
      <c r="K161" s="117">
        <v>35731</v>
      </c>
      <c r="L161" s="117">
        <v>35165</v>
      </c>
      <c r="M161" s="117">
        <v>12373</v>
      </c>
      <c r="N161" s="117">
        <v>12523</v>
      </c>
      <c r="O161" s="117">
        <v>7606</v>
      </c>
      <c r="P161" s="117">
        <v>5896</v>
      </c>
      <c r="Q161" s="117">
        <v>8968</v>
      </c>
      <c r="R161" s="117">
        <v>7939</v>
      </c>
      <c r="S161" s="117">
        <v>6278</v>
      </c>
      <c r="T161" s="117">
        <v>6271</v>
      </c>
      <c r="U161" s="117">
        <v>6827</v>
      </c>
      <c r="V161" s="117">
        <v>8737</v>
      </c>
      <c r="W161" s="117">
        <v>8139</v>
      </c>
      <c r="X161" s="117">
        <v>5783</v>
      </c>
      <c r="Y161" s="117">
        <v>11220</v>
      </c>
      <c r="Z161" s="117">
        <v>11868</v>
      </c>
      <c r="AA161" s="117">
        <v>55218</v>
      </c>
      <c r="AB161" s="117">
        <v>55656</v>
      </c>
      <c r="AC161" s="117">
        <v>56043</v>
      </c>
      <c r="AD161" s="117">
        <v>116478</v>
      </c>
      <c r="AE161" s="117">
        <v>135261</v>
      </c>
      <c r="AF161"/>
      <c r="AG161"/>
    </row>
    <row r="162" spans="1:33" ht="13.2" x14ac:dyDescent="0.25">
      <c r="A162" s="117" t="s">
        <v>599</v>
      </c>
      <c r="B162" s="117" t="s">
        <v>435</v>
      </c>
      <c r="C162" s="117">
        <f t="shared" si="8"/>
        <v>4621.75</v>
      </c>
      <c r="D162" s="117">
        <f t="shared" si="9"/>
        <v>4122.25</v>
      </c>
      <c r="E162" s="225">
        <f t="shared" si="10"/>
        <v>3412858.54</v>
      </c>
      <c r="F162" s="117">
        <f t="shared" si="11"/>
        <v>5972223.2699999996</v>
      </c>
      <c r="G162" s="117">
        <v>211</v>
      </c>
      <c r="H162" s="117">
        <v>211</v>
      </c>
      <c r="I162" s="117">
        <v>10199</v>
      </c>
      <c r="J162" s="117">
        <v>9776</v>
      </c>
      <c r="K162" s="117">
        <v>8631</v>
      </c>
      <c r="L162" s="117">
        <v>8846</v>
      </c>
      <c r="M162" s="117">
        <v>6576</v>
      </c>
      <c r="N162" s="117">
        <v>5488</v>
      </c>
      <c r="O162" s="117">
        <v>6057</v>
      </c>
      <c r="P162" s="117">
        <v>7411</v>
      </c>
      <c r="Q162" s="117">
        <v>9554</v>
      </c>
      <c r="R162" s="117">
        <v>10019</v>
      </c>
      <c r="S162" s="117">
        <v>5525</v>
      </c>
      <c r="T162" s="117">
        <v>6229</v>
      </c>
      <c r="U162" s="117">
        <v>6146</v>
      </c>
      <c r="V162" s="117">
        <v>5262</v>
      </c>
      <c r="W162" s="117">
        <v>6598</v>
      </c>
      <c r="X162" s="117">
        <v>4787</v>
      </c>
      <c r="Y162" s="117">
        <v>218</v>
      </c>
      <c r="Z162" s="117">
        <v>211</v>
      </c>
      <c r="AA162" s="117">
        <v>21945</v>
      </c>
      <c r="AB162" s="117">
        <v>22159</v>
      </c>
      <c r="AC162" s="117">
        <v>22334</v>
      </c>
      <c r="AD162" s="117">
        <v>48412</v>
      </c>
      <c r="AE162" s="117">
        <v>45756</v>
      </c>
      <c r="AF162"/>
      <c r="AG162"/>
    </row>
    <row r="163" spans="1:33" ht="13.2" x14ac:dyDescent="0.25">
      <c r="A163" s="117" t="s">
        <v>599</v>
      </c>
      <c r="B163" s="117" t="s">
        <v>436</v>
      </c>
      <c r="C163" s="117">
        <f t="shared" si="8"/>
        <v>3484.25</v>
      </c>
      <c r="D163" s="117">
        <f t="shared" si="9"/>
        <v>2538</v>
      </c>
      <c r="E163" s="225">
        <f t="shared" si="10"/>
        <v>2372069.63</v>
      </c>
      <c r="F163" s="117">
        <f t="shared" si="11"/>
        <v>4150927.8149999995</v>
      </c>
      <c r="G163" s="117">
        <v>1040</v>
      </c>
      <c r="H163" s="117">
        <v>1039</v>
      </c>
      <c r="I163" s="117">
        <v>3829</v>
      </c>
      <c r="J163" s="117">
        <v>7074</v>
      </c>
      <c r="K163" s="117">
        <v>5575</v>
      </c>
      <c r="L163" s="117">
        <v>9841</v>
      </c>
      <c r="M163" s="117">
        <v>2633</v>
      </c>
      <c r="N163" s="117">
        <v>3486</v>
      </c>
      <c r="O163" s="117">
        <v>5493</v>
      </c>
      <c r="P163" s="117">
        <v>6456</v>
      </c>
      <c r="Q163" s="117">
        <v>2809</v>
      </c>
      <c r="R163" s="117">
        <v>3376</v>
      </c>
      <c r="S163" s="117">
        <v>3658</v>
      </c>
      <c r="T163" s="117">
        <v>3164</v>
      </c>
      <c r="U163" s="117">
        <v>5439</v>
      </c>
      <c r="V163" s="117">
        <v>3534</v>
      </c>
      <c r="W163" s="117">
        <v>4128</v>
      </c>
      <c r="X163" s="117">
        <v>2415</v>
      </c>
      <c r="Y163" s="117">
        <v>712</v>
      </c>
      <c r="Z163" s="117">
        <v>1039</v>
      </c>
      <c r="AA163" s="117">
        <v>15317</v>
      </c>
      <c r="AB163" s="117">
        <v>15340</v>
      </c>
      <c r="AC163" s="117">
        <v>15523</v>
      </c>
      <c r="AD163" s="117">
        <v>24270</v>
      </c>
      <c r="AE163" s="117">
        <v>25115</v>
      </c>
      <c r="AF163"/>
      <c r="AG163"/>
    </row>
    <row r="164" spans="1:33" ht="13.2" x14ac:dyDescent="0.25">
      <c r="A164" s="117" t="s">
        <v>608</v>
      </c>
      <c r="B164" s="117" t="s">
        <v>472</v>
      </c>
      <c r="C164" s="117">
        <f t="shared" si="8"/>
        <v>1280.75</v>
      </c>
      <c r="D164" s="117">
        <f t="shared" si="9"/>
        <v>1428.5</v>
      </c>
      <c r="E164" s="225">
        <f t="shared" si="10"/>
        <v>5745044.7599999998</v>
      </c>
      <c r="F164" s="117">
        <f t="shared" si="11"/>
        <v>10053358.379999999</v>
      </c>
      <c r="G164" s="117">
        <v>85</v>
      </c>
      <c r="H164" s="117">
        <v>298</v>
      </c>
      <c r="I164" s="117">
        <v>1781</v>
      </c>
      <c r="J164" s="117">
        <v>3563</v>
      </c>
      <c r="K164" s="117">
        <v>2355</v>
      </c>
      <c r="L164" s="117">
        <v>3789</v>
      </c>
      <c r="M164" s="117">
        <v>3860</v>
      </c>
      <c r="N164" s="117">
        <v>3409</v>
      </c>
      <c r="O164" s="117">
        <v>3552</v>
      </c>
      <c r="P164" s="117">
        <v>2228</v>
      </c>
      <c r="Q164" s="117">
        <v>587</v>
      </c>
      <c r="R164" s="117">
        <v>880</v>
      </c>
      <c r="S164" s="117">
        <v>2454</v>
      </c>
      <c r="T164" s="117">
        <v>2611</v>
      </c>
      <c r="U164" s="117">
        <v>2295</v>
      </c>
      <c r="V164" s="117">
        <v>2491</v>
      </c>
      <c r="W164" s="117">
        <v>294</v>
      </c>
      <c r="X164" s="117">
        <v>314</v>
      </c>
      <c r="Y164" s="117">
        <v>80</v>
      </c>
      <c r="Z164" s="117">
        <v>298</v>
      </c>
      <c r="AA164" s="117">
        <v>37479</v>
      </c>
      <c r="AB164" s="117">
        <v>37591</v>
      </c>
      <c r="AC164" s="117">
        <v>37596</v>
      </c>
      <c r="AD164" s="117">
        <v>66829</v>
      </c>
      <c r="AE164" s="117">
        <v>58967</v>
      </c>
      <c r="AF164"/>
      <c r="AG164"/>
    </row>
    <row r="165" spans="1:33" ht="13.2" x14ac:dyDescent="0.25">
      <c r="A165" s="117" t="s">
        <v>600</v>
      </c>
      <c r="B165" s="117" t="s">
        <v>312</v>
      </c>
      <c r="C165" s="117">
        <f t="shared" si="8"/>
        <v>4689.25</v>
      </c>
      <c r="D165" s="117">
        <f t="shared" si="9"/>
        <v>4130.25</v>
      </c>
      <c r="E165" s="225">
        <f t="shared" si="10"/>
        <v>1757009.3800000001</v>
      </c>
      <c r="F165" s="117">
        <f t="shared" si="11"/>
        <v>3074622.6899999995</v>
      </c>
      <c r="G165" s="117">
        <v>1411</v>
      </c>
      <c r="H165" s="117">
        <v>1384</v>
      </c>
      <c r="I165" s="117">
        <v>1236</v>
      </c>
      <c r="J165" s="117">
        <v>1167</v>
      </c>
      <c r="K165" s="117">
        <v>3034</v>
      </c>
      <c r="L165" s="117">
        <v>2510</v>
      </c>
      <c r="M165" s="117">
        <v>3661</v>
      </c>
      <c r="N165" s="117">
        <v>5445</v>
      </c>
      <c r="O165" s="117">
        <v>5359</v>
      </c>
      <c r="P165" s="117">
        <v>5760</v>
      </c>
      <c r="Q165" s="117">
        <v>4030</v>
      </c>
      <c r="R165" s="117">
        <v>3101</v>
      </c>
      <c r="S165" s="117">
        <v>10850</v>
      </c>
      <c r="T165" s="117">
        <v>9209</v>
      </c>
      <c r="U165" s="117">
        <v>4842</v>
      </c>
      <c r="V165" s="117">
        <v>4841</v>
      </c>
      <c r="W165" s="117">
        <v>3035</v>
      </c>
      <c r="X165" s="117">
        <v>1087</v>
      </c>
      <c r="Y165" s="117">
        <v>30</v>
      </c>
      <c r="Z165" s="117">
        <v>1384</v>
      </c>
      <c r="AA165" s="117">
        <v>11270</v>
      </c>
      <c r="AB165" s="117">
        <v>11439</v>
      </c>
      <c r="AC165" s="117">
        <v>11498</v>
      </c>
      <c r="AD165" s="117">
        <v>18769</v>
      </c>
      <c r="AE165" s="117">
        <v>18819</v>
      </c>
      <c r="AF165"/>
      <c r="AG165"/>
    </row>
    <row r="166" spans="1:33" ht="13.2" x14ac:dyDescent="0.25">
      <c r="A166" s="117" t="s">
        <v>600</v>
      </c>
      <c r="B166" s="117" t="s">
        <v>313</v>
      </c>
      <c r="C166" s="117">
        <f t="shared" si="8"/>
        <v>6855.75</v>
      </c>
      <c r="D166" s="117">
        <f t="shared" si="9"/>
        <v>7197.75</v>
      </c>
      <c r="E166" s="225">
        <f t="shared" si="10"/>
        <v>4276540.66</v>
      </c>
      <c r="F166" s="117">
        <f t="shared" si="11"/>
        <v>7483596.3299999991</v>
      </c>
      <c r="G166" s="117">
        <v>8209</v>
      </c>
      <c r="H166" s="117">
        <v>8227</v>
      </c>
      <c r="I166" s="117">
        <v>11988</v>
      </c>
      <c r="J166" s="117">
        <v>9200</v>
      </c>
      <c r="K166" s="117">
        <v>8188</v>
      </c>
      <c r="L166" s="117">
        <v>7164</v>
      </c>
      <c r="M166" s="117">
        <v>17951</v>
      </c>
      <c r="N166" s="117">
        <v>26324</v>
      </c>
      <c r="O166" s="117">
        <v>14219</v>
      </c>
      <c r="P166" s="117">
        <v>11008</v>
      </c>
      <c r="Q166" s="117">
        <v>12328</v>
      </c>
      <c r="R166" s="117">
        <v>19635</v>
      </c>
      <c r="S166" s="117">
        <v>10435</v>
      </c>
      <c r="T166" s="117">
        <v>5936</v>
      </c>
      <c r="U166" s="117">
        <v>8501</v>
      </c>
      <c r="V166" s="117">
        <v>9718</v>
      </c>
      <c r="W166" s="117">
        <v>4909</v>
      </c>
      <c r="X166" s="117">
        <v>4910</v>
      </c>
      <c r="Y166" s="117">
        <v>3578</v>
      </c>
      <c r="Z166" s="117">
        <v>8227</v>
      </c>
      <c r="AA166" s="117">
        <v>27616</v>
      </c>
      <c r="AB166" s="117">
        <v>27841</v>
      </c>
      <c r="AC166" s="117">
        <v>27986</v>
      </c>
      <c r="AD166" s="117">
        <v>70902</v>
      </c>
      <c r="AE166" s="117">
        <v>71611</v>
      </c>
      <c r="AF166"/>
      <c r="AG166"/>
    </row>
    <row r="167" spans="1:33" ht="13.2" x14ac:dyDescent="0.25">
      <c r="A167" s="117" t="s">
        <v>603</v>
      </c>
      <c r="B167" s="117" t="s">
        <v>355</v>
      </c>
      <c r="C167" s="117">
        <f t="shared" si="8"/>
        <v>53050.75</v>
      </c>
      <c r="D167" s="117">
        <f t="shared" si="9"/>
        <v>39902.25</v>
      </c>
      <c r="E167" s="225">
        <f t="shared" si="10"/>
        <v>9415693.7699999996</v>
      </c>
      <c r="F167" s="117">
        <f t="shared" si="11"/>
        <v>16476693.884999998</v>
      </c>
      <c r="G167" s="117">
        <v>29901</v>
      </c>
      <c r="H167" s="117">
        <v>30583</v>
      </c>
      <c r="I167" s="117">
        <v>52816</v>
      </c>
      <c r="J167" s="117">
        <v>68386</v>
      </c>
      <c r="K167" s="117">
        <v>37717</v>
      </c>
      <c r="L167" s="117">
        <v>37323</v>
      </c>
      <c r="M167" s="117">
        <v>35655</v>
      </c>
      <c r="N167" s="117">
        <v>52531</v>
      </c>
      <c r="O167" s="117">
        <v>45348</v>
      </c>
      <c r="P167" s="117">
        <v>89045</v>
      </c>
      <c r="Q167" s="117">
        <v>24409</v>
      </c>
      <c r="R167" s="117">
        <v>27335</v>
      </c>
      <c r="S167" s="117">
        <v>71067</v>
      </c>
      <c r="T167" s="117">
        <v>37357</v>
      </c>
      <c r="U167" s="117">
        <v>83006</v>
      </c>
      <c r="V167" s="117">
        <v>65990</v>
      </c>
      <c r="W167" s="117">
        <v>25675</v>
      </c>
      <c r="X167" s="117">
        <v>25679</v>
      </c>
      <c r="Y167" s="117">
        <v>32455</v>
      </c>
      <c r="Z167" s="117">
        <v>30583</v>
      </c>
      <c r="AA167" s="117">
        <v>60098</v>
      </c>
      <c r="AB167" s="117">
        <v>61174</v>
      </c>
      <c r="AC167" s="117">
        <v>61617</v>
      </c>
      <c r="AD167" s="117">
        <v>210943</v>
      </c>
      <c r="AE167" s="117">
        <v>223629</v>
      </c>
      <c r="AF167"/>
      <c r="AG167"/>
    </row>
    <row r="168" spans="1:33" ht="13.2" x14ac:dyDescent="0.25">
      <c r="A168" s="117" t="s">
        <v>600</v>
      </c>
      <c r="B168" s="117" t="s">
        <v>314</v>
      </c>
      <c r="C168" s="117">
        <f t="shared" si="8"/>
        <v>706.75</v>
      </c>
      <c r="D168" s="117">
        <f t="shared" si="9"/>
        <v>694</v>
      </c>
      <c r="E168" s="225">
        <f t="shared" si="10"/>
        <v>1711166.3800000001</v>
      </c>
      <c r="F168" s="117">
        <f t="shared" si="11"/>
        <v>2994401.1899999995</v>
      </c>
      <c r="G168" s="117">
        <v>0</v>
      </c>
      <c r="H168" s="117">
        <v>0</v>
      </c>
      <c r="I168" s="117">
        <v>504</v>
      </c>
      <c r="J168" s="117">
        <v>350</v>
      </c>
      <c r="K168" s="117">
        <v>828</v>
      </c>
      <c r="L168" s="117">
        <v>737</v>
      </c>
      <c r="M168" s="117">
        <v>406</v>
      </c>
      <c r="N168" s="117">
        <v>386</v>
      </c>
      <c r="O168" s="117">
        <v>521</v>
      </c>
      <c r="P168" s="117">
        <v>221</v>
      </c>
      <c r="Q168" s="117">
        <v>481</v>
      </c>
      <c r="R168" s="117">
        <v>226</v>
      </c>
      <c r="S168" s="117">
        <v>1268</v>
      </c>
      <c r="T168" s="117">
        <v>1199</v>
      </c>
      <c r="U168" s="117">
        <v>1331</v>
      </c>
      <c r="V168" s="117">
        <v>1355</v>
      </c>
      <c r="W168" s="117">
        <v>228</v>
      </c>
      <c r="X168" s="117">
        <v>222</v>
      </c>
      <c r="Y168" s="117">
        <v>0</v>
      </c>
      <c r="Z168" s="117">
        <v>0</v>
      </c>
      <c r="AA168" s="117">
        <v>11089</v>
      </c>
      <c r="AB168" s="117">
        <v>11136</v>
      </c>
      <c r="AC168" s="117">
        <v>11198</v>
      </c>
      <c r="AD168" s="117">
        <v>23002</v>
      </c>
      <c r="AE168" s="117">
        <v>24775</v>
      </c>
      <c r="AF168"/>
      <c r="AG168"/>
    </row>
    <row r="169" spans="1:33" ht="13.2" x14ac:dyDescent="0.25">
      <c r="A169" s="117" t="s">
        <v>602</v>
      </c>
      <c r="B169" s="117" t="s">
        <v>173</v>
      </c>
      <c r="C169" s="117">
        <f t="shared" si="8"/>
        <v>35586.5</v>
      </c>
      <c r="D169" s="117">
        <f t="shared" si="9"/>
        <v>32451</v>
      </c>
      <c r="E169" s="225">
        <f t="shared" si="10"/>
        <v>18813050.34</v>
      </c>
      <c r="F169" s="117">
        <f t="shared" si="11"/>
        <v>32921299.169999998</v>
      </c>
      <c r="G169" s="117">
        <v>23715</v>
      </c>
      <c r="H169" s="117">
        <v>24066</v>
      </c>
      <c r="I169" s="117">
        <v>50115.058046184844</v>
      </c>
      <c r="J169" s="117">
        <v>52012.977000568273</v>
      </c>
      <c r="K169" s="117">
        <v>77051.894584837544</v>
      </c>
      <c r="L169" s="117">
        <v>80567.161010830328</v>
      </c>
      <c r="M169" s="117">
        <v>87017.123517276952</v>
      </c>
      <c r="N169" s="117">
        <v>88219.94966477566</v>
      </c>
      <c r="O169" s="117">
        <v>20064.38695203713</v>
      </c>
      <c r="P169" s="117">
        <v>20274.730273336772</v>
      </c>
      <c r="Q169" s="117">
        <v>21724.400000000001</v>
      </c>
      <c r="R169" s="117">
        <v>22066.2</v>
      </c>
      <c r="S169" s="117">
        <v>48746</v>
      </c>
      <c r="T169" s="117">
        <v>48945</v>
      </c>
      <c r="U169" s="117">
        <v>36548</v>
      </c>
      <c r="V169" s="117">
        <v>35608</v>
      </c>
      <c r="W169" s="117">
        <v>21552</v>
      </c>
      <c r="X169" s="117">
        <v>21185</v>
      </c>
      <c r="Y169" s="117">
        <v>35500</v>
      </c>
      <c r="Z169" s="117">
        <v>24066</v>
      </c>
      <c r="AA169" s="117">
        <v>122012</v>
      </c>
      <c r="AB169" s="117">
        <v>122206.3</v>
      </c>
      <c r="AC169" s="117">
        <v>123114</v>
      </c>
      <c r="AD169" s="117">
        <v>396947</v>
      </c>
      <c r="AE169" s="117">
        <v>366833.6</v>
      </c>
      <c r="AF169"/>
      <c r="AG169"/>
    </row>
    <row r="170" spans="1:33" ht="13.2" x14ac:dyDescent="0.25">
      <c r="A170" s="117" t="s">
        <v>603</v>
      </c>
      <c r="B170" s="117" t="s">
        <v>357</v>
      </c>
      <c r="C170" s="117">
        <f t="shared" si="8"/>
        <v>31919.5</v>
      </c>
      <c r="D170" s="117">
        <f t="shared" si="9"/>
        <v>33214.25</v>
      </c>
      <c r="E170" s="225">
        <f t="shared" si="10"/>
        <v>19070229.57</v>
      </c>
      <c r="F170" s="117">
        <f t="shared" si="11"/>
        <v>33371341.784999996</v>
      </c>
      <c r="G170" s="117">
        <v>21046</v>
      </c>
      <c r="H170" s="117">
        <v>21171</v>
      </c>
      <c r="I170" s="117">
        <v>54264</v>
      </c>
      <c r="J170" s="117">
        <v>92279</v>
      </c>
      <c r="K170" s="117">
        <v>36733</v>
      </c>
      <c r="L170" s="117">
        <v>42391</v>
      </c>
      <c r="M170" s="117">
        <v>40363</v>
      </c>
      <c r="N170" s="117">
        <v>53626</v>
      </c>
      <c r="O170" s="117">
        <v>27796</v>
      </c>
      <c r="P170" s="117">
        <v>43167</v>
      </c>
      <c r="Q170" s="117">
        <v>43094</v>
      </c>
      <c r="R170" s="117">
        <v>51563</v>
      </c>
      <c r="S170" s="117">
        <v>35369</v>
      </c>
      <c r="T170" s="117">
        <v>44820</v>
      </c>
      <c r="U170" s="117">
        <v>40711</v>
      </c>
      <c r="V170" s="117">
        <v>40263</v>
      </c>
      <c r="W170" s="117">
        <v>26112</v>
      </c>
      <c r="X170" s="117">
        <v>26603</v>
      </c>
      <c r="Y170" s="117">
        <v>25486</v>
      </c>
      <c r="Z170" s="117">
        <v>21171</v>
      </c>
      <c r="AA170" s="117">
        <v>123752</v>
      </c>
      <c r="AB170" s="117">
        <v>124320</v>
      </c>
      <c r="AC170" s="117">
        <v>124797</v>
      </c>
      <c r="AD170" s="117">
        <v>377194</v>
      </c>
      <c r="AE170" s="117">
        <v>565117</v>
      </c>
      <c r="AF170"/>
      <c r="AG170"/>
    </row>
    <row r="171" spans="1:33" ht="13.2" x14ac:dyDescent="0.25">
      <c r="A171" s="117" t="s">
        <v>603</v>
      </c>
      <c r="B171" s="117" t="s">
        <v>358</v>
      </c>
      <c r="C171" s="117">
        <f t="shared" si="8"/>
        <v>4439</v>
      </c>
      <c r="D171" s="117">
        <f t="shared" si="9"/>
        <v>4750.5</v>
      </c>
      <c r="E171" s="225">
        <f t="shared" si="10"/>
        <v>4144512.82</v>
      </c>
      <c r="F171" s="117">
        <f t="shared" si="11"/>
        <v>7252558.4099999992</v>
      </c>
      <c r="G171" s="117">
        <v>1230</v>
      </c>
      <c r="H171" s="117">
        <v>1377</v>
      </c>
      <c r="I171" s="117">
        <v>13871</v>
      </c>
      <c r="J171" s="117">
        <v>13554</v>
      </c>
      <c r="K171" s="117">
        <v>6595</v>
      </c>
      <c r="L171" s="117">
        <v>8806</v>
      </c>
      <c r="M171" s="117">
        <v>19895</v>
      </c>
      <c r="N171" s="117">
        <v>15029</v>
      </c>
      <c r="O171" s="117">
        <v>8920</v>
      </c>
      <c r="P171" s="117">
        <v>9339</v>
      </c>
      <c r="Q171" s="117">
        <v>8236</v>
      </c>
      <c r="R171" s="117">
        <v>6774</v>
      </c>
      <c r="S171" s="117">
        <v>13763</v>
      </c>
      <c r="T171" s="117">
        <v>11395</v>
      </c>
      <c r="U171" s="117">
        <v>3910</v>
      </c>
      <c r="V171" s="117">
        <v>8162</v>
      </c>
      <c r="W171" s="117">
        <v>-176</v>
      </c>
      <c r="X171" s="117">
        <v>-1932</v>
      </c>
      <c r="Y171" s="117">
        <v>259</v>
      </c>
      <c r="Z171" s="117">
        <v>1377</v>
      </c>
      <c r="AA171" s="117">
        <v>27129</v>
      </c>
      <c r="AB171" s="117">
        <v>27214</v>
      </c>
      <c r="AC171" s="117">
        <v>27122</v>
      </c>
      <c r="AD171" s="117">
        <v>67877</v>
      </c>
      <c r="AE171" s="117">
        <v>80248</v>
      </c>
      <c r="AF171"/>
      <c r="AG171"/>
    </row>
    <row r="172" spans="1:33" ht="13.2" x14ac:dyDescent="0.25">
      <c r="A172" s="117" t="s">
        <v>603</v>
      </c>
      <c r="B172" s="117" t="s">
        <v>359</v>
      </c>
      <c r="C172" s="117">
        <f t="shared" si="8"/>
        <v>7223</v>
      </c>
      <c r="D172" s="117">
        <f t="shared" si="9"/>
        <v>8788</v>
      </c>
      <c r="E172" s="225">
        <f t="shared" si="10"/>
        <v>11522638.050000001</v>
      </c>
      <c r="F172" s="117">
        <f t="shared" si="11"/>
        <v>20163674.024999999</v>
      </c>
      <c r="G172" s="117">
        <v>17874</v>
      </c>
      <c r="H172" s="117">
        <v>17874</v>
      </c>
      <c r="I172" s="117">
        <v>16353</v>
      </c>
      <c r="J172" s="117">
        <v>19271</v>
      </c>
      <c r="K172" s="117">
        <v>23736</v>
      </c>
      <c r="L172" s="117">
        <v>26641</v>
      </c>
      <c r="M172" s="117">
        <v>27614</v>
      </c>
      <c r="N172" s="117">
        <v>28621</v>
      </c>
      <c r="O172" s="117">
        <v>9565</v>
      </c>
      <c r="P172" s="117">
        <v>12221</v>
      </c>
      <c r="Q172" s="117">
        <v>8022</v>
      </c>
      <c r="R172" s="117">
        <v>26593</v>
      </c>
      <c r="S172" s="117">
        <v>1615</v>
      </c>
      <c r="T172" s="117">
        <v>1747</v>
      </c>
      <c r="U172" s="117">
        <v>11965</v>
      </c>
      <c r="V172" s="117">
        <v>4293</v>
      </c>
      <c r="W172" s="117">
        <v>6888</v>
      </c>
      <c r="X172" s="117">
        <v>11238</v>
      </c>
      <c r="Y172" s="117">
        <v>8424</v>
      </c>
      <c r="Z172" s="117">
        <v>17874</v>
      </c>
      <c r="AA172" s="117">
        <v>74608</v>
      </c>
      <c r="AB172" s="117">
        <v>74947</v>
      </c>
      <c r="AC172" s="117">
        <v>75405</v>
      </c>
      <c r="AD172" s="117">
        <v>167230</v>
      </c>
      <c r="AE172" s="117">
        <v>156222</v>
      </c>
      <c r="AF172"/>
      <c r="AG172"/>
    </row>
    <row r="173" spans="1:33" ht="13.2" x14ac:dyDescent="0.25">
      <c r="A173" s="117" t="s">
        <v>605</v>
      </c>
      <c r="B173" s="117" t="s">
        <v>496</v>
      </c>
      <c r="C173" s="117">
        <f t="shared" si="8"/>
        <v>13838</v>
      </c>
      <c r="D173" s="117">
        <f t="shared" si="9"/>
        <v>14133.25</v>
      </c>
      <c r="E173" s="225">
        <f t="shared" si="10"/>
        <v>11899620.32</v>
      </c>
      <c r="F173" s="117">
        <f t="shared" si="11"/>
        <v>20823362.159999996</v>
      </c>
      <c r="G173" s="117">
        <v>12836</v>
      </c>
      <c r="H173" s="117">
        <v>12836</v>
      </c>
      <c r="I173" s="117">
        <v>39569</v>
      </c>
      <c r="J173" s="117">
        <v>43107</v>
      </c>
      <c r="K173" s="117">
        <v>28945</v>
      </c>
      <c r="L173" s="117">
        <v>34903</v>
      </c>
      <c r="M173" s="117">
        <v>34115</v>
      </c>
      <c r="N173" s="117">
        <v>43714</v>
      </c>
      <c r="O173" s="117">
        <v>15612</v>
      </c>
      <c r="P173" s="117">
        <v>20801</v>
      </c>
      <c r="Q173" s="117">
        <v>10905</v>
      </c>
      <c r="R173" s="117">
        <v>16419</v>
      </c>
      <c r="S173" s="117">
        <v>29748</v>
      </c>
      <c r="T173" s="117">
        <v>26316</v>
      </c>
      <c r="U173" s="117">
        <v>10956</v>
      </c>
      <c r="V173" s="117">
        <v>9661</v>
      </c>
      <c r="W173" s="117">
        <v>7319</v>
      </c>
      <c r="X173" s="117">
        <v>7720</v>
      </c>
      <c r="Y173" s="117">
        <v>7329</v>
      </c>
      <c r="Z173" s="117">
        <v>12836</v>
      </c>
      <c r="AA173" s="117">
        <v>76970</v>
      </c>
      <c r="AB173" s="117">
        <v>77378</v>
      </c>
      <c r="AC173" s="117">
        <v>77872</v>
      </c>
      <c r="AD173" s="117">
        <v>238408</v>
      </c>
      <c r="AE173" s="117">
        <v>251918</v>
      </c>
      <c r="AF173"/>
      <c r="AG173"/>
    </row>
    <row r="174" spans="1:33" ht="13.2" x14ac:dyDescent="0.25">
      <c r="A174" s="117" t="s">
        <v>608</v>
      </c>
      <c r="B174" s="117" t="s">
        <v>473</v>
      </c>
      <c r="C174" s="117">
        <f t="shared" si="8"/>
        <v>565</v>
      </c>
      <c r="D174" s="117">
        <f t="shared" si="9"/>
        <v>1079</v>
      </c>
      <c r="E174" s="225">
        <f t="shared" si="10"/>
        <v>5450885.5099999998</v>
      </c>
      <c r="F174" s="117">
        <f t="shared" si="11"/>
        <v>9538603.754999999</v>
      </c>
      <c r="G174" s="117">
        <v>67</v>
      </c>
      <c r="H174" s="117">
        <v>50</v>
      </c>
      <c r="I174" s="117">
        <v>2244</v>
      </c>
      <c r="J174" s="117">
        <v>2354</v>
      </c>
      <c r="K174" s="117">
        <v>1996</v>
      </c>
      <c r="L174" s="117">
        <v>2164</v>
      </c>
      <c r="M174" s="117">
        <v>447</v>
      </c>
      <c r="N174" s="117">
        <v>1852</v>
      </c>
      <c r="O174" s="117">
        <v>610</v>
      </c>
      <c r="P174" s="117">
        <v>3744</v>
      </c>
      <c r="Q174" s="117">
        <v>489</v>
      </c>
      <c r="R174" s="117">
        <v>568</v>
      </c>
      <c r="S174" s="117">
        <v>307</v>
      </c>
      <c r="T174" s="117">
        <v>609</v>
      </c>
      <c r="U174" s="117">
        <v>644</v>
      </c>
      <c r="V174" s="117">
        <v>677</v>
      </c>
      <c r="W174" s="117">
        <v>1002</v>
      </c>
      <c r="X174" s="117">
        <v>2980</v>
      </c>
      <c r="Y174" s="117">
        <v>307</v>
      </c>
      <c r="Z174" s="117">
        <v>50</v>
      </c>
      <c r="AA174" s="117">
        <v>35907</v>
      </c>
      <c r="AB174" s="117">
        <v>35843</v>
      </c>
      <c r="AC174" s="117">
        <v>35671</v>
      </c>
      <c r="AD174" s="117">
        <v>95564</v>
      </c>
      <c r="AE174" s="117">
        <v>95808</v>
      </c>
      <c r="AF174"/>
      <c r="AG174"/>
    </row>
    <row r="175" spans="1:33" ht="13.2" x14ac:dyDescent="0.25">
      <c r="A175" s="117" t="s">
        <v>606</v>
      </c>
      <c r="B175" s="117" t="s">
        <v>271</v>
      </c>
      <c r="C175" s="117">
        <f t="shared" si="8"/>
        <v>6688.5</v>
      </c>
      <c r="D175" s="117">
        <f t="shared" si="9"/>
        <v>6683</v>
      </c>
      <c r="E175" s="225">
        <f t="shared" si="10"/>
        <v>4588578.68</v>
      </c>
      <c r="F175" s="117">
        <f t="shared" si="11"/>
        <v>8029637.3399999989</v>
      </c>
      <c r="G175" s="117">
        <v>-4958</v>
      </c>
      <c r="H175" s="117">
        <v>866</v>
      </c>
      <c r="I175" s="117">
        <v>21154</v>
      </c>
      <c r="J175" s="117">
        <v>12362</v>
      </c>
      <c r="K175" s="117">
        <v>12560</v>
      </c>
      <c r="L175" s="117">
        <v>10679</v>
      </c>
      <c r="M175" s="117">
        <v>3711</v>
      </c>
      <c r="N175" s="117">
        <v>2978</v>
      </c>
      <c r="O175" s="117">
        <v>4482</v>
      </c>
      <c r="P175" s="117">
        <v>6581</v>
      </c>
      <c r="Q175" s="117">
        <v>13615</v>
      </c>
      <c r="R175" s="117">
        <v>13064</v>
      </c>
      <c r="S175" s="117">
        <v>9727</v>
      </c>
      <c r="T175" s="117">
        <v>11036</v>
      </c>
      <c r="U175" s="117">
        <v>5984</v>
      </c>
      <c r="V175" s="117">
        <v>6788</v>
      </c>
      <c r="W175" s="117">
        <v>11212</v>
      </c>
      <c r="X175" s="117">
        <v>8042</v>
      </c>
      <c r="Y175" s="117">
        <v>-169</v>
      </c>
      <c r="Z175" s="117">
        <v>866</v>
      </c>
      <c r="AA175" s="117">
        <v>29674</v>
      </c>
      <c r="AB175" s="117">
        <v>29762</v>
      </c>
      <c r="AC175" s="117">
        <v>30028</v>
      </c>
      <c r="AD175" s="117">
        <v>23726</v>
      </c>
      <c r="AE175" s="117">
        <v>26452</v>
      </c>
      <c r="AF175"/>
      <c r="AG175"/>
    </row>
    <row r="176" spans="1:33" ht="13.2" x14ac:dyDescent="0.25">
      <c r="A176" s="117" t="s">
        <v>601</v>
      </c>
      <c r="B176" s="117" t="s">
        <v>233</v>
      </c>
      <c r="C176" s="117">
        <f t="shared" si="8"/>
        <v>1522.75</v>
      </c>
      <c r="D176" s="117">
        <f t="shared" si="9"/>
        <v>1441.5</v>
      </c>
      <c r="E176" s="225">
        <f t="shared" si="10"/>
        <v>7100469.46</v>
      </c>
      <c r="F176" s="117">
        <f t="shared" si="11"/>
        <v>12425240.729999999</v>
      </c>
      <c r="G176" s="117">
        <v>1262</v>
      </c>
      <c r="H176" s="117">
        <v>1262</v>
      </c>
      <c r="I176" s="117">
        <v>9342</v>
      </c>
      <c r="J176" s="117">
        <v>10951</v>
      </c>
      <c r="K176" s="117">
        <v>3752</v>
      </c>
      <c r="L176" s="117">
        <v>6874</v>
      </c>
      <c r="M176" s="117">
        <v>11659</v>
      </c>
      <c r="N176" s="117">
        <v>11459</v>
      </c>
      <c r="O176" s="117">
        <v>4279</v>
      </c>
      <c r="P176" s="117">
        <v>3251</v>
      </c>
      <c r="Q176" s="117">
        <v>8303</v>
      </c>
      <c r="R176" s="117">
        <v>8686</v>
      </c>
      <c r="S176" s="117">
        <v>2415</v>
      </c>
      <c r="T176" s="117">
        <v>2999</v>
      </c>
      <c r="U176" s="117">
        <v>2573</v>
      </c>
      <c r="V176" s="117">
        <v>1505</v>
      </c>
      <c r="W176" s="117">
        <v>36</v>
      </c>
      <c r="X176" s="117">
        <v>0</v>
      </c>
      <c r="Y176" s="117">
        <v>1067</v>
      </c>
      <c r="Z176" s="117">
        <v>1262</v>
      </c>
      <c r="AA176" s="117">
        <v>46173</v>
      </c>
      <c r="AB176" s="117">
        <v>46383</v>
      </c>
      <c r="AC176" s="117">
        <v>46466</v>
      </c>
      <c r="AD176" s="117">
        <v>100061</v>
      </c>
      <c r="AE176" s="117">
        <v>107688</v>
      </c>
      <c r="AF176"/>
      <c r="AG176"/>
    </row>
    <row r="177" spans="1:33" ht="13.2" x14ac:dyDescent="0.25">
      <c r="A177" s="117" t="s">
        <v>600</v>
      </c>
      <c r="B177" s="117" t="s">
        <v>360</v>
      </c>
      <c r="C177" s="117">
        <f t="shared" si="8"/>
        <v>2066.75</v>
      </c>
      <c r="D177" s="117">
        <f t="shared" si="9"/>
        <v>2206.75</v>
      </c>
      <c r="E177" s="225">
        <f t="shared" si="10"/>
        <v>3485137.67</v>
      </c>
      <c r="F177" s="117">
        <f t="shared" si="11"/>
        <v>6098705.834999999</v>
      </c>
      <c r="G177" s="117">
        <v>0</v>
      </c>
      <c r="H177" s="117">
        <v>0</v>
      </c>
      <c r="I177" s="117">
        <v>1140</v>
      </c>
      <c r="J177" s="117">
        <v>1109</v>
      </c>
      <c r="K177" s="117">
        <v>241</v>
      </c>
      <c r="L177" s="117">
        <v>1514</v>
      </c>
      <c r="M177" s="117">
        <v>136</v>
      </c>
      <c r="N177" s="117">
        <v>982</v>
      </c>
      <c r="O177" s="117">
        <v>1145</v>
      </c>
      <c r="P177" s="117">
        <v>1050</v>
      </c>
      <c r="Q177" s="117">
        <v>1383</v>
      </c>
      <c r="R177" s="117">
        <v>1523</v>
      </c>
      <c r="S177" s="117">
        <v>1989</v>
      </c>
      <c r="T177" s="117">
        <v>2143</v>
      </c>
      <c r="U177" s="117">
        <v>5244</v>
      </c>
      <c r="V177" s="117">
        <v>5516</v>
      </c>
      <c r="W177" s="117">
        <v>934</v>
      </c>
      <c r="X177" s="117">
        <v>1168</v>
      </c>
      <c r="Y177" s="117">
        <v>100</v>
      </c>
      <c r="Z177" s="117">
        <v>0</v>
      </c>
      <c r="AA177" s="117">
        <v>22713</v>
      </c>
      <c r="AB177" s="117">
        <v>22754</v>
      </c>
      <c r="AC177" s="117">
        <v>22807</v>
      </c>
      <c r="AD177" s="117">
        <v>89907</v>
      </c>
      <c r="AE177" s="117">
        <v>87098</v>
      </c>
      <c r="AF177"/>
      <c r="AG177"/>
    </row>
    <row r="178" spans="1:33" ht="13.2" x14ac:dyDescent="0.25">
      <c r="A178" s="117" t="s">
        <v>601</v>
      </c>
      <c r="B178" s="117" t="s">
        <v>234</v>
      </c>
      <c r="C178" s="117">
        <f t="shared" si="8"/>
        <v>4254.75</v>
      </c>
      <c r="D178" s="117">
        <f t="shared" si="9"/>
        <v>4976.5</v>
      </c>
      <c r="E178" s="225">
        <f t="shared" si="10"/>
        <v>5134416</v>
      </c>
      <c r="F178" s="117">
        <f t="shared" si="11"/>
        <v>8984808</v>
      </c>
      <c r="G178" s="117">
        <v>1523</v>
      </c>
      <c r="H178" s="117">
        <v>1525</v>
      </c>
      <c r="I178" s="117">
        <v>19967</v>
      </c>
      <c r="J178" s="117">
        <v>24035</v>
      </c>
      <c r="K178" s="117">
        <v>15424</v>
      </c>
      <c r="L178" s="117">
        <v>17261</v>
      </c>
      <c r="M178" s="117">
        <v>6560</v>
      </c>
      <c r="N178" s="117">
        <v>7208</v>
      </c>
      <c r="O178" s="117">
        <v>8401</v>
      </c>
      <c r="P178" s="117">
        <v>8546</v>
      </c>
      <c r="Q178" s="117">
        <v>2992</v>
      </c>
      <c r="R178" s="117">
        <v>3240</v>
      </c>
      <c r="S178" s="117">
        <v>5577</v>
      </c>
      <c r="T178" s="117">
        <v>5740</v>
      </c>
      <c r="U178" s="117">
        <v>3586</v>
      </c>
      <c r="V178" s="117">
        <v>3759</v>
      </c>
      <c r="W178" s="117">
        <v>6336</v>
      </c>
      <c r="X178" s="117">
        <v>8882</v>
      </c>
      <c r="Y178" s="117">
        <v>1520</v>
      </c>
      <c r="Z178" s="117">
        <v>1525</v>
      </c>
      <c r="AA178" s="117">
        <v>33543</v>
      </c>
      <c r="AB178" s="117">
        <v>33562</v>
      </c>
      <c r="AC178" s="117">
        <v>33600</v>
      </c>
      <c r="AD178" s="117">
        <v>79010</v>
      </c>
      <c r="AE178" s="117">
        <v>79331</v>
      </c>
      <c r="AF178"/>
      <c r="AG178"/>
    </row>
    <row r="179" spans="1:33" ht="13.2" x14ac:dyDescent="0.25">
      <c r="A179" s="117" t="s">
        <v>599</v>
      </c>
      <c r="B179" s="117" t="s">
        <v>437</v>
      </c>
      <c r="C179" s="117">
        <f t="shared" si="8"/>
        <v>7054</v>
      </c>
      <c r="D179" s="117">
        <f t="shared" si="9"/>
        <v>6775.25</v>
      </c>
      <c r="E179" s="225">
        <f t="shared" si="10"/>
        <v>3565515.73</v>
      </c>
      <c r="F179" s="117">
        <f t="shared" si="11"/>
        <v>6239360.8649999993</v>
      </c>
      <c r="G179" s="117">
        <v>143</v>
      </c>
      <c r="H179" s="117">
        <v>182</v>
      </c>
      <c r="I179" s="117">
        <v>7545</v>
      </c>
      <c r="J179" s="117">
        <v>8139</v>
      </c>
      <c r="K179" s="117">
        <v>4435</v>
      </c>
      <c r="L179" s="117">
        <v>5672</v>
      </c>
      <c r="M179" s="117">
        <v>4651</v>
      </c>
      <c r="N179" s="117">
        <v>8986</v>
      </c>
      <c r="O179" s="117">
        <v>3209</v>
      </c>
      <c r="P179" s="117">
        <v>4583</v>
      </c>
      <c r="Q179" s="117">
        <v>6689</v>
      </c>
      <c r="R179" s="117">
        <v>6883</v>
      </c>
      <c r="S179" s="117">
        <v>21877</v>
      </c>
      <c r="T179" s="117">
        <v>20424</v>
      </c>
      <c r="U179" s="117">
        <v>3606</v>
      </c>
      <c r="V179" s="117">
        <v>3698</v>
      </c>
      <c r="W179" s="117">
        <v>2724</v>
      </c>
      <c r="X179" s="117">
        <v>2797</v>
      </c>
      <c r="Y179" s="117">
        <v>9</v>
      </c>
      <c r="Z179" s="117">
        <v>182</v>
      </c>
      <c r="AA179" s="117">
        <v>23095</v>
      </c>
      <c r="AB179" s="117">
        <v>23126</v>
      </c>
      <c r="AC179" s="117">
        <v>23333</v>
      </c>
      <c r="AD179" s="117">
        <v>42106</v>
      </c>
      <c r="AE179" s="117">
        <v>33760</v>
      </c>
      <c r="AF179"/>
      <c r="AG179"/>
    </row>
    <row r="180" spans="1:33" ht="13.2" x14ac:dyDescent="0.25">
      <c r="A180" s="117" t="s">
        <v>601</v>
      </c>
      <c r="B180" s="117" t="s">
        <v>272</v>
      </c>
      <c r="C180" s="117">
        <f t="shared" si="8"/>
        <v>0</v>
      </c>
      <c r="D180" s="117">
        <f t="shared" si="9"/>
        <v>0</v>
      </c>
      <c r="E180" s="225">
        <f t="shared" si="10"/>
        <v>2212230.37</v>
      </c>
      <c r="F180" s="117">
        <f t="shared" si="11"/>
        <v>3871222.1849999996</v>
      </c>
      <c r="G180" s="117">
        <v>0</v>
      </c>
      <c r="H180" s="117">
        <v>0</v>
      </c>
      <c r="I180" s="117">
        <v>2899</v>
      </c>
      <c r="J180" s="117">
        <v>1495</v>
      </c>
      <c r="K180" s="117">
        <v>0</v>
      </c>
      <c r="L180" s="117">
        <v>0</v>
      </c>
      <c r="M180" s="117">
        <v>0</v>
      </c>
      <c r="N180" s="117">
        <v>0</v>
      </c>
      <c r="O180" s="117">
        <v>0</v>
      </c>
      <c r="P180" s="117">
        <v>0</v>
      </c>
      <c r="Q180" s="117">
        <v>0</v>
      </c>
      <c r="R180" s="117">
        <v>0</v>
      </c>
      <c r="S180" s="117">
        <v>0</v>
      </c>
      <c r="T180" s="117">
        <v>0</v>
      </c>
      <c r="U180" s="117">
        <v>0</v>
      </c>
      <c r="V180" s="117">
        <v>0</v>
      </c>
      <c r="W180" s="117">
        <v>0</v>
      </c>
      <c r="X180" s="117">
        <v>0</v>
      </c>
      <c r="Y180" s="117">
        <v>0</v>
      </c>
      <c r="Z180" s="117">
        <v>0</v>
      </c>
      <c r="AA180" s="117">
        <v>14207</v>
      </c>
      <c r="AB180" s="117">
        <v>14386</v>
      </c>
      <c r="AC180" s="117">
        <v>14477</v>
      </c>
      <c r="AD180" s="117">
        <v>15461</v>
      </c>
      <c r="AE180" s="117">
        <v>16091</v>
      </c>
      <c r="AF180"/>
      <c r="AG180"/>
    </row>
    <row r="181" spans="1:33" ht="13.2" x14ac:dyDescent="0.25">
      <c r="A181" s="117" t="s">
        <v>607</v>
      </c>
      <c r="B181" s="117" t="s">
        <v>153</v>
      </c>
      <c r="C181" s="117">
        <f t="shared" si="8"/>
        <v>1082.25</v>
      </c>
      <c r="D181" s="117">
        <f t="shared" si="9"/>
        <v>1273.75</v>
      </c>
      <c r="E181" s="225">
        <f t="shared" si="10"/>
        <v>1469573.77</v>
      </c>
      <c r="F181" s="117">
        <f t="shared" si="11"/>
        <v>2571633.8849999998</v>
      </c>
      <c r="G181" s="117">
        <v>714</v>
      </c>
      <c r="H181" s="117">
        <v>734</v>
      </c>
      <c r="I181" s="117">
        <v>1910</v>
      </c>
      <c r="J181" s="117">
        <v>2116</v>
      </c>
      <c r="K181" s="117">
        <v>1054</v>
      </c>
      <c r="L181" s="117">
        <v>2295</v>
      </c>
      <c r="M181" s="117">
        <v>1390</v>
      </c>
      <c r="N181" s="117">
        <v>1847</v>
      </c>
      <c r="O181" s="117">
        <v>1040</v>
      </c>
      <c r="P181" s="117">
        <v>1177</v>
      </c>
      <c r="Q181" s="117">
        <v>2348</v>
      </c>
      <c r="R181" s="117">
        <v>2515</v>
      </c>
      <c r="S181" s="117">
        <v>2167</v>
      </c>
      <c r="T181" s="117">
        <v>2597</v>
      </c>
      <c r="U181" s="117">
        <v>864</v>
      </c>
      <c r="V181" s="117">
        <v>1262</v>
      </c>
      <c r="W181" s="117">
        <v>480</v>
      </c>
      <c r="X181" s="117">
        <v>502</v>
      </c>
      <c r="Y181" s="117">
        <v>818</v>
      </c>
      <c r="Z181" s="117">
        <v>734</v>
      </c>
      <c r="AA181" s="117">
        <v>9915</v>
      </c>
      <c r="AB181" s="117">
        <v>9733</v>
      </c>
      <c r="AC181" s="117">
        <v>9617</v>
      </c>
      <c r="AD181" s="117">
        <v>29409</v>
      </c>
      <c r="AE181" s="117">
        <v>24542</v>
      </c>
      <c r="AF181"/>
      <c r="AG181"/>
    </row>
    <row r="182" spans="1:33" ht="13.2" x14ac:dyDescent="0.25">
      <c r="A182" s="117" t="s">
        <v>604</v>
      </c>
      <c r="B182" s="117" t="s">
        <v>196</v>
      </c>
      <c r="C182" s="117">
        <f t="shared" si="8"/>
        <v>3237.25</v>
      </c>
      <c r="D182" s="117">
        <f t="shared" si="9"/>
        <v>3346.5</v>
      </c>
      <c r="E182" s="225">
        <f t="shared" si="10"/>
        <v>3455645.34</v>
      </c>
      <c r="F182" s="117">
        <f t="shared" si="11"/>
        <v>6047096.669999999</v>
      </c>
      <c r="G182" s="117">
        <v>6239</v>
      </c>
      <c r="H182" s="117">
        <v>6238</v>
      </c>
      <c r="I182" s="117">
        <v>3794</v>
      </c>
      <c r="J182" s="117">
        <v>3627</v>
      </c>
      <c r="K182" s="117">
        <v>3998</v>
      </c>
      <c r="L182" s="117">
        <v>9334</v>
      </c>
      <c r="M182" s="117">
        <v>2852</v>
      </c>
      <c r="N182" s="117">
        <v>2920</v>
      </c>
      <c r="O182" s="117">
        <v>2342</v>
      </c>
      <c r="P182" s="117">
        <v>2897</v>
      </c>
      <c r="Q182" s="117">
        <v>2432</v>
      </c>
      <c r="R182" s="117">
        <v>2804</v>
      </c>
      <c r="S182" s="117">
        <v>4360</v>
      </c>
      <c r="T182" s="117">
        <v>4325</v>
      </c>
      <c r="U182" s="117">
        <v>1993</v>
      </c>
      <c r="V182" s="117">
        <v>1988</v>
      </c>
      <c r="W182" s="117">
        <v>3435</v>
      </c>
      <c r="X182" s="117">
        <v>835</v>
      </c>
      <c r="Y182" s="117">
        <v>3161</v>
      </c>
      <c r="Z182" s="117">
        <v>6238</v>
      </c>
      <c r="AA182" s="117">
        <v>22480</v>
      </c>
      <c r="AB182" s="117">
        <v>22548</v>
      </c>
      <c r="AC182" s="117">
        <v>22614</v>
      </c>
      <c r="AD182" s="117">
        <v>39420</v>
      </c>
      <c r="AE182" s="117">
        <v>41607</v>
      </c>
      <c r="AF182"/>
      <c r="AG182"/>
    </row>
    <row r="183" spans="1:33" ht="13.2" x14ac:dyDescent="0.25">
      <c r="A183" s="117" t="s">
        <v>601</v>
      </c>
      <c r="B183" s="117" t="s">
        <v>235</v>
      </c>
      <c r="C183" s="117">
        <f t="shared" si="8"/>
        <v>2214.25</v>
      </c>
      <c r="D183" s="117">
        <f t="shared" si="9"/>
        <v>2026.75</v>
      </c>
      <c r="E183" s="225">
        <f t="shared" si="10"/>
        <v>3774865.43</v>
      </c>
      <c r="F183" s="117">
        <f t="shared" si="11"/>
        <v>6605705.7149999989</v>
      </c>
      <c r="G183" s="117">
        <v>832</v>
      </c>
      <c r="H183" s="117">
        <v>832</v>
      </c>
      <c r="I183" s="117">
        <v>5381</v>
      </c>
      <c r="J183" s="117">
        <v>6019</v>
      </c>
      <c r="K183" s="117">
        <v>3553</v>
      </c>
      <c r="L183" s="117">
        <v>5965</v>
      </c>
      <c r="M183" s="117">
        <v>2054</v>
      </c>
      <c r="N183" s="117">
        <v>3147</v>
      </c>
      <c r="O183" s="117">
        <v>3249</v>
      </c>
      <c r="P183" s="117">
        <v>2891</v>
      </c>
      <c r="Q183" s="117">
        <v>6139</v>
      </c>
      <c r="R183" s="117">
        <v>6362</v>
      </c>
      <c r="S183" s="117">
        <v>2346</v>
      </c>
      <c r="T183" s="117">
        <v>2573</v>
      </c>
      <c r="U183" s="117">
        <v>2878</v>
      </c>
      <c r="V183" s="117">
        <v>1957</v>
      </c>
      <c r="W183" s="117">
        <v>2754</v>
      </c>
      <c r="X183" s="117">
        <v>2745</v>
      </c>
      <c r="Y183" s="117">
        <v>879</v>
      </c>
      <c r="Z183" s="117">
        <v>832</v>
      </c>
      <c r="AA183" s="117">
        <v>24254</v>
      </c>
      <c r="AB183" s="117">
        <v>24327</v>
      </c>
      <c r="AC183" s="117">
        <v>24703</v>
      </c>
      <c r="AD183" s="117">
        <v>41207</v>
      </c>
      <c r="AE183" s="117">
        <v>45769</v>
      </c>
      <c r="AF183"/>
      <c r="AG183"/>
    </row>
    <row r="184" spans="1:33" ht="13.2" x14ac:dyDescent="0.25">
      <c r="A184" s="117" t="s">
        <v>608</v>
      </c>
      <c r="B184" s="117" t="s">
        <v>474</v>
      </c>
      <c r="C184" s="117">
        <f t="shared" si="8"/>
        <v>2018</v>
      </c>
      <c r="D184" s="117">
        <f t="shared" si="9"/>
        <v>2390.5</v>
      </c>
      <c r="E184" s="225">
        <f t="shared" si="10"/>
        <v>3624347.58</v>
      </c>
      <c r="F184" s="117">
        <f t="shared" si="11"/>
        <v>6342311.7899999991</v>
      </c>
      <c r="G184" s="117">
        <v>0</v>
      </c>
      <c r="H184" s="117">
        <v>164</v>
      </c>
      <c r="I184" s="117">
        <v>732</v>
      </c>
      <c r="J184" s="117">
        <v>1227</v>
      </c>
      <c r="K184" s="117">
        <v>3948</v>
      </c>
      <c r="L184" s="117">
        <v>2941</v>
      </c>
      <c r="M184" s="117">
        <v>2635</v>
      </c>
      <c r="N184" s="117">
        <v>2725</v>
      </c>
      <c r="O184" s="117">
        <v>1090</v>
      </c>
      <c r="P184" s="117">
        <v>3254</v>
      </c>
      <c r="Q184" s="117">
        <v>1449</v>
      </c>
      <c r="R184" s="117">
        <v>1993</v>
      </c>
      <c r="S184" s="117">
        <v>1773</v>
      </c>
      <c r="T184" s="117">
        <v>3138</v>
      </c>
      <c r="U184" s="117">
        <v>4533</v>
      </c>
      <c r="V184" s="117">
        <v>4683</v>
      </c>
      <c r="W184" s="117">
        <v>1766</v>
      </c>
      <c r="X184" s="117">
        <v>1577</v>
      </c>
      <c r="Y184" s="117">
        <v>0</v>
      </c>
      <c r="Z184" s="117">
        <v>164</v>
      </c>
      <c r="AA184" s="117">
        <v>23773</v>
      </c>
      <c r="AB184" s="117">
        <v>23706</v>
      </c>
      <c r="AC184" s="117">
        <v>23718</v>
      </c>
      <c r="AD184" s="117">
        <v>58909</v>
      </c>
      <c r="AE184" s="117">
        <v>57037</v>
      </c>
      <c r="AF184"/>
      <c r="AG184"/>
    </row>
    <row r="185" spans="1:33" ht="13.2" x14ac:dyDescent="0.25">
      <c r="A185" s="117" t="s">
        <v>603</v>
      </c>
      <c r="B185" s="117" t="s">
        <v>361</v>
      </c>
      <c r="C185" s="117">
        <f t="shared" si="8"/>
        <v>2496.25</v>
      </c>
      <c r="D185" s="117">
        <f t="shared" si="9"/>
        <v>2571</v>
      </c>
      <c r="E185" s="225">
        <f t="shared" si="10"/>
        <v>5010028.66</v>
      </c>
      <c r="F185" s="117">
        <f t="shared" si="11"/>
        <v>8767140.3299999982</v>
      </c>
      <c r="G185" s="117">
        <v>2657</v>
      </c>
      <c r="H185" s="117">
        <v>2741</v>
      </c>
      <c r="I185" s="117">
        <v>5013</v>
      </c>
      <c r="J185" s="117">
        <v>5039</v>
      </c>
      <c r="K185" s="117">
        <v>2902</v>
      </c>
      <c r="L185" s="117">
        <v>3469</v>
      </c>
      <c r="M185" s="117">
        <v>10823</v>
      </c>
      <c r="N185" s="117">
        <v>12443</v>
      </c>
      <c r="O185" s="117">
        <v>6435</v>
      </c>
      <c r="P185" s="117">
        <v>8919</v>
      </c>
      <c r="Q185" s="117">
        <v>3797</v>
      </c>
      <c r="R185" s="117">
        <v>4161</v>
      </c>
      <c r="S185" s="117">
        <v>4188</v>
      </c>
      <c r="T185" s="117">
        <v>4636</v>
      </c>
      <c r="U185" s="117">
        <v>2793</v>
      </c>
      <c r="V185" s="117">
        <v>2463</v>
      </c>
      <c r="W185" s="117">
        <v>71</v>
      </c>
      <c r="X185" s="117">
        <v>444</v>
      </c>
      <c r="Y185" s="117">
        <v>2933</v>
      </c>
      <c r="Z185" s="117">
        <v>2741</v>
      </c>
      <c r="AA185" s="117">
        <v>32443</v>
      </c>
      <c r="AB185" s="117">
        <v>32515</v>
      </c>
      <c r="AC185" s="117">
        <v>32786</v>
      </c>
      <c r="AD185" s="117">
        <v>76892</v>
      </c>
      <c r="AE185" s="117">
        <v>77192</v>
      </c>
      <c r="AF185"/>
      <c r="AG185"/>
    </row>
    <row r="186" spans="1:33" ht="13.2" x14ac:dyDescent="0.25">
      <c r="A186" s="117" t="s">
        <v>608</v>
      </c>
      <c r="B186" s="117" t="s">
        <v>475</v>
      </c>
      <c r="C186" s="117">
        <f t="shared" si="8"/>
        <v>12499</v>
      </c>
      <c r="D186" s="117">
        <f t="shared" si="9"/>
        <v>11448.5</v>
      </c>
      <c r="E186" s="225">
        <f t="shared" si="10"/>
        <v>18585210.629999999</v>
      </c>
      <c r="F186" s="117">
        <f t="shared" si="11"/>
        <v>32522598.314999998</v>
      </c>
      <c r="G186" s="117">
        <v>3723</v>
      </c>
      <c r="H186" s="117">
        <v>3723</v>
      </c>
      <c r="I186" s="117">
        <v>65194</v>
      </c>
      <c r="J186" s="117">
        <v>65200</v>
      </c>
      <c r="K186" s="117">
        <v>4253</v>
      </c>
      <c r="L186" s="117">
        <v>4252</v>
      </c>
      <c r="M186" s="117">
        <v>26611</v>
      </c>
      <c r="N186" s="117">
        <v>26610</v>
      </c>
      <c r="O186" s="117">
        <v>61762</v>
      </c>
      <c r="P186" s="117">
        <v>65322</v>
      </c>
      <c r="Q186" s="117">
        <v>112918</v>
      </c>
      <c r="R186" s="117">
        <v>112920</v>
      </c>
      <c r="S186" s="117">
        <v>15402</v>
      </c>
      <c r="T186" s="117">
        <v>15403</v>
      </c>
      <c r="U186" s="117">
        <v>20952</v>
      </c>
      <c r="V186" s="117">
        <v>20953</v>
      </c>
      <c r="W186" s="117">
        <v>5715</v>
      </c>
      <c r="X186" s="117">
        <v>5715</v>
      </c>
      <c r="Y186" s="117">
        <v>7927</v>
      </c>
      <c r="Z186" s="117">
        <v>3723</v>
      </c>
      <c r="AA186" s="117">
        <v>122798</v>
      </c>
      <c r="AB186" s="117">
        <v>122716</v>
      </c>
      <c r="AC186" s="117">
        <v>121623</v>
      </c>
      <c r="AD186" s="117">
        <v>423515</v>
      </c>
      <c r="AE186" s="117">
        <v>381745</v>
      </c>
      <c r="AF186"/>
      <c r="AG186"/>
    </row>
    <row r="187" spans="1:33" ht="13.2" x14ac:dyDescent="0.25">
      <c r="A187" s="117" t="s">
        <v>600</v>
      </c>
      <c r="B187" s="117" t="s">
        <v>315</v>
      </c>
      <c r="C187" s="117">
        <f t="shared" si="8"/>
        <v>4554</v>
      </c>
      <c r="D187" s="117">
        <f t="shared" si="9"/>
        <v>4541</v>
      </c>
      <c r="E187" s="225">
        <f t="shared" si="10"/>
        <v>6850930.7300000004</v>
      </c>
      <c r="F187" s="117">
        <f t="shared" si="11"/>
        <v>11988568.364999998</v>
      </c>
      <c r="G187" s="117">
        <v>0</v>
      </c>
      <c r="H187" s="117">
        <v>0</v>
      </c>
      <c r="I187" s="117">
        <v>6410</v>
      </c>
      <c r="J187" s="117">
        <v>4184</v>
      </c>
      <c r="K187" s="117">
        <v>10304</v>
      </c>
      <c r="L187" s="117">
        <v>10614</v>
      </c>
      <c r="M187" s="117">
        <v>5961</v>
      </c>
      <c r="N187" s="117">
        <v>8495</v>
      </c>
      <c r="O187" s="117">
        <v>6155</v>
      </c>
      <c r="P187" s="117">
        <v>4598</v>
      </c>
      <c r="Q187" s="117">
        <v>6056</v>
      </c>
      <c r="R187" s="117">
        <v>4690</v>
      </c>
      <c r="S187" s="117">
        <v>8464</v>
      </c>
      <c r="T187" s="117">
        <v>6365</v>
      </c>
      <c r="U187" s="117">
        <v>6119</v>
      </c>
      <c r="V187" s="117">
        <v>6420</v>
      </c>
      <c r="W187" s="117">
        <v>3633</v>
      </c>
      <c r="X187" s="117">
        <v>5379</v>
      </c>
      <c r="Y187" s="117">
        <v>0</v>
      </c>
      <c r="Z187" s="117">
        <v>0</v>
      </c>
      <c r="AA187" s="117">
        <v>44058</v>
      </c>
      <c r="AB187" s="117">
        <v>44479</v>
      </c>
      <c r="AC187" s="117">
        <v>44833</v>
      </c>
      <c r="AD187" s="117">
        <v>71756</v>
      </c>
      <c r="AE187" s="117">
        <v>74115</v>
      </c>
      <c r="AF187"/>
      <c r="AG187"/>
    </row>
    <row r="188" spans="1:33" ht="13.2" x14ac:dyDescent="0.25">
      <c r="A188" s="117" t="s">
        <v>608</v>
      </c>
      <c r="B188" s="117" t="s">
        <v>476</v>
      </c>
      <c r="C188" s="117">
        <f t="shared" si="8"/>
        <v>298</v>
      </c>
      <c r="D188" s="117">
        <f t="shared" si="9"/>
        <v>308.25</v>
      </c>
      <c r="E188" s="225">
        <f t="shared" si="10"/>
        <v>2891623.63</v>
      </c>
      <c r="F188" s="117">
        <f t="shared" si="11"/>
        <v>5060104.8149999995</v>
      </c>
      <c r="G188" s="117">
        <v>2</v>
      </c>
      <c r="H188" s="117">
        <v>0</v>
      </c>
      <c r="I188" s="117">
        <v>1195</v>
      </c>
      <c r="J188" s="117">
        <v>1328</v>
      </c>
      <c r="K188" s="117">
        <v>1276</v>
      </c>
      <c r="L188" s="117">
        <v>1441</v>
      </c>
      <c r="M188" s="117">
        <v>712</v>
      </c>
      <c r="N188" s="117">
        <v>604</v>
      </c>
      <c r="O188" s="117">
        <v>1102</v>
      </c>
      <c r="P188" s="117">
        <v>1436</v>
      </c>
      <c r="Q188" s="117">
        <v>617</v>
      </c>
      <c r="R188" s="117">
        <v>434</v>
      </c>
      <c r="S188" s="117">
        <v>735</v>
      </c>
      <c r="T188" s="117">
        <v>894</v>
      </c>
      <c r="U188" s="117">
        <v>457</v>
      </c>
      <c r="V188" s="117">
        <v>339</v>
      </c>
      <c r="W188" s="117">
        <v>0</v>
      </c>
      <c r="X188" s="117">
        <v>0</v>
      </c>
      <c r="Y188" s="117">
        <v>0</v>
      </c>
      <c r="Z188" s="117">
        <v>0</v>
      </c>
      <c r="AA188" s="117">
        <v>19068</v>
      </c>
      <c r="AB188" s="117">
        <v>19037</v>
      </c>
      <c r="AC188" s="117">
        <v>18923</v>
      </c>
      <c r="AD188" s="117">
        <v>43923</v>
      </c>
      <c r="AE188" s="117">
        <v>42292</v>
      </c>
      <c r="AF188"/>
      <c r="AG188"/>
    </row>
    <row r="189" spans="1:33" ht="13.2" x14ac:dyDescent="0.25">
      <c r="A189" s="117" t="s">
        <v>599</v>
      </c>
      <c r="B189" s="117" t="s">
        <v>698</v>
      </c>
      <c r="C189" s="117">
        <f t="shared" si="8"/>
        <v>22515.75</v>
      </c>
      <c r="D189" s="117">
        <f t="shared" si="9"/>
        <v>22260.75</v>
      </c>
      <c r="E189" s="225">
        <f t="shared" si="10"/>
        <v>12350562.630000001</v>
      </c>
      <c r="F189" s="117">
        <f t="shared" si="11"/>
        <v>21612474.314999998</v>
      </c>
      <c r="G189" s="117">
        <v>18523</v>
      </c>
      <c r="H189" s="117">
        <v>18524</v>
      </c>
      <c r="I189" s="117">
        <v>40561</v>
      </c>
      <c r="J189" s="117">
        <v>39904</v>
      </c>
      <c r="K189" s="117">
        <v>30575</v>
      </c>
      <c r="L189" s="117">
        <v>31278</v>
      </c>
      <c r="M189" s="117">
        <v>17059</v>
      </c>
      <c r="N189" s="117">
        <v>26530</v>
      </c>
      <c r="O189" s="117">
        <v>38402</v>
      </c>
      <c r="P189" s="117">
        <v>38863</v>
      </c>
      <c r="Q189" s="117">
        <v>18678</v>
      </c>
      <c r="R189" s="117">
        <v>55622</v>
      </c>
      <c r="S189" s="117">
        <v>18380</v>
      </c>
      <c r="T189" s="117">
        <v>16448</v>
      </c>
      <c r="U189" s="117">
        <v>20652</v>
      </c>
      <c r="V189" s="117">
        <v>34333</v>
      </c>
      <c r="W189" s="117">
        <v>22479</v>
      </c>
      <c r="X189" s="117">
        <v>19738</v>
      </c>
      <c r="Y189" s="117">
        <v>28552</v>
      </c>
      <c r="Z189" s="117">
        <v>18524</v>
      </c>
      <c r="AA189" s="117">
        <v>79835</v>
      </c>
      <c r="AB189" s="117">
        <v>80174</v>
      </c>
      <c r="AC189" s="117">
        <v>80823</v>
      </c>
      <c r="AD189" s="117">
        <v>196097</v>
      </c>
      <c r="AE189" s="117">
        <v>190529</v>
      </c>
      <c r="AF189"/>
      <c r="AG189"/>
    </row>
    <row r="190" spans="1:33" ht="13.2" x14ac:dyDescent="0.25">
      <c r="A190" s="117" t="s">
        <v>598</v>
      </c>
      <c r="B190" s="117" t="s">
        <v>135</v>
      </c>
      <c r="C190" s="117">
        <f t="shared" si="8"/>
        <v>9160.25</v>
      </c>
      <c r="D190" s="117">
        <f t="shared" si="9"/>
        <v>8645.5</v>
      </c>
      <c r="E190" s="225">
        <f t="shared" si="10"/>
        <v>5130290.13</v>
      </c>
      <c r="F190" s="117">
        <f t="shared" si="11"/>
        <v>8977588.0649999995</v>
      </c>
      <c r="G190" s="117">
        <v>11739</v>
      </c>
      <c r="H190" s="117">
        <v>11924</v>
      </c>
      <c r="I190" s="117">
        <v>12571</v>
      </c>
      <c r="J190" s="117">
        <v>16483</v>
      </c>
      <c r="K190" s="117">
        <v>8240</v>
      </c>
      <c r="L190" s="117">
        <v>11623</v>
      </c>
      <c r="M190" s="117">
        <v>11561</v>
      </c>
      <c r="N190" s="117">
        <v>27455</v>
      </c>
      <c r="O190" s="117">
        <v>4061</v>
      </c>
      <c r="P190" s="117">
        <v>4363</v>
      </c>
      <c r="Q190" s="117">
        <v>5078</v>
      </c>
      <c r="R190" s="117">
        <v>4816</v>
      </c>
      <c r="S190" s="117">
        <v>4155</v>
      </c>
      <c r="T190" s="117">
        <v>4698</v>
      </c>
      <c r="U190" s="117">
        <v>7664</v>
      </c>
      <c r="V190" s="117">
        <v>8176</v>
      </c>
      <c r="W190" s="117">
        <v>12631</v>
      </c>
      <c r="X190" s="117">
        <v>9784</v>
      </c>
      <c r="Y190" s="117">
        <v>12191</v>
      </c>
      <c r="Z190" s="117">
        <v>11924</v>
      </c>
      <c r="AA190" s="117">
        <v>33016</v>
      </c>
      <c r="AB190" s="117">
        <v>33419</v>
      </c>
      <c r="AC190" s="117">
        <v>33573</v>
      </c>
      <c r="AD190" s="117">
        <v>103310</v>
      </c>
      <c r="AE190" s="117">
        <v>104808</v>
      </c>
      <c r="AF190"/>
      <c r="AG190"/>
    </row>
    <row r="191" spans="1:33" ht="13.2" x14ac:dyDescent="0.25">
      <c r="A191" s="117" t="s">
        <v>610</v>
      </c>
      <c r="B191" s="117" t="s">
        <v>393</v>
      </c>
      <c r="C191" s="117">
        <f t="shared" si="8"/>
        <v>12638.75</v>
      </c>
      <c r="D191" s="117">
        <f t="shared" si="9"/>
        <v>13239.25</v>
      </c>
      <c r="E191" s="225">
        <f t="shared" si="10"/>
        <v>7418619.8799999999</v>
      </c>
      <c r="F191" s="117">
        <f t="shared" si="11"/>
        <v>12981977.939999999</v>
      </c>
      <c r="G191" s="117">
        <v>6761</v>
      </c>
      <c r="H191" s="117">
        <v>7338</v>
      </c>
      <c r="I191" s="117">
        <v>16564</v>
      </c>
      <c r="J191" s="117">
        <v>18524</v>
      </c>
      <c r="K191" s="117">
        <v>18442</v>
      </c>
      <c r="L191" s="117">
        <v>19309</v>
      </c>
      <c r="M191" s="117">
        <v>31249</v>
      </c>
      <c r="N191" s="117">
        <v>41305</v>
      </c>
      <c r="O191" s="117">
        <v>10056</v>
      </c>
      <c r="P191" s="117">
        <v>14301</v>
      </c>
      <c r="Q191" s="117">
        <v>10967</v>
      </c>
      <c r="R191" s="117">
        <v>11958</v>
      </c>
      <c r="S191" s="117">
        <v>9236</v>
      </c>
      <c r="T191" s="117">
        <v>9081</v>
      </c>
      <c r="U191" s="117">
        <v>21703</v>
      </c>
      <c r="V191" s="117">
        <v>25404</v>
      </c>
      <c r="W191" s="117">
        <v>12893</v>
      </c>
      <c r="X191" s="117">
        <v>11134</v>
      </c>
      <c r="Y191" s="117">
        <v>6723</v>
      </c>
      <c r="Z191" s="117">
        <v>7338</v>
      </c>
      <c r="AA191" s="117">
        <v>48025</v>
      </c>
      <c r="AB191" s="117">
        <v>48303</v>
      </c>
      <c r="AC191" s="117">
        <v>48548</v>
      </c>
      <c r="AD191" s="117">
        <v>164349</v>
      </c>
      <c r="AE191" s="117">
        <v>167772</v>
      </c>
      <c r="AF191"/>
      <c r="AG191"/>
    </row>
    <row r="192" spans="1:33" ht="13.2" x14ac:dyDescent="0.25">
      <c r="A192" s="117" t="s">
        <v>598</v>
      </c>
      <c r="B192" s="117" t="s">
        <v>362</v>
      </c>
      <c r="C192" s="117">
        <f t="shared" si="8"/>
        <v>4360.5</v>
      </c>
      <c r="D192" s="117">
        <f t="shared" si="9"/>
        <v>4770.75</v>
      </c>
      <c r="E192" s="225">
        <f t="shared" si="10"/>
        <v>2964666.81</v>
      </c>
      <c r="F192" s="117">
        <f t="shared" si="11"/>
        <v>5187924.4049999993</v>
      </c>
      <c r="G192" s="117">
        <v>6176</v>
      </c>
      <c r="H192" s="117">
        <v>6175</v>
      </c>
      <c r="I192" s="117">
        <v>14357</v>
      </c>
      <c r="J192" s="117">
        <v>14673</v>
      </c>
      <c r="K192" s="117">
        <v>15943</v>
      </c>
      <c r="L192" s="117">
        <v>17488</v>
      </c>
      <c r="M192" s="117">
        <v>2649</v>
      </c>
      <c r="N192" s="117">
        <v>7889</v>
      </c>
      <c r="O192" s="117">
        <v>14484</v>
      </c>
      <c r="P192" s="117">
        <v>14680</v>
      </c>
      <c r="Q192" s="117">
        <v>4912</v>
      </c>
      <c r="R192" s="117">
        <v>10538</v>
      </c>
      <c r="S192" s="117">
        <v>3144</v>
      </c>
      <c r="T192" s="117">
        <v>3982</v>
      </c>
      <c r="U192" s="117">
        <v>5274</v>
      </c>
      <c r="V192" s="117">
        <v>5566</v>
      </c>
      <c r="W192" s="117">
        <v>3395</v>
      </c>
      <c r="X192" s="117">
        <v>3360</v>
      </c>
      <c r="Y192" s="117">
        <v>5629</v>
      </c>
      <c r="Z192" s="117">
        <v>6175</v>
      </c>
      <c r="AA192" s="117">
        <v>19034</v>
      </c>
      <c r="AB192" s="117">
        <v>19337</v>
      </c>
      <c r="AC192" s="117">
        <v>19401</v>
      </c>
      <c r="AD192" s="117">
        <v>55708</v>
      </c>
      <c r="AE192" s="117">
        <v>53163</v>
      </c>
      <c r="AF192"/>
      <c r="AG192"/>
    </row>
    <row r="193" spans="1:33" ht="13.2" x14ac:dyDescent="0.25">
      <c r="A193" s="117" t="s">
        <v>603</v>
      </c>
      <c r="B193" s="117" t="s">
        <v>136</v>
      </c>
      <c r="C193" s="117">
        <f t="shared" si="8"/>
        <v>1918.5</v>
      </c>
      <c r="D193" s="117">
        <f t="shared" si="9"/>
        <v>1767.25</v>
      </c>
      <c r="E193" s="225">
        <f t="shared" si="10"/>
        <v>5070082.99</v>
      </c>
      <c r="F193" s="117">
        <f t="shared" si="11"/>
        <v>8872230.4949999992</v>
      </c>
      <c r="G193" s="117">
        <v>1576</v>
      </c>
      <c r="H193" s="117">
        <v>1578</v>
      </c>
      <c r="I193" s="117">
        <v>2343</v>
      </c>
      <c r="J193" s="117">
        <v>1642</v>
      </c>
      <c r="K193" s="117">
        <v>2851</v>
      </c>
      <c r="L193" s="117">
        <v>2517</v>
      </c>
      <c r="M193" s="117">
        <v>3269</v>
      </c>
      <c r="N193" s="117">
        <v>4996</v>
      </c>
      <c r="O193" s="117">
        <v>1449</v>
      </c>
      <c r="P193" s="117">
        <v>1985</v>
      </c>
      <c r="Q193" s="117">
        <v>1966</v>
      </c>
      <c r="R193" s="117">
        <v>2008</v>
      </c>
      <c r="S193" s="117">
        <v>2855</v>
      </c>
      <c r="T193" s="117">
        <v>2860</v>
      </c>
      <c r="U193" s="117">
        <v>1197</v>
      </c>
      <c r="V193" s="117">
        <v>1375</v>
      </c>
      <c r="W193" s="117">
        <v>2173</v>
      </c>
      <c r="X193" s="117">
        <v>1256</v>
      </c>
      <c r="Y193" s="117">
        <v>1449</v>
      </c>
      <c r="Z193" s="117">
        <v>1578</v>
      </c>
      <c r="AA193" s="117">
        <v>33411</v>
      </c>
      <c r="AB193" s="117">
        <v>33167</v>
      </c>
      <c r="AC193" s="117">
        <v>33179</v>
      </c>
      <c r="AD193" s="117">
        <v>71311</v>
      </c>
      <c r="AE193" s="117">
        <v>70101</v>
      </c>
      <c r="AF193"/>
      <c r="AG193"/>
    </row>
    <row r="194" spans="1:33" ht="13.2" x14ac:dyDescent="0.25">
      <c r="A194" s="117" t="s">
        <v>607</v>
      </c>
      <c r="B194" s="117" t="s">
        <v>749</v>
      </c>
      <c r="C194" s="117">
        <f t="shared" si="8"/>
        <v>2997</v>
      </c>
      <c r="D194" s="117">
        <f t="shared" si="9"/>
        <v>5411.75</v>
      </c>
      <c r="E194" s="225">
        <f t="shared" si="10"/>
        <v>9314686.3599999994</v>
      </c>
      <c r="F194" s="117">
        <f t="shared" si="11"/>
        <v>16299939.179999998</v>
      </c>
      <c r="G194" s="117">
        <v>129</v>
      </c>
      <c r="H194" s="117">
        <v>244</v>
      </c>
      <c r="I194" s="117">
        <v>12475</v>
      </c>
      <c r="J194" s="117">
        <v>17573</v>
      </c>
      <c r="K194" s="117">
        <v>9447</v>
      </c>
      <c r="L194" s="117">
        <v>12019</v>
      </c>
      <c r="M194" s="117">
        <v>5037</v>
      </c>
      <c r="N194" s="117">
        <v>8296</v>
      </c>
      <c r="O194" s="117">
        <v>7684</v>
      </c>
      <c r="P194" s="117">
        <v>9268</v>
      </c>
      <c r="Q194" s="117">
        <v>19164</v>
      </c>
      <c r="R194" s="117">
        <v>23141</v>
      </c>
      <c r="S194" s="117">
        <v>6906</v>
      </c>
      <c r="T194" s="117">
        <v>7497</v>
      </c>
      <c r="U194" s="117">
        <v>3035</v>
      </c>
      <c r="V194" s="117">
        <v>8265</v>
      </c>
      <c r="W194" s="117">
        <v>2047</v>
      </c>
      <c r="X194" s="117">
        <v>5641</v>
      </c>
      <c r="Y194" s="117" t="s">
        <v>843</v>
      </c>
      <c r="Z194" s="117">
        <v>244</v>
      </c>
      <c r="AA194" s="117">
        <v>62168</v>
      </c>
      <c r="AB194" s="117">
        <v>60956</v>
      </c>
      <c r="AC194" s="117">
        <v>60956</v>
      </c>
      <c r="AD194" s="117">
        <v>146144</v>
      </c>
      <c r="AE194" s="117">
        <v>138386</v>
      </c>
      <c r="AF194"/>
      <c r="AG194"/>
    </row>
    <row r="195" spans="1:33" ht="13.2" x14ac:dyDescent="0.25">
      <c r="A195" s="117" t="s">
        <v>608</v>
      </c>
      <c r="B195" s="117" t="s">
        <v>438</v>
      </c>
      <c r="C195" s="117">
        <f t="shared" ref="C195:C258" si="12">SUM(S195,U195,W195,Y195)/4</f>
        <v>693</v>
      </c>
      <c r="D195" s="117">
        <f t="shared" ref="D195:D258" si="13">SUM(T195,V195,X195,Z195)/4</f>
        <v>661</v>
      </c>
      <c r="E195" s="225">
        <f t="shared" ref="E195:E258" si="14">AC195*152.81</f>
        <v>1663948.09</v>
      </c>
      <c r="F195" s="117">
        <f t="shared" ref="F195:F258" si="15">AC195*$AF$3</f>
        <v>2911773.0449999999</v>
      </c>
      <c r="G195" s="117">
        <v>2292</v>
      </c>
      <c r="H195" s="117">
        <v>2324</v>
      </c>
      <c r="I195" s="117">
        <v>1258</v>
      </c>
      <c r="J195" s="117">
        <v>621</v>
      </c>
      <c r="K195" s="117">
        <v>539</v>
      </c>
      <c r="L195" s="117">
        <v>374</v>
      </c>
      <c r="M195" s="117">
        <v>1234</v>
      </c>
      <c r="N195" s="117">
        <v>1098</v>
      </c>
      <c r="O195" s="117">
        <v>891</v>
      </c>
      <c r="P195" s="117">
        <v>803</v>
      </c>
      <c r="Q195" s="117">
        <v>0</v>
      </c>
      <c r="R195" s="117">
        <v>133</v>
      </c>
      <c r="S195" s="117">
        <v>0</v>
      </c>
      <c r="T195" s="117">
        <v>-248</v>
      </c>
      <c r="U195" s="117">
        <v>0</v>
      </c>
      <c r="V195" s="117">
        <v>-190</v>
      </c>
      <c r="W195" s="117">
        <v>930</v>
      </c>
      <c r="X195" s="117">
        <v>758</v>
      </c>
      <c r="Y195" s="117">
        <v>1842</v>
      </c>
      <c r="Z195" s="117">
        <v>2324</v>
      </c>
      <c r="AA195" s="117">
        <v>10807</v>
      </c>
      <c r="AB195" s="117">
        <v>10828</v>
      </c>
      <c r="AC195" s="117">
        <v>10889</v>
      </c>
      <c r="AD195" s="117">
        <v>29718</v>
      </c>
      <c r="AE195" s="117">
        <v>30381</v>
      </c>
      <c r="AF195"/>
      <c r="AG195"/>
    </row>
    <row r="196" spans="1:33" ht="13.2" x14ac:dyDescent="0.25">
      <c r="A196" s="117" t="s">
        <v>599</v>
      </c>
      <c r="B196" s="117" t="s">
        <v>439</v>
      </c>
      <c r="C196" s="117">
        <f t="shared" si="12"/>
        <v>6330.75</v>
      </c>
      <c r="D196" s="117">
        <f t="shared" si="13"/>
        <v>7357.75</v>
      </c>
      <c r="E196" s="225">
        <f t="shared" si="14"/>
        <v>5648316.0300000003</v>
      </c>
      <c r="F196" s="117">
        <f t="shared" si="15"/>
        <v>9884091.0149999987</v>
      </c>
      <c r="G196" s="117">
        <v>8084</v>
      </c>
      <c r="H196" s="117">
        <v>6690</v>
      </c>
      <c r="I196" s="117">
        <v>16544</v>
      </c>
      <c r="J196" s="117">
        <v>17371</v>
      </c>
      <c r="K196" s="117">
        <v>7314</v>
      </c>
      <c r="L196" s="117">
        <v>5657</v>
      </c>
      <c r="M196" s="117">
        <v>13804</v>
      </c>
      <c r="N196" s="117">
        <v>13907</v>
      </c>
      <c r="O196" s="117">
        <v>3717</v>
      </c>
      <c r="P196" s="117">
        <v>4811</v>
      </c>
      <c r="Q196" s="117">
        <v>1552</v>
      </c>
      <c r="R196" s="117">
        <v>3287</v>
      </c>
      <c r="S196" s="117">
        <v>3622</v>
      </c>
      <c r="T196" s="117">
        <v>10234</v>
      </c>
      <c r="U196" s="117">
        <v>7504</v>
      </c>
      <c r="V196" s="117">
        <v>7428</v>
      </c>
      <c r="W196" s="117">
        <v>5291</v>
      </c>
      <c r="X196" s="117">
        <v>5079</v>
      </c>
      <c r="Y196" s="117">
        <v>8906</v>
      </c>
      <c r="Z196" s="117">
        <v>6690</v>
      </c>
      <c r="AA196" s="117">
        <v>36945</v>
      </c>
      <c r="AB196" s="117">
        <v>36966</v>
      </c>
      <c r="AC196" s="117">
        <v>36963</v>
      </c>
      <c r="AD196" s="117">
        <v>89157</v>
      </c>
      <c r="AE196" s="117">
        <v>72841</v>
      </c>
      <c r="AF196"/>
      <c r="AG196"/>
    </row>
    <row r="197" spans="1:33" x14ac:dyDescent="0.2">
      <c r="A197" s="117" t="s">
        <v>603</v>
      </c>
      <c r="B197" s="117" t="s">
        <v>750</v>
      </c>
      <c r="C197" s="117">
        <f t="shared" si="12"/>
        <v>6685.25</v>
      </c>
      <c r="D197" s="117">
        <f t="shared" si="13"/>
        <v>5329.25</v>
      </c>
      <c r="E197" s="225">
        <f t="shared" si="14"/>
        <v>6703927.5099999998</v>
      </c>
      <c r="F197" s="117">
        <f t="shared" si="15"/>
        <v>11731324.754999999</v>
      </c>
      <c r="G197" s="271">
        <f>W197</f>
        <v>4444</v>
      </c>
      <c r="H197" s="271">
        <f>X197</f>
        <v>4634</v>
      </c>
      <c r="I197" s="117">
        <v>9762</v>
      </c>
      <c r="J197" s="117">
        <v>9967</v>
      </c>
      <c r="K197" s="117">
        <v>14247</v>
      </c>
      <c r="L197" s="117">
        <v>13145</v>
      </c>
      <c r="M197" s="117">
        <v>8125</v>
      </c>
      <c r="N197" s="117">
        <v>10052</v>
      </c>
      <c r="O197" s="117">
        <v>7139</v>
      </c>
      <c r="P197" s="117">
        <v>10468</v>
      </c>
      <c r="Q197" s="117">
        <v>7389</v>
      </c>
      <c r="R197" s="117">
        <v>10666</v>
      </c>
      <c r="S197" s="117">
        <v>8957</v>
      </c>
      <c r="T197" s="117">
        <v>8054</v>
      </c>
      <c r="U197" s="117">
        <v>9770</v>
      </c>
      <c r="V197" s="117">
        <v>8629</v>
      </c>
      <c r="W197" s="117">
        <v>4444</v>
      </c>
      <c r="X197" s="117">
        <v>4634</v>
      </c>
      <c r="Y197" s="117">
        <v>3570</v>
      </c>
      <c r="Z197" s="117">
        <v>0</v>
      </c>
      <c r="AA197" s="117">
        <v>43804</v>
      </c>
      <c r="AB197" s="117">
        <v>43854</v>
      </c>
      <c r="AC197" s="117">
        <v>43871</v>
      </c>
      <c r="AD197" s="117">
        <v>84478</v>
      </c>
      <c r="AE197" s="117">
        <v>89631</v>
      </c>
    </row>
    <row r="198" spans="1:33" ht="13.2" x14ac:dyDescent="0.25">
      <c r="A198" s="117" t="s">
        <v>601</v>
      </c>
      <c r="B198" s="117" t="s">
        <v>236</v>
      </c>
      <c r="C198" s="117">
        <f t="shared" si="12"/>
        <v>6265.25</v>
      </c>
      <c r="D198" s="117">
        <f t="shared" si="13"/>
        <v>6006.75</v>
      </c>
      <c r="E198" s="225">
        <f t="shared" si="14"/>
        <v>5505438.6799999997</v>
      </c>
      <c r="F198" s="117">
        <f t="shared" si="15"/>
        <v>9634067.3399999999</v>
      </c>
      <c r="G198" s="117">
        <v>0</v>
      </c>
      <c r="H198" s="117">
        <v>69</v>
      </c>
      <c r="I198" s="117">
        <v>12566</v>
      </c>
      <c r="J198" s="117">
        <v>10655</v>
      </c>
      <c r="K198" s="117">
        <v>8917</v>
      </c>
      <c r="L198" s="117">
        <v>7933</v>
      </c>
      <c r="M198" s="117">
        <v>4473</v>
      </c>
      <c r="N198" s="117">
        <v>4995</v>
      </c>
      <c r="O198" s="117">
        <v>13899</v>
      </c>
      <c r="P198" s="117">
        <v>16086</v>
      </c>
      <c r="Q198" s="117">
        <v>6862</v>
      </c>
      <c r="R198" s="117">
        <v>8089</v>
      </c>
      <c r="S198" s="117">
        <v>5356</v>
      </c>
      <c r="T198" s="117">
        <v>4716</v>
      </c>
      <c r="U198" s="117">
        <v>13821</v>
      </c>
      <c r="V198" s="117">
        <v>13962</v>
      </c>
      <c r="W198" s="117">
        <v>5884</v>
      </c>
      <c r="X198" s="117">
        <v>5280</v>
      </c>
      <c r="Y198" s="117">
        <v>0</v>
      </c>
      <c r="Z198" s="117">
        <v>69</v>
      </c>
      <c r="AA198" s="117">
        <v>35311</v>
      </c>
      <c r="AB198" s="117">
        <v>35608</v>
      </c>
      <c r="AC198" s="117">
        <v>36028</v>
      </c>
      <c r="AD198" s="117">
        <v>104528</v>
      </c>
      <c r="AE198" s="117">
        <v>109778</v>
      </c>
      <c r="AF198"/>
      <c r="AG198"/>
    </row>
    <row r="199" spans="1:33" ht="13.2" x14ac:dyDescent="0.25">
      <c r="A199" s="117" t="s">
        <v>606</v>
      </c>
      <c r="B199" s="117" t="s">
        <v>506</v>
      </c>
      <c r="C199" s="117">
        <f t="shared" si="12"/>
        <v>4831</v>
      </c>
      <c r="D199" s="117">
        <f t="shared" si="13"/>
        <v>3677.75</v>
      </c>
      <c r="E199" s="225">
        <f t="shared" si="14"/>
        <v>2138728.7600000002</v>
      </c>
      <c r="F199" s="117">
        <f t="shared" si="15"/>
        <v>3742600.3799999994</v>
      </c>
      <c r="G199" s="117">
        <v>0</v>
      </c>
      <c r="H199" s="117">
        <v>4</v>
      </c>
      <c r="I199" s="117">
        <v>7578</v>
      </c>
      <c r="J199" s="117">
        <v>8107</v>
      </c>
      <c r="K199" s="117">
        <v>7223</v>
      </c>
      <c r="L199" s="117">
        <v>6889</v>
      </c>
      <c r="M199" s="117">
        <v>3082</v>
      </c>
      <c r="N199" s="117">
        <v>3477</v>
      </c>
      <c r="O199" s="117">
        <v>3000</v>
      </c>
      <c r="P199" s="117">
        <v>3125</v>
      </c>
      <c r="Q199" s="117">
        <v>8321</v>
      </c>
      <c r="R199" s="117">
        <v>5528</v>
      </c>
      <c r="S199" s="117">
        <v>9781</v>
      </c>
      <c r="T199" s="117">
        <v>9192</v>
      </c>
      <c r="U199" s="117">
        <v>5824</v>
      </c>
      <c r="V199" s="117">
        <v>4000</v>
      </c>
      <c r="W199" s="117">
        <v>2513</v>
      </c>
      <c r="X199" s="117">
        <v>1515</v>
      </c>
      <c r="Y199" s="117">
        <v>1206</v>
      </c>
      <c r="Z199" s="117">
        <v>4</v>
      </c>
      <c r="AA199" s="117">
        <v>13867</v>
      </c>
      <c r="AB199" s="117">
        <v>13877</v>
      </c>
      <c r="AC199" s="117">
        <v>13996</v>
      </c>
      <c r="AD199" s="117">
        <v>22816</v>
      </c>
      <c r="AE199" s="117">
        <v>22906</v>
      </c>
      <c r="AF199"/>
      <c r="AG199"/>
    </row>
    <row r="200" spans="1:33" ht="13.2" x14ac:dyDescent="0.25">
      <c r="A200" s="117" t="s">
        <v>608</v>
      </c>
      <c r="B200" s="117" t="s">
        <v>477</v>
      </c>
      <c r="C200" s="117">
        <f t="shared" si="12"/>
        <v>126.25</v>
      </c>
      <c r="D200" s="117">
        <f t="shared" si="13"/>
        <v>149</v>
      </c>
      <c r="E200" s="225">
        <f t="shared" si="14"/>
        <v>1193140.48</v>
      </c>
      <c r="F200" s="117">
        <f t="shared" si="15"/>
        <v>2087898.2399999998</v>
      </c>
      <c r="G200" s="117">
        <v>0</v>
      </c>
      <c r="H200" s="117">
        <v>0</v>
      </c>
      <c r="I200" s="117">
        <v>34</v>
      </c>
      <c r="J200" s="117">
        <v>279</v>
      </c>
      <c r="K200" s="117">
        <v>1754</v>
      </c>
      <c r="L200" s="117">
        <v>108</v>
      </c>
      <c r="M200" s="117">
        <v>13</v>
      </c>
      <c r="N200" s="117">
        <v>51</v>
      </c>
      <c r="O200" s="117">
        <v>0</v>
      </c>
      <c r="P200" s="117">
        <v>38</v>
      </c>
      <c r="Q200" s="117">
        <v>4</v>
      </c>
      <c r="R200" s="117">
        <v>34</v>
      </c>
      <c r="S200" s="117">
        <v>505</v>
      </c>
      <c r="T200" s="117">
        <v>563</v>
      </c>
      <c r="U200" s="117">
        <v>0</v>
      </c>
      <c r="V200" s="117">
        <v>33</v>
      </c>
      <c r="W200" s="117">
        <v>0</v>
      </c>
      <c r="X200" s="117">
        <v>0</v>
      </c>
      <c r="Y200" s="117">
        <v>0</v>
      </c>
      <c r="Z200" s="117">
        <v>0</v>
      </c>
      <c r="AA200" s="117">
        <v>7770</v>
      </c>
      <c r="AB200" s="117">
        <v>7772</v>
      </c>
      <c r="AC200" s="117">
        <v>7808</v>
      </c>
      <c r="AD200" s="117">
        <v>6921</v>
      </c>
      <c r="AE200" s="117">
        <v>6550</v>
      </c>
      <c r="AF200"/>
      <c r="AG200"/>
    </row>
    <row r="201" spans="1:33" ht="13.2" x14ac:dyDescent="0.25">
      <c r="A201" s="117" t="s">
        <v>601</v>
      </c>
      <c r="B201" s="117" t="s">
        <v>237</v>
      </c>
      <c r="C201" s="117">
        <f t="shared" si="12"/>
        <v>3757</v>
      </c>
      <c r="D201" s="117">
        <f t="shared" si="13"/>
        <v>3834.75</v>
      </c>
      <c r="E201" s="225">
        <f t="shared" si="14"/>
        <v>3673399.59</v>
      </c>
      <c r="F201" s="117">
        <f t="shared" si="15"/>
        <v>6428148.794999999</v>
      </c>
      <c r="G201" s="117">
        <v>579</v>
      </c>
      <c r="H201" s="117">
        <v>649</v>
      </c>
      <c r="I201" s="117">
        <v>5323</v>
      </c>
      <c r="J201" s="117">
        <v>4859</v>
      </c>
      <c r="K201" s="117">
        <v>7922</v>
      </c>
      <c r="L201" s="117">
        <v>8161</v>
      </c>
      <c r="M201" s="117">
        <v>5843</v>
      </c>
      <c r="N201" s="117">
        <v>6415</v>
      </c>
      <c r="O201" s="117">
        <v>3248</v>
      </c>
      <c r="P201" s="117">
        <v>4329</v>
      </c>
      <c r="Q201" s="117">
        <v>7097</v>
      </c>
      <c r="R201" s="117">
        <v>10018</v>
      </c>
      <c r="S201" s="117">
        <v>3946</v>
      </c>
      <c r="T201" s="117">
        <v>5338</v>
      </c>
      <c r="U201" s="117">
        <v>7701</v>
      </c>
      <c r="V201" s="117">
        <v>7405</v>
      </c>
      <c r="W201" s="117">
        <v>1629</v>
      </c>
      <c r="X201" s="117">
        <v>1947</v>
      </c>
      <c r="Y201" s="117">
        <v>1752</v>
      </c>
      <c r="Z201" s="117">
        <v>649</v>
      </c>
      <c r="AA201" s="117">
        <v>23301</v>
      </c>
      <c r="AB201" s="117">
        <v>23614</v>
      </c>
      <c r="AC201" s="117">
        <v>24039</v>
      </c>
      <c r="AD201" s="117">
        <v>50961</v>
      </c>
      <c r="AE201" s="117">
        <v>54074</v>
      </c>
      <c r="AF201"/>
      <c r="AG201"/>
    </row>
    <row r="202" spans="1:33" ht="13.2" x14ac:dyDescent="0.25">
      <c r="A202" s="117" t="s">
        <v>608</v>
      </c>
      <c r="B202" s="117" t="s">
        <v>478</v>
      </c>
      <c r="C202" s="117">
        <f t="shared" si="12"/>
        <v>5283.5</v>
      </c>
      <c r="D202" s="117">
        <f t="shared" si="13"/>
        <v>5670.75</v>
      </c>
      <c r="E202" s="225">
        <f t="shared" si="14"/>
        <v>2598534.0499999998</v>
      </c>
      <c r="F202" s="117">
        <f t="shared" si="15"/>
        <v>4547222.0249999994</v>
      </c>
      <c r="G202" s="117">
        <v>8763</v>
      </c>
      <c r="H202" s="117">
        <v>8071</v>
      </c>
      <c r="I202" s="117">
        <v>5052</v>
      </c>
      <c r="J202" s="117">
        <v>4080</v>
      </c>
      <c r="K202" s="117">
        <v>9676</v>
      </c>
      <c r="L202" s="117">
        <v>10522</v>
      </c>
      <c r="M202" s="117">
        <v>6721</v>
      </c>
      <c r="N202" s="117">
        <v>6523</v>
      </c>
      <c r="O202" s="117">
        <v>3508</v>
      </c>
      <c r="P202" s="117">
        <v>4161</v>
      </c>
      <c r="Q202" s="117">
        <v>3380</v>
      </c>
      <c r="R202" s="117">
        <v>5848</v>
      </c>
      <c r="S202" s="117">
        <v>4603</v>
      </c>
      <c r="T202" s="117">
        <v>5054</v>
      </c>
      <c r="U202" s="117">
        <v>5009</v>
      </c>
      <c r="V202" s="117">
        <v>5105</v>
      </c>
      <c r="W202" s="117">
        <v>8044</v>
      </c>
      <c r="X202" s="117">
        <v>4453</v>
      </c>
      <c r="Y202" s="117">
        <v>3478</v>
      </c>
      <c r="Z202" s="117">
        <v>8071</v>
      </c>
      <c r="AA202" s="117">
        <v>16857</v>
      </c>
      <c r="AB202" s="117">
        <v>17037</v>
      </c>
      <c r="AC202" s="117">
        <v>17005</v>
      </c>
      <c r="AD202" s="117">
        <v>19383</v>
      </c>
      <c r="AE202" s="117">
        <v>18100</v>
      </c>
      <c r="AF202"/>
      <c r="AG202"/>
    </row>
    <row r="203" spans="1:33" ht="13.2" x14ac:dyDescent="0.25">
      <c r="A203" s="117" t="s">
        <v>606</v>
      </c>
      <c r="B203" s="117" t="s">
        <v>273</v>
      </c>
      <c r="C203" s="117">
        <f t="shared" si="12"/>
        <v>22615</v>
      </c>
      <c r="D203" s="117">
        <f t="shared" si="13"/>
        <v>24103.75</v>
      </c>
      <c r="E203" s="225">
        <f t="shared" si="14"/>
        <v>9635434.5500000007</v>
      </c>
      <c r="F203" s="117">
        <f t="shared" si="15"/>
        <v>16861222.274999999</v>
      </c>
      <c r="G203" s="117">
        <v>7433</v>
      </c>
      <c r="H203" s="117">
        <v>7326</v>
      </c>
      <c r="I203" s="117">
        <v>42800</v>
      </c>
      <c r="J203" s="117">
        <v>40736</v>
      </c>
      <c r="K203" s="117">
        <v>63766</v>
      </c>
      <c r="L203" s="117">
        <v>63262</v>
      </c>
      <c r="M203" s="117">
        <v>49930</v>
      </c>
      <c r="N203" s="117">
        <v>46724</v>
      </c>
      <c r="O203" s="117">
        <v>27718</v>
      </c>
      <c r="P203" s="117">
        <v>24304</v>
      </c>
      <c r="Q203" s="117">
        <v>40391</v>
      </c>
      <c r="R203" s="117">
        <v>39526</v>
      </c>
      <c r="S203" s="117">
        <v>20670</v>
      </c>
      <c r="T203" s="117">
        <v>17097</v>
      </c>
      <c r="U203" s="117">
        <v>31887</v>
      </c>
      <c r="V203" s="117">
        <v>32203</v>
      </c>
      <c r="W203" s="117">
        <v>25047</v>
      </c>
      <c r="X203" s="117">
        <v>39789</v>
      </c>
      <c r="Y203" s="117">
        <v>12856</v>
      </c>
      <c r="Z203" s="117">
        <v>7326</v>
      </c>
      <c r="AA203" s="117">
        <v>61865</v>
      </c>
      <c r="AB203" s="117">
        <v>62448</v>
      </c>
      <c r="AC203" s="117">
        <v>63055</v>
      </c>
      <c r="AD203" s="117">
        <v>258419</v>
      </c>
      <c r="AE203" s="117">
        <v>261020</v>
      </c>
      <c r="AF203"/>
      <c r="AG203"/>
    </row>
    <row r="204" spans="1:33" ht="13.2" x14ac:dyDescent="0.25">
      <c r="A204" s="117" t="s">
        <v>606</v>
      </c>
      <c r="B204" s="117" t="s">
        <v>364</v>
      </c>
      <c r="C204" s="117">
        <f t="shared" si="12"/>
        <v>22187</v>
      </c>
      <c r="D204" s="117">
        <f t="shared" si="13"/>
        <v>34346.75</v>
      </c>
      <c r="E204" s="225">
        <f t="shared" si="14"/>
        <v>4376019.97</v>
      </c>
      <c r="F204" s="117">
        <f t="shared" si="15"/>
        <v>7657676.9849999994</v>
      </c>
      <c r="G204" s="117">
        <v>37225</v>
      </c>
      <c r="H204" s="117">
        <v>37000</v>
      </c>
      <c r="I204" s="117">
        <v>39445</v>
      </c>
      <c r="J204" s="117">
        <v>44611</v>
      </c>
      <c r="K204" s="117">
        <v>19371</v>
      </c>
      <c r="L204" s="117">
        <v>22483</v>
      </c>
      <c r="M204" s="117">
        <v>23280</v>
      </c>
      <c r="N204" s="117">
        <v>40608</v>
      </c>
      <c r="O204" s="117">
        <v>40707</v>
      </c>
      <c r="P204" s="117">
        <v>46072</v>
      </c>
      <c r="Q204" s="117">
        <v>35927</v>
      </c>
      <c r="R204" s="117">
        <v>34576</v>
      </c>
      <c r="S204" s="117">
        <v>31699</v>
      </c>
      <c r="T204" s="117">
        <v>58033</v>
      </c>
      <c r="U204" s="117">
        <v>20448</v>
      </c>
      <c r="V204" s="117">
        <v>21570</v>
      </c>
      <c r="W204" s="117">
        <v>18712</v>
      </c>
      <c r="X204" s="117">
        <v>20784</v>
      </c>
      <c r="Y204" s="117">
        <v>17889</v>
      </c>
      <c r="Z204" s="117">
        <v>37000</v>
      </c>
      <c r="AA204" s="117">
        <v>27914</v>
      </c>
      <c r="AB204" s="117">
        <v>28267</v>
      </c>
      <c r="AC204" s="117">
        <v>28637</v>
      </c>
      <c r="AD204" s="117">
        <v>36927</v>
      </c>
      <c r="AE204" s="117">
        <v>37202</v>
      </c>
      <c r="AF204"/>
      <c r="AG204"/>
    </row>
    <row r="205" spans="1:33" ht="13.2" x14ac:dyDescent="0.25">
      <c r="A205" s="117" t="s">
        <v>601</v>
      </c>
      <c r="B205" s="117" t="s">
        <v>239</v>
      </c>
      <c r="C205" s="117">
        <f t="shared" si="12"/>
        <v>15270.75</v>
      </c>
      <c r="D205" s="117">
        <f t="shared" si="13"/>
        <v>13647.25</v>
      </c>
      <c r="E205" s="225">
        <f t="shared" si="14"/>
        <v>6562731.0700000003</v>
      </c>
      <c r="F205" s="117">
        <f t="shared" si="15"/>
        <v>11484242.534999998</v>
      </c>
      <c r="G205" s="117">
        <v>9112</v>
      </c>
      <c r="H205" s="117">
        <v>9112</v>
      </c>
      <c r="I205" s="117">
        <v>21637</v>
      </c>
      <c r="J205" s="117">
        <v>23727</v>
      </c>
      <c r="K205" s="117">
        <v>12806</v>
      </c>
      <c r="L205" s="117">
        <v>9973</v>
      </c>
      <c r="M205" s="117">
        <v>11890</v>
      </c>
      <c r="N205" s="117">
        <v>26441</v>
      </c>
      <c r="O205" s="117">
        <v>9019</v>
      </c>
      <c r="P205" s="117">
        <v>9626</v>
      </c>
      <c r="Q205" s="117">
        <v>14203</v>
      </c>
      <c r="R205" s="117">
        <v>6191</v>
      </c>
      <c r="S205" s="117">
        <v>16635</v>
      </c>
      <c r="T205" s="117">
        <v>11261</v>
      </c>
      <c r="U205" s="117">
        <v>13829</v>
      </c>
      <c r="V205" s="117">
        <v>14649</v>
      </c>
      <c r="W205" s="117">
        <v>23116</v>
      </c>
      <c r="X205" s="117">
        <v>19567</v>
      </c>
      <c r="Y205" s="117">
        <v>7503</v>
      </c>
      <c r="Z205" s="117">
        <v>9112</v>
      </c>
      <c r="AA205" s="117">
        <v>41763</v>
      </c>
      <c r="AB205" s="117">
        <v>42323</v>
      </c>
      <c r="AC205" s="117">
        <v>42947</v>
      </c>
      <c r="AD205" s="117">
        <v>97507</v>
      </c>
      <c r="AE205" s="117">
        <v>75330</v>
      </c>
      <c r="AF205"/>
      <c r="AG205"/>
    </row>
    <row r="206" spans="1:33" ht="13.2" x14ac:dyDescent="0.25">
      <c r="A206" s="117" t="s">
        <v>601</v>
      </c>
      <c r="B206" s="117" t="s">
        <v>240</v>
      </c>
      <c r="C206" s="117">
        <f t="shared" si="12"/>
        <v>103300.25</v>
      </c>
      <c r="D206" s="117">
        <f t="shared" si="13"/>
        <v>102063.75</v>
      </c>
      <c r="E206" s="225">
        <f t="shared" si="14"/>
        <v>27002596.670000002</v>
      </c>
      <c r="F206" s="117">
        <f t="shared" si="15"/>
        <v>47252335.334999993</v>
      </c>
      <c r="G206" s="117">
        <v>100393</v>
      </c>
      <c r="H206" s="117">
        <v>104760</v>
      </c>
      <c r="I206" s="117">
        <v>335668</v>
      </c>
      <c r="J206" s="117">
        <v>340665</v>
      </c>
      <c r="K206" s="117">
        <v>289913</v>
      </c>
      <c r="L206" s="117">
        <v>313366</v>
      </c>
      <c r="M206" s="117">
        <v>169908</v>
      </c>
      <c r="N206" s="117">
        <v>192499</v>
      </c>
      <c r="O206" s="117">
        <v>272592</v>
      </c>
      <c r="P206" s="117">
        <v>305648</v>
      </c>
      <c r="Q206" s="117">
        <v>398588</v>
      </c>
      <c r="R206" s="117">
        <v>411949</v>
      </c>
      <c r="S206" s="117">
        <v>138908</v>
      </c>
      <c r="T206" s="117">
        <v>158604</v>
      </c>
      <c r="U206" s="117">
        <v>116654</v>
      </c>
      <c r="V206" s="117">
        <v>121477</v>
      </c>
      <c r="W206" s="117">
        <v>39804</v>
      </c>
      <c r="X206" s="117">
        <v>23414</v>
      </c>
      <c r="Y206" s="117">
        <v>117835</v>
      </c>
      <c r="Z206" s="117">
        <v>104760</v>
      </c>
      <c r="AA206" s="117">
        <v>173592</v>
      </c>
      <c r="AB206" s="117">
        <v>175928</v>
      </c>
      <c r="AC206" s="117">
        <v>176707</v>
      </c>
      <c r="AD206" s="117">
        <v>427823</v>
      </c>
      <c r="AE206" s="117">
        <v>416125</v>
      </c>
      <c r="AF206"/>
      <c r="AG206"/>
    </row>
    <row r="207" spans="1:33" ht="13.2" x14ac:dyDescent="0.25">
      <c r="A207" s="117" t="s">
        <v>603</v>
      </c>
      <c r="B207" s="117" t="s">
        <v>550</v>
      </c>
      <c r="C207" s="117">
        <f t="shared" si="12"/>
        <v>13440.25</v>
      </c>
      <c r="D207" s="117">
        <f t="shared" si="13"/>
        <v>24716.5</v>
      </c>
      <c r="E207" s="225">
        <f t="shared" si="14"/>
        <v>12957829.57</v>
      </c>
      <c r="F207" s="117">
        <f t="shared" si="15"/>
        <v>22675141.784999996</v>
      </c>
      <c r="G207" s="117">
        <v>20313</v>
      </c>
      <c r="H207" s="117">
        <v>20805</v>
      </c>
      <c r="I207" s="117">
        <v>36433</v>
      </c>
      <c r="J207" s="117">
        <v>44468</v>
      </c>
      <c r="K207" s="117">
        <v>39785</v>
      </c>
      <c r="L207" s="117">
        <v>30987</v>
      </c>
      <c r="M207" s="117">
        <v>40685</v>
      </c>
      <c r="N207" s="117">
        <v>73872</v>
      </c>
      <c r="O207" s="117">
        <v>67381</v>
      </c>
      <c r="P207" s="117">
        <v>52193</v>
      </c>
      <c r="Q207" s="117">
        <v>12832</v>
      </c>
      <c r="R207" s="117">
        <v>22132</v>
      </c>
      <c r="S207" s="117">
        <v>19983</v>
      </c>
      <c r="T207" s="117">
        <v>36707</v>
      </c>
      <c r="U207" s="117">
        <v>18572</v>
      </c>
      <c r="V207" s="117">
        <v>21876</v>
      </c>
      <c r="W207" s="117">
        <v>15180</v>
      </c>
      <c r="X207" s="117">
        <v>19478</v>
      </c>
      <c r="Y207" s="117">
        <v>26</v>
      </c>
      <c r="Z207" s="117">
        <v>20805</v>
      </c>
      <c r="AA207" s="117">
        <v>85398</v>
      </c>
      <c r="AB207" s="117">
        <v>85792</v>
      </c>
      <c r="AC207" s="117">
        <v>84797</v>
      </c>
      <c r="AD207" s="117">
        <v>332152</v>
      </c>
      <c r="AE207" s="117">
        <v>302330</v>
      </c>
      <c r="AF207"/>
      <c r="AG207"/>
    </row>
    <row r="208" spans="1:33" ht="13.2" x14ac:dyDescent="0.25">
      <c r="A208" s="117" t="s">
        <v>602</v>
      </c>
      <c r="B208" s="117" t="s">
        <v>751</v>
      </c>
      <c r="C208" s="117">
        <f t="shared" si="12"/>
        <v>1211.25</v>
      </c>
      <c r="D208" s="117">
        <f t="shared" si="13"/>
        <v>995.25</v>
      </c>
      <c r="E208" s="225">
        <f t="shared" si="14"/>
        <v>6898454.6399999997</v>
      </c>
      <c r="F208" s="117">
        <f t="shared" si="15"/>
        <v>12071731.319999998</v>
      </c>
      <c r="G208" s="271">
        <f>W208</f>
        <v>3403</v>
      </c>
      <c r="H208" s="271">
        <f>X208</f>
        <v>2479</v>
      </c>
      <c r="I208" s="117">
        <v>1723</v>
      </c>
      <c r="J208" s="117">
        <v>1617</v>
      </c>
      <c r="K208" s="117">
        <v>2904</v>
      </c>
      <c r="L208" s="117">
        <v>5844</v>
      </c>
      <c r="M208" s="117">
        <v>3136</v>
      </c>
      <c r="N208" s="117">
        <v>3431</v>
      </c>
      <c r="O208" s="117">
        <v>3201</v>
      </c>
      <c r="P208" s="117">
        <v>3455</v>
      </c>
      <c r="Q208" s="117">
        <v>1951</v>
      </c>
      <c r="R208" s="117">
        <v>2183</v>
      </c>
      <c r="S208" s="117">
        <v>498</v>
      </c>
      <c r="T208" s="117">
        <v>316</v>
      </c>
      <c r="U208" s="117">
        <v>673</v>
      </c>
      <c r="V208" s="117">
        <v>1186</v>
      </c>
      <c r="W208" s="117">
        <v>3403</v>
      </c>
      <c r="X208" s="117">
        <v>2479</v>
      </c>
      <c r="Y208" s="117">
        <v>271</v>
      </c>
      <c r="Z208" s="117">
        <v>0</v>
      </c>
      <c r="AA208" s="117">
        <v>45514</v>
      </c>
      <c r="AB208" s="117">
        <v>45290</v>
      </c>
      <c r="AC208" s="117">
        <v>45144</v>
      </c>
      <c r="AD208" s="117">
        <v>103936</v>
      </c>
      <c r="AE208" s="117">
        <v>116330</v>
      </c>
      <c r="AF208"/>
      <c r="AG208"/>
    </row>
    <row r="209" spans="1:33" ht="13.2" x14ac:dyDescent="0.25">
      <c r="A209" s="117" t="s">
        <v>610</v>
      </c>
      <c r="B209" s="117" t="s">
        <v>394</v>
      </c>
      <c r="C209" s="117">
        <f t="shared" si="12"/>
        <v>1827.5</v>
      </c>
      <c r="D209" s="117">
        <f t="shared" si="13"/>
        <v>1762</v>
      </c>
      <c r="E209" s="225">
        <f t="shared" si="14"/>
        <v>1116888.29</v>
      </c>
      <c r="F209" s="117">
        <f t="shared" si="15"/>
        <v>1954463.1449999998</v>
      </c>
      <c r="G209" s="117">
        <v>3330</v>
      </c>
      <c r="H209" s="117">
        <v>3332</v>
      </c>
      <c r="I209" s="117">
        <v>2975</v>
      </c>
      <c r="J209" s="117">
        <v>2930</v>
      </c>
      <c r="K209" s="117">
        <v>1236</v>
      </c>
      <c r="L209" s="117">
        <v>820</v>
      </c>
      <c r="M209" s="117">
        <v>604</v>
      </c>
      <c r="N209" s="117">
        <v>738</v>
      </c>
      <c r="O209" s="117">
        <v>977</v>
      </c>
      <c r="P209" s="117">
        <v>1040</v>
      </c>
      <c r="Q209" s="117">
        <v>1240</v>
      </c>
      <c r="R209" s="117">
        <v>1018</v>
      </c>
      <c r="S209" s="117">
        <v>630</v>
      </c>
      <c r="T209" s="117">
        <v>632</v>
      </c>
      <c r="U209" s="117">
        <v>761</v>
      </c>
      <c r="V209" s="117">
        <v>555</v>
      </c>
      <c r="W209" s="117">
        <v>3406</v>
      </c>
      <c r="X209" s="117">
        <v>2529</v>
      </c>
      <c r="Y209" s="117">
        <v>2513</v>
      </c>
      <c r="Z209" s="117">
        <v>3332</v>
      </c>
      <c r="AA209" s="117">
        <v>7386</v>
      </c>
      <c r="AB209" s="117">
        <v>7313</v>
      </c>
      <c r="AC209" s="117">
        <v>7309</v>
      </c>
      <c r="AD209" s="117">
        <v>18542</v>
      </c>
      <c r="AE209" s="117">
        <v>18254</v>
      </c>
      <c r="AF209"/>
      <c r="AG209"/>
    </row>
    <row r="210" spans="1:33" ht="13.2" x14ac:dyDescent="0.25">
      <c r="A210" s="117" t="s">
        <v>598</v>
      </c>
      <c r="B210" s="117" t="s">
        <v>137</v>
      </c>
      <c r="C210" s="117">
        <f t="shared" si="12"/>
        <v>4271.25</v>
      </c>
      <c r="D210" s="117">
        <f t="shared" si="13"/>
        <v>2305.5</v>
      </c>
      <c r="E210" s="225">
        <f t="shared" si="14"/>
        <v>4778368.7</v>
      </c>
      <c r="F210" s="117">
        <f t="shared" si="15"/>
        <v>8361754.3499999987</v>
      </c>
      <c r="G210" s="117">
        <v>2529</v>
      </c>
      <c r="H210" s="117">
        <v>2728</v>
      </c>
      <c r="I210" s="117">
        <v>7442</v>
      </c>
      <c r="J210" s="117">
        <v>8645</v>
      </c>
      <c r="K210" s="117">
        <v>7041</v>
      </c>
      <c r="L210" s="117">
        <v>12318</v>
      </c>
      <c r="M210" s="117">
        <v>6341</v>
      </c>
      <c r="N210" s="117">
        <v>7970</v>
      </c>
      <c r="O210" s="117">
        <v>2721</v>
      </c>
      <c r="P210" s="117">
        <v>5269</v>
      </c>
      <c r="Q210" s="117">
        <v>5202</v>
      </c>
      <c r="R210" s="117">
        <v>4749</v>
      </c>
      <c r="S210" s="117">
        <v>3874</v>
      </c>
      <c r="T210" s="117">
        <v>1339</v>
      </c>
      <c r="U210" s="117">
        <v>5254</v>
      </c>
      <c r="V210" s="117">
        <v>3123</v>
      </c>
      <c r="W210" s="117">
        <v>5197</v>
      </c>
      <c r="X210" s="117">
        <v>2032</v>
      </c>
      <c r="Y210" s="117">
        <v>2760</v>
      </c>
      <c r="Z210" s="117">
        <v>2728</v>
      </c>
      <c r="AA210" s="117">
        <v>33042</v>
      </c>
      <c r="AB210" s="117">
        <v>32445</v>
      </c>
      <c r="AC210" s="117">
        <v>31270</v>
      </c>
      <c r="AD210" s="117">
        <v>82113</v>
      </c>
      <c r="AE210" s="117">
        <v>80714</v>
      </c>
      <c r="AF210"/>
      <c r="AG210"/>
    </row>
    <row r="211" spans="1:33" ht="13.2" x14ac:dyDescent="0.25">
      <c r="A211" s="117" t="s">
        <v>605</v>
      </c>
      <c r="B211" s="117" t="s">
        <v>497</v>
      </c>
      <c r="C211" s="117">
        <f t="shared" si="12"/>
        <v>14869.5</v>
      </c>
      <c r="D211" s="117">
        <f t="shared" si="13"/>
        <v>13538.25</v>
      </c>
      <c r="E211" s="225">
        <f t="shared" si="14"/>
        <v>7161135.0300000003</v>
      </c>
      <c r="F211" s="117">
        <f t="shared" si="15"/>
        <v>12531400.514999999</v>
      </c>
      <c r="G211" s="117">
        <v>4692</v>
      </c>
      <c r="H211" s="117">
        <v>4691</v>
      </c>
      <c r="I211" s="117">
        <v>15702</v>
      </c>
      <c r="J211" s="117">
        <v>20488</v>
      </c>
      <c r="K211" s="117">
        <v>11285</v>
      </c>
      <c r="L211" s="117">
        <v>15545</v>
      </c>
      <c r="M211" s="117">
        <v>8551</v>
      </c>
      <c r="N211" s="117">
        <v>14645</v>
      </c>
      <c r="O211" s="117">
        <v>4397</v>
      </c>
      <c r="P211" s="117">
        <v>3676</v>
      </c>
      <c r="Q211" s="117">
        <v>4498</v>
      </c>
      <c r="R211" s="117">
        <v>7576</v>
      </c>
      <c r="S211" s="117">
        <v>20526</v>
      </c>
      <c r="T211" s="117">
        <v>16890</v>
      </c>
      <c r="U211" s="117">
        <v>16222</v>
      </c>
      <c r="V211" s="117">
        <v>12287</v>
      </c>
      <c r="W211" s="117">
        <v>18296</v>
      </c>
      <c r="X211" s="117">
        <v>20285</v>
      </c>
      <c r="Y211" s="117">
        <v>4434</v>
      </c>
      <c r="Z211" s="117">
        <v>4691</v>
      </c>
      <c r="AA211" s="117">
        <v>46557</v>
      </c>
      <c r="AB211" s="117">
        <v>46612</v>
      </c>
      <c r="AC211" s="117">
        <v>46863</v>
      </c>
      <c r="AD211" s="117">
        <v>71425</v>
      </c>
      <c r="AE211" s="117">
        <v>71311</v>
      </c>
      <c r="AF211"/>
      <c r="AG211"/>
    </row>
    <row r="212" spans="1:33" ht="13.2" x14ac:dyDescent="0.25">
      <c r="A212" s="117" t="s">
        <v>603</v>
      </c>
      <c r="B212" s="117" t="s">
        <v>365</v>
      </c>
      <c r="C212" s="117">
        <f t="shared" si="12"/>
        <v>17630</v>
      </c>
      <c r="D212" s="117">
        <f t="shared" si="13"/>
        <v>11591.25</v>
      </c>
      <c r="E212" s="225">
        <f t="shared" si="14"/>
        <v>6549589.4100000001</v>
      </c>
      <c r="F212" s="117">
        <f t="shared" si="15"/>
        <v>11461245.704999998</v>
      </c>
      <c r="G212" s="271">
        <f>W212</f>
        <v>31632</v>
      </c>
      <c r="H212" s="271">
        <f>X212</f>
        <v>18484</v>
      </c>
      <c r="I212" s="117">
        <v>16968</v>
      </c>
      <c r="J212" s="117">
        <v>15300</v>
      </c>
      <c r="K212" s="117">
        <v>25535</v>
      </c>
      <c r="L212" s="117">
        <v>21174</v>
      </c>
      <c r="M212" s="117">
        <v>20857</v>
      </c>
      <c r="N212" s="117">
        <v>20129</v>
      </c>
      <c r="O212" s="117">
        <v>29285</v>
      </c>
      <c r="P212" s="117">
        <v>21893</v>
      </c>
      <c r="Q212" s="117">
        <v>11348</v>
      </c>
      <c r="R212" s="117">
        <v>12102</v>
      </c>
      <c r="S212" s="117">
        <v>15602</v>
      </c>
      <c r="T212" s="117">
        <v>13792</v>
      </c>
      <c r="U212" s="117">
        <v>12655</v>
      </c>
      <c r="V212" s="117">
        <v>14089</v>
      </c>
      <c r="W212" s="117">
        <v>31632</v>
      </c>
      <c r="X212" s="117">
        <v>18484</v>
      </c>
      <c r="Y212" s="117">
        <v>10631</v>
      </c>
      <c r="Z212" s="117">
        <v>0</v>
      </c>
      <c r="AA212" s="117">
        <v>42191</v>
      </c>
      <c r="AB212" s="117">
        <v>42679</v>
      </c>
      <c r="AC212" s="117">
        <v>42861</v>
      </c>
      <c r="AD212" s="117">
        <v>167563</v>
      </c>
      <c r="AE212" s="117">
        <v>165885</v>
      </c>
      <c r="AF212"/>
      <c r="AG212"/>
    </row>
    <row r="213" spans="1:33" ht="13.2" x14ac:dyDescent="0.25">
      <c r="A213" s="117" t="s">
        <v>599</v>
      </c>
      <c r="B213" s="117" t="s">
        <v>501</v>
      </c>
      <c r="C213" s="117">
        <f t="shared" si="12"/>
        <v>15309.25</v>
      </c>
      <c r="D213" s="117">
        <f t="shared" si="13"/>
        <v>9301.5</v>
      </c>
      <c r="E213" s="225">
        <f t="shared" si="14"/>
        <v>3544886.38</v>
      </c>
      <c r="F213" s="117">
        <f t="shared" si="15"/>
        <v>6203261.1899999995</v>
      </c>
      <c r="G213" s="117">
        <v>12687</v>
      </c>
      <c r="H213" s="117">
        <v>12678</v>
      </c>
      <c r="I213" s="117">
        <v>28998</v>
      </c>
      <c r="J213" s="117">
        <v>29121</v>
      </c>
      <c r="K213" s="117">
        <v>10571</v>
      </c>
      <c r="L213" s="117">
        <v>26712</v>
      </c>
      <c r="M213" s="117">
        <v>21717</v>
      </c>
      <c r="N213" s="117">
        <v>27776</v>
      </c>
      <c r="O213" s="117">
        <v>9361</v>
      </c>
      <c r="P213" s="117">
        <v>10382</v>
      </c>
      <c r="Q213" s="117">
        <v>10919</v>
      </c>
      <c r="R213" s="117">
        <v>13039</v>
      </c>
      <c r="S213" s="117">
        <v>15178</v>
      </c>
      <c r="T213" s="117">
        <v>10414</v>
      </c>
      <c r="U213" s="117">
        <v>6576</v>
      </c>
      <c r="V213" s="117">
        <v>4499</v>
      </c>
      <c r="W213" s="117">
        <v>17191</v>
      </c>
      <c r="X213" s="117">
        <v>9615</v>
      </c>
      <c r="Y213" s="117">
        <v>22292</v>
      </c>
      <c r="Z213" s="117">
        <v>12678</v>
      </c>
      <c r="AA213" s="117">
        <v>22869</v>
      </c>
      <c r="AB213" s="117">
        <v>22984</v>
      </c>
      <c r="AC213" s="117">
        <v>23198</v>
      </c>
      <c r="AD213" s="117">
        <v>36728</v>
      </c>
      <c r="AE213" s="117">
        <v>41682</v>
      </c>
      <c r="AF213"/>
      <c r="AG213"/>
    </row>
    <row r="214" spans="1:33" ht="13.2" x14ac:dyDescent="0.25">
      <c r="A214" s="117" t="s">
        <v>601</v>
      </c>
      <c r="B214" s="117" t="s">
        <v>241</v>
      </c>
      <c r="C214" s="117">
        <f t="shared" si="12"/>
        <v>602.5</v>
      </c>
      <c r="D214" s="117">
        <f t="shared" si="13"/>
        <v>1208</v>
      </c>
      <c r="E214" s="225">
        <f t="shared" si="14"/>
        <v>4199982.8499999996</v>
      </c>
      <c r="F214" s="117">
        <f t="shared" si="15"/>
        <v>7349626.4249999989</v>
      </c>
      <c r="G214" s="117">
        <v>522</v>
      </c>
      <c r="H214" s="117">
        <v>283</v>
      </c>
      <c r="I214" s="117">
        <v>5295</v>
      </c>
      <c r="J214" s="117">
        <v>4275</v>
      </c>
      <c r="K214" s="117">
        <v>271</v>
      </c>
      <c r="L214" s="117">
        <v>2231</v>
      </c>
      <c r="M214" s="117">
        <v>274</v>
      </c>
      <c r="N214" s="117">
        <v>1225</v>
      </c>
      <c r="O214" s="117">
        <v>3299</v>
      </c>
      <c r="P214" s="117">
        <v>4683</v>
      </c>
      <c r="Q214" s="117">
        <v>6511</v>
      </c>
      <c r="R214" s="117">
        <v>6536</v>
      </c>
      <c r="S214" s="117">
        <v>11</v>
      </c>
      <c r="T214" s="117">
        <v>809</v>
      </c>
      <c r="U214" s="117">
        <v>116</v>
      </c>
      <c r="V214" s="117">
        <v>2469</v>
      </c>
      <c r="W214" s="117">
        <v>1768</v>
      </c>
      <c r="X214" s="117">
        <v>1271</v>
      </c>
      <c r="Y214" s="117">
        <v>515</v>
      </c>
      <c r="Z214" s="117">
        <v>283</v>
      </c>
      <c r="AA214" s="117">
        <v>26890</v>
      </c>
      <c r="AB214" s="117">
        <v>27122</v>
      </c>
      <c r="AC214" s="117">
        <v>27485</v>
      </c>
      <c r="AD214" s="117">
        <v>41697</v>
      </c>
      <c r="AE214" s="117">
        <v>42659</v>
      </c>
      <c r="AF214"/>
      <c r="AG214"/>
    </row>
    <row r="215" spans="1:33" ht="13.2" x14ac:dyDescent="0.25">
      <c r="A215" s="117" t="s">
        <v>603</v>
      </c>
      <c r="B215" s="117" t="s">
        <v>367</v>
      </c>
      <c r="C215" s="117">
        <f t="shared" si="12"/>
        <v>17749.75</v>
      </c>
      <c r="D215" s="117">
        <f t="shared" si="13"/>
        <v>16222.75</v>
      </c>
      <c r="E215" s="225">
        <f t="shared" si="14"/>
        <v>3733453.92</v>
      </c>
      <c r="F215" s="117">
        <f t="shared" si="15"/>
        <v>6533238.959999999</v>
      </c>
      <c r="G215" s="117">
        <v>5175</v>
      </c>
      <c r="H215" s="117">
        <v>6267</v>
      </c>
      <c r="I215" s="117">
        <v>22687</v>
      </c>
      <c r="J215" s="117">
        <v>32545</v>
      </c>
      <c r="K215" s="117">
        <v>10086</v>
      </c>
      <c r="L215" s="117">
        <v>13603</v>
      </c>
      <c r="M215" s="117">
        <v>13149</v>
      </c>
      <c r="N215" s="117">
        <v>17075</v>
      </c>
      <c r="O215" s="117">
        <v>11281</v>
      </c>
      <c r="P215" s="117">
        <v>9818</v>
      </c>
      <c r="Q215" s="117">
        <v>2819</v>
      </c>
      <c r="R215" s="117">
        <v>3054</v>
      </c>
      <c r="S215" s="117">
        <v>4843</v>
      </c>
      <c r="T215" s="117">
        <v>2340</v>
      </c>
      <c r="U215" s="117">
        <v>17288</v>
      </c>
      <c r="V215" s="117">
        <v>19246</v>
      </c>
      <c r="W215" s="117">
        <v>35980</v>
      </c>
      <c r="X215" s="117">
        <v>37038</v>
      </c>
      <c r="Y215" s="117">
        <v>12888</v>
      </c>
      <c r="Z215" s="117">
        <v>6267</v>
      </c>
      <c r="AA215" s="117">
        <v>23601</v>
      </c>
      <c r="AB215" s="117">
        <v>23889</v>
      </c>
      <c r="AC215" s="117">
        <v>24432</v>
      </c>
      <c r="AD215" s="117">
        <v>62521</v>
      </c>
      <c r="AE215" s="117">
        <v>65196</v>
      </c>
      <c r="AF215"/>
      <c r="AG215"/>
    </row>
    <row r="216" spans="1:33" ht="13.2" x14ac:dyDescent="0.25">
      <c r="A216" s="117" t="s">
        <v>599</v>
      </c>
      <c r="B216" s="117" t="s">
        <v>440</v>
      </c>
      <c r="C216" s="117">
        <f t="shared" si="12"/>
        <v>5768.75</v>
      </c>
      <c r="D216" s="117">
        <f t="shared" si="13"/>
        <v>4596.75</v>
      </c>
      <c r="E216" s="225">
        <f t="shared" si="14"/>
        <v>2846391.87</v>
      </c>
      <c r="F216" s="117">
        <f t="shared" si="15"/>
        <v>4980952.9349999996</v>
      </c>
      <c r="G216" s="117">
        <v>1993</v>
      </c>
      <c r="H216" s="117">
        <v>1207</v>
      </c>
      <c r="I216" s="117">
        <v>11165</v>
      </c>
      <c r="J216" s="117">
        <v>12274</v>
      </c>
      <c r="K216" s="117">
        <v>9501</v>
      </c>
      <c r="L216" s="117">
        <v>14794</v>
      </c>
      <c r="M216" s="117">
        <v>11071</v>
      </c>
      <c r="N216" s="117">
        <v>13040</v>
      </c>
      <c r="O216" s="117">
        <v>4848</v>
      </c>
      <c r="P216" s="117">
        <v>4726</v>
      </c>
      <c r="Q216" s="117">
        <v>5896</v>
      </c>
      <c r="R216" s="117">
        <v>6759</v>
      </c>
      <c r="S216" s="117">
        <v>7367</v>
      </c>
      <c r="T216" s="117">
        <v>6078</v>
      </c>
      <c r="U216" s="117">
        <v>7204</v>
      </c>
      <c r="V216" s="117">
        <v>7362</v>
      </c>
      <c r="W216" s="117">
        <v>5278</v>
      </c>
      <c r="X216" s="117">
        <v>3740</v>
      </c>
      <c r="Y216" s="117">
        <v>3226</v>
      </c>
      <c r="Z216" s="117">
        <v>1207</v>
      </c>
      <c r="AA216" s="117">
        <v>18491</v>
      </c>
      <c r="AB216" s="117">
        <v>18561</v>
      </c>
      <c r="AC216" s="117">
        <v>18627</v>
      </c>
      <c r="AD216" s="117">
        <v>47236</v>
      </c>
      <c r="AE216" s="117">
        <v>48866</v>
      </c>
      <c r="AF216"/>
      <c r="AG216"/>
    </row>
    <row r="217" spans="1:33" ht="13.2" x14ac:dyDescent="0.25">
      <c r="A217" s="117" t="s">
        <v>599</v>
      </c>
      <c r="B217" s="117" t="s">
        <v>441</v>
      </c>
      <c r="C217" s="117">
        <f t="shared" si="12"/>
        <v>10992.75</v>
      </c>
      <c r="D217" s="117">
        <f t="shared" si="13"/>
        <v>8796.5</v>
      </c>
      <c r="E217" s="225">
        <f t="shared" si="14"/>
        <v>3992619.68</v>
      </c>
      <c r="F217" s="117">
        <f t="shared" si="15"/>
        <v>6986757.8399999989</v>
      </c>
      <c r="G217" s="117">
        <v>4726</v>
      </c>
      <c r="H217" s="117">
        <v>4350</v>
      </c>
      <c r="I217" s="117">
        <v>4758</v>
      </c>
      <c r="J217" s="117">
        <v>3538</v>
      </c>
      <c r="K217" s="117">
        <v>3138</v>
      </c>
      <c r="L217" s="117">
        <v>3882</v>
      </c>
      <c r="M217" s="117">
        <v>3091</v>
      </c>
      <c r="N217" s="117">
        <v>2672</v>
      </c>
      <c r="O217" s="117">
        <v>7210</v>
      </c>
      <c r="P217" s="117">
        <v>6644</v>
      </c>
      <c r="Q217" s="117">
        <v>4056</v>
      </c>
      <c r="R217" s="117">
        <v>4158</v>
      </c>
      <c r="S217" s="117">
        <v>8272</v>
      </c>
      <c r="T217" s="117">
        <v>7212</v>
      </c>
      <c r="U217" s="117">
        <v>11642</v>
      </c>
      <c r="V217" s="117">
        <v>12106</v>
      </c>
      <c r="W217" s="117">
        <v>13486</v>
      </c>
      <c r="X217" s="117">
        <v>11518</v>
      </c>
      <c r="Y217" s="117">
        <v>10571</v>
      </c>
      <c r="Z217" s="117">
        <v>4350</v>
      </c>
      <c r="AA217" s="117">
        <v>25945</v>
      </c>
      <c r="AB217" s="117">
        <v>26163</v>
      </c>
      <c r="AC217" s="117">
        <v>26128</v>
      </c>
      <c r="AD217" s="117">
        <v>52920</v>
      </c>
      <c r="AE217" s="117">
        <v>56562</v>
      </c>
      <c r="AF217"/>
      <c r="AG217"/>
    </row>
    <row r="218" spans="1:33" ht="13.2" x14ac:dyDescent="0.25">
      <c r="A218" s="117" t="s">
        <v>607</v>
      </c>
      <c r="B218" s="117" t="s">
        <v>156</v>
      </c>
      <c r="C218" s="117">
        <f t="shared" si="12"/>
        <v>1674.25</v>
      </c>
      <c r="D218" s="117">
        <f t="shared" si="13"/>
        <v>1822.75</v>
      </c>
      <c r="E218" s="225">
        <f t="shared" si="14"/>
        <v>5825270.0099999998</v>
      </c>
      <c r="F218" s="117">
        <f t="shared" si="15"/>
        <v>10193746.004999999</v>
      </c>
      <c r="G218" s="117">
        <v>66</v>
      </c>
      <c r="H218" s="117">
        <v>284</v>
      </c>
      <c r="I218" s="117">
        <v>5208</v>
      </c>
      <c r="J218" s="117">
        <v>10163</v>
      </c>
      <c r="K218" s="117">
        <v>3191</v>
      </c>
      <c r="L218" s="117">
        <v>3362</v>
      </c>
      <c r="M218" s="117">
        <v>4972</v>
      </c>
      <c r="N218" s="117">
        <v>6403</v>
      </c>
      <c r="O218" s="117">
        <v>3303</v>
      </c>
      <c r="P218" s="117">
        <v>3566</v>
      </c>
      <c r="Q218" s="117">
        <v>1678</v>
      </c>
      <c r="R218" s="117">
        <v>2733</v>
      </c>
      <c r="S218" s="117">
        <v>1093</v>
      </c>
      <c r="T218" s="117">
        <v>1353</v>
      </c>
      <c r="U218" s="117">
        <v>1371</v>
      </c>
      <c r="V218" s="117">
        <v>1277</v>
      </c>
      <c r="W218" s="117">
        <v>4227</v>
      </c>
      <c r="X218" s="117">
        <v>4377</v>
      </c>
      <c r="Y218" s="117">
        <v>6</v>
      </c>
      <c r="Z218" s="117">
        <v>284</v>
      </c>
      <c r="AA218" s="117">
        <v>38107</v>
      </c>
      <c r="AB218" s="117">
        <v>38077</v>
      </c>
      <c r="AC218" s="117">
        <v>38121</v>
      </c>
      <c r="AD218" s="117">
        <v>127671</v>
      </c>
      <c r="AE218" s="117">
        <v>131978</v>
      </c>
      <c r="AF218"/>
      <c r="AG218"/>
    </row>
    <row r="219" spans="1:33" ht="13.2" x14ac:dyDescent="0.25">
      <c r="A219" s="117" t="s">
        <v>601</v>
      </c>
      <c r="B219" s="117" t="s">
        <v>242</v>
      </c>
      <c r="C219" s="117">
        <f t="shared" si="12"/>
        <v>5115.5</v>
      </c>
      <c r="D219" s="117">
        <f t="shared" si="13"/>
        <v>4380.25</v>
      </c>
      <c r="E219" s="225">
        <f t="shared" si="14"/>
        <v>3605399.14</v>
      </c>
      <c r="F219" s="117">
        <f t="shared" si="15"/>
        <v>6309153.5699999994</v>
      </c>
      <c r="G219" s="117">
        <v>3626</v>
      </c>
      <c r="H219" s="117">
        <v>4196</v>
      </c>
      <c r="I219" s="117">
        <v>8146</v>
      </c>
      <c r="J219" s="117">
        <v>6409</v>
      </c>
      <c r="K219" s="117">
        <v>3817</v>
      </c>
      <c r="L219" s="117">
        <v>6373</v>
      </c>
      <c r="M219" s="117">
        <v>6070</v>
      </c>
      <c r="N219" s="117">
        <v>7101</v>
      </c>
      <c r="O219" s="117">
        <v>2927</v>
      </c>
      <c r="P219" s="117">
        <v>3194</v>
      </c>
      <c r="Q219" s="117">
        <v>1964</v>
      </c>
      <c r="R219" s="117">
        <v>2614</v>
      </c>
      <c r="S219" s="117">
        <v>4432</v>
      </c>
      <c r="T219" s="117">
        <v>5737</v>
      </c>
      <c r="U219" s="117">
        <v>2820</v>
      </c>
      <c r="V219" s="117">
        <v>3187</v>
      </c>
      <c r="W219" s="117">
        <v>9120</v>
      </c>
      <c r="X219" s="117">
        <v>4401</v>
      </c>
      <c r="Y219" s="117">
        <v>4090</v>
      </c>
      <c r="Z219" s="117">
        <v>4196</v>
      </c>
      <c r="AA219" s="117">
        <v>23263</v>
      </c>
      <c r="AB219" s="117">
        <v>23503</v>
      </c>
      <c r="AC219" s="117">
        <v>23594</v>
      </c>
      <c r="AD219" s="117">
        <v>24178</v>
      </c>
      <c r="AE219" s="117">
        <v>24071</v>
      </c>
      <c r="AF219"/>
      <c r="AG219"/>
    </row>
    <row r="220" spans="1:33" ht="13.2" x14ac:dyDescent="0.25">
      <c r="A220" s="117" t="s">
        <v>604</v>
      </c>
      <c r="B220" s="117" t="s">
        <v>197</v>
      </c>
      <c r="C220" s="117">
        <f t="shared" si="12"/>
        <v>9138</v>
      </c>
      <c r="D220" s="117">
        <f t="shared" si="13"/>
        <v>7475.75</v>
      </c>
      <c r="E220" s="225">
        <f t="shared" si="14"/>
        <v>4867762.55</v>
      </c>
      <c r="F220" s="117">
        <f t="shared" si="15"/>
        <v>8518186.2749999985</v>
      </c>
      <c r="G220" s="117">
        <v>4542</v>
      </c>
      <c r="H220" s="117">
        <v>4543</v>
      </c>
      <c r="I220" s="117">
        <v>5602</v>
      </c>
      <c r="J220" s="117">
        <v>5793</v>
      </c>
      <c r="K220" s="117">
        <v>14602</v>
      </c>
      <c r="L220" s="117">
        <v>12327</v>
      </c>
      <c r="M220" s="117">
        <v>10466</v>
      </c>
      <c r="N220" s="117">
        <v>11385</v>
      </c>
      <c r="O220" s="117">
        <v>9491</v>
      </c>
      <c r="P220" s="117">
        <v>14011</v>
      </c>
      <c r="Q220" s="117">
        <v>11321</v>
      </c>
      <c r="R220" s="117">
        <v>11138</v>
      </c>
      <c r="S220" s="117">
        <v>14997</v>
      </c>
      <c r="T220" s="117">
        <v>11576</v>
      </c>
      <c r="U220" s="117">
        <v>10811</v>
      </c>
      <c r="V220" s="117">
        <v>9666</v>
      </c>
      <c r="W220" s="117">
        <v>9139</v>
      </c>
      <c r="X220" s="117">
        <v>4118</v>
      </c>
      <c r="Y220" s="117">
        <v>1605</v>
      </c>
      <c r="Z220" s="117">
        <v>4543</v>
      </c>
      <c r="AA220" s="117">
        <v>32011</v>
      </c>
      <c r="AB220" s="117">
        <v>31924</v>
      </c>
      <c r="AC220" s="117">
        <v>31855</v>
      </c>
      <c r="AD220" s="117">
        <v>101110</v>
      </c>
      <c r="AE220" s="117">
        <v>91822</v>
      </c>
      <c r="AF220"/>
      <c r="AG220"/>
    </row>
    <row r="221" spans="1:33" ht="13.2" x14ac:dyDescent="0.25">
      <c r="A221" s="117" t="s">
        <v>604</v>
      </c>
      <c r="B221" s="117" t="s">
        <v>198</v>
      </c>
      <c r="C221" s="117">
        <f t="shared" si="12"/>
        <v>3404.5</v>
      </c>
      <c r="D221" s="117">
        <f t="shared" si="13"/>
        <v>3348.5</v>
      </c>
      <c r="E221" s="225">
        <f t="shared" si="14"/>
        <v>2761123.89</v>
      </c>
      <c r="F221" s="117">
        <f t="shared" si="15"/>
        <v>4831740.9449999994</v>
      </c>
      <c r="G221" s="117">
        <v>4267</v>
      </c>
      <c r="H221" s="117">
        <v>4288</v>
      </c>
      <c r="I221" s="117">
        <v>6951</v>
      </c>
      <c r="J221" s="117">
        <v>10527</v>
      </c>
      <c r="K221" s="117">
        <v>4005</v>
      </c>
      <c r="L221" s="117">
        <v>6217</v>
      </c>
      <c r="M221" s="117">
        <v>4899</v>
      </c>
      <c r="N221" s="117">
        <v>4288</v>
      </c>
      <c r="O221" s="117">
        <v>1845</v>
      </c>
      <c r="P221" s="117">
        <v>2347</v>
      </c>
      <c r="Q221" s="117">
        <v>2842</v>
      </c>
      <c r="R221" s="117">
        <v>2927</v>
      </c>
      <c r="S221" s="117">
        <v>1177</v>
      </c>
      <c r="T221" s="117">
        <v>1562</v>
      </c>
      <c r="U221" s="117">
        <v>3089</v>
      </c>
      <c r="V221" s="117">
        <v>3112</v>
      </c>
      <c r="W221" s="117">
        <v>5588</v>
      </c>
      <c r="X221" s="117">
        <v>4432</v>
      </c>
      <c r="Y221" s="117">
        <v>3764</v>
      </c>
      <c r="Z221" s="117">
        <v>4288</v>
      </c>
      <c r="AA221" s="117">
        <v>17959</v>
      </c>
      <c r="AB221" s="117">
        <v>18023</v>
      </c>
      <c r="AC221" s="117">
        <v>18069</v>
      </c>
      <c r="AD221" s="117">
        <v>42336</v>
      </c>
      <c r="AE221" s="117">
        <v>44028</v>
      </c>
      <c r="AF221"/>
      <c r="AG221"/>
    </row>
    <row r="222" spans="1:33" ht="13.2" x14ac:dyDescent="0.25">
      <c r="A222" s="117" t="s">
        <v>604</v>
      </c>
      <c r="B222" s="117" t="s">
        <v>199</v>
      </c>
      <c r="C222" s="117">
        <f t="shared" si="12"/>
        <v>6603.5</v>
      </c>
      <c r="D222" s="117">
        <f t="shared" si="13"/>
        <v>6297.25</v>
      </c>
      <c r="E222" s="225">
        <f t="shared" si="14"/>
        <v>2722615.77</v>
      </c>
      <c r="F222" s="117">
        <f t="shared" si="15"/>
        <v>4764354.8849999998</v>
      </c>
      <c r="G222" s="117">
        <v>2742</v>
      </c>
      <c r="H222" s="117">
        <v>3029</v>
      </c>
      <c r="I222" s="117">
        <v>5247</v>
      </c>
      <c r="J222" s="117">
        <v>4716</v>
      </c>
      <c r="K222" s="117">
        <v>12629</v>
      </c>
      <c r="L222" s="117">
        <v>17497</v>
      </c>
      <c r="M222" s="117">
        <v>5084</v>
      </c>
      <c r="N222" s="117">
        <v>7514</v>
      </c>
      <c r="O222" s="117">
        <v>9557</v>
      </c>
      <c r="P222" s="117">
        <v>10895</v>
      </c>
      <c r="Q222" s="117">
        <v>27600</v>
      </c>
      <c r="R222" s="117">
        <v>33053</v>
      </c>
      <c r="S222" s="117">
        <v>4339</v>
      </c>
      <c r="T222" s="117">
        <v>4661</v>
      </c>
      <c r="U222" s="117">
        <v>6984</v>
      </c>
      <c r="V222" s="117">
        <v>7526</v>
      </c>
      <c r="W222" s="117">
        <v>10878</v>
      </c>
      <c r="X222" s="117">
        <v>9973</v>
      </c>
      <c r="Y222" s="117">
        <v>4213</v>
      </c>
      <c r="Z222" s="117">
        <v>3029</v>
      </c>
      <c r="AA222" s="117">
        <v>17530</v>
      </c>
      <c r="AB222" s="117">
        <v>17605</v>
      </c>
      <c r="AC222" s="117">
        <v>17817</v>
      </c>
      <c r="AD222" s="117">
        <v>29779</v>
      </c>
      <c r="AE222" s="117">
        <v>31256</v>
      </c>
      <c r="AF222"/>
      <c r="AG222"/>
    </row>
    <row r="223" spans="1:33" ht="13.2" x14ac:dyDescent="0.25">
      <c r="A223" s="117" t="s">
        <v>601</v>
      </c>
      <c r="B223" s="117" t="s">
        <v>243</v>
      </c>
      <c r="C223" s="117">
        <f t="shared" si="12"/>
        <v>566.25</v>
      </c>
      <c r="D223" s="117">
        <f t="shared" si="13"/>
        <v>771</v>
      </c>
      <c r="E223" s="225">
        <f t="shared" si="14"/>
        <v>4538457</v>
      </c>
      <c r="F223" s="117">
        <f t="shared" si="15"/>
        <v>7941928.4999999991</v>
      </c>
      <c r="G223" s="117">
        <v>9</v>
      </c>
      <c r="H223" s="117">
        <v>87</v>
      </c>
      <c r="I223" s="117">
        <v>21853</v>
      </c>
      <c r="J223" s="117">
        <v>21992</v>
      </c>
      <c r="K223" s="117">
        <v>3933</v>
      </c>
      <c r="L223" s="117">
        <v>5003</v>
      </c>
      <c r="M223" s="117">
        <v>5989</v>
      </c>
      <c r="N223" s="117">
        <v>5493</v>
      </c>
      <c r="O223" s="117">
        <v>3154</v>
      </c>
      <c r="P223" s="117">
        <v>3484</v>
      </c>
      <c r="Q223" s="117">
        <v>1265</v>
      </c>
      <c r="R223" s="117">
        <v>2520</v>
      </c>
      <c r="S223" s="117">
        <v>2095</v>
      </c>
      <c r="T223" s="117">
        <v>3022</v>
      </c>
      <c r="U223" s="117">
        <v>149</v>
      </c>
      <c r="V223" s="117">
        <v>683</v>
      </c>
      <c r="W223" s="117">
        <v>12</v>
      </c>
      <c r="X223" s="117">
        <v>-708</v>
      </c>
      <c r="Y223" s="117">
        <v>9</v>
      </c>
      <c r="Z223" s="117">
        <v>87</v>
      </c>
      <c r="AA223" s="117">
        <v>29632</v>
      </c>
      <c r="AB223" s="117">
        <v>29673</v>
      </c>
      <c r="AC223" s="117">
        <v>29700</v>
      </c>
      <c r="AD223" s="117">
        <v>87163</v>
      </c>
      <c r="AE223" s="117">
        <v>87771</v>
      </c>
      <c r="AF223"/>
      <c r="AG223"/>
    </row>
    <row r="224" spans="1:33" ht="13.2" x14ac:dyDescent="0.25">
      <c r="A224" s="117" t="s">
        <v>599</v>
      </c>
      <c r="B224" s="117" t="s">
        <v>442</v>
      </c>
      <c r="C224" s="117">
        <f t="shared" si="12"/>
        <v>16028.75</v>
      </c>
      <c r="D224" s="117">
        <f t="shared" si="13"/>
        <v>14198.5</v>
      </c>
      <c r="E224" s="225">
        <f t="shared" si="14"/>
        <v>8497764.0999999996</v>
      </c>
      <c r="F224" s="117">
        <f t="shared" si="15"/>
        <v>14870392.049999999</v>
      </c>
      <c r="G224" s="117">
        <v>17287</v>
      </c>
      <c r="H224" s="117">
        <v>17286</v>
      </c>
      <c r="I224" s="117">
        <v>11975</v>
      </c>
      <c r="J224" s="117">
        <v>10546</v>
      </c>
      <c r="K224" s="117">
        <v>21093</v>
      </c>
      <c r="L224" s="117">
        <v>21890</v>
      </c>
      <c r="M224" s="117">
        <v>10123</v>
      </c>
      <c r="N224" s="117">
        <v>12038</v>
      </c>
      <c r="O224" s="117">
        <v>23233</v>
      </c>
      <c r="P224" s="117">
        <v>24255</v>
      </c>
      <c r="Q224" s="117">
        <v>10003</v>
      </c>
      <c r="R224" s="117">
        <v>10180</v>
      </c>
      <c r="S224" s="117">
        <v>15572</v>
      </c>
      <c r="T224" s="117">
        <v>10398</v>
      </c>
      <c r="U224" s="117">
        <v>12944</v>
      </c>
      <c r="V224" s="117">
        <v>11894</v>
      </c>
      <c r="W224" s="117">
        <v>17284</v>
      </c>
      <c r="X224" s="117">
        <v>17216</v>
      </c>
      <c r="Y224" s="117">
        <v>18315</v>
      </c>
      <c r="Z224" s="117">
        <v>17286</v>
      </c>
      <c r="AA224" s="117">
        <v>54604</v>
      </c>
      <c r="AB224" s="117">
        <v>55169</v>
      </c>
      <c r="AC224" s="117">
        <v>55610</v>
      </c>
      <c r="AD224" s="117">
        <v>189854</v>
      </c>
      <c r="AE224" s="117">
        <v>179331</v>
      </c>
      <c r="AF224"/>
      <c r="AG224"/>
    </row>
    <row r="225" spans="1:33" ht="13.2" x14ac:dyDescent="0.25">
      <c r="A225" s="117" t="s">
        <v>602</v>
      </c>
      <c r="B225" s="117" t="s">
        <v>177</v>
      </c>
      <c r="C225" s="117">
        <f t="shared" si="12"/>
        <v>1090.5</v>
      </c>
      <c r="D225" s="117">
        <f t="shared" si="13"/>
        <v>1514.25</v>
      </c>
      <c r="E225" s="225">
        <f t="shared" si="14"/>
        <v>3896349.38</v>
      </c>
      <c r="F225" s="117">
        <f t="shared" si="15"/>
        <v>6818292.6899999995</v>
      </c>
      <c r="G225" s="117">
        <v>384</v>
      </c>
      <c r="H225" s="117">
        <v>213</v>
      </c>
      <c r="I225" s="117">
        <v>706</v>
      </c>
      <c r="J225" s="117">
        <v>1155</v>
      </c>
      <c r="K225" s="117">
        <v>2254</v>
      </c>
      <c r="L225" s="117">
        <v>2403</v>
      </c>
      <c r="M225" s="117">
        <v>3766</v>
      </c>
      <c r="N225" s="117">
        <v>4916</v>
      </c>
      <c r="O225" s="117">
        <v>1405</v>
      </c>
      <c r="P225" s="117">
        <v>2555</v>
      </c>
      <c r="Q225" s="117">
        <v>822</v>
      </c>
      <c r="R225" s="117">
        <v>1871</v>
      </c>
      <c r="S225" s="117">
        <v>1885</v>
      </c>
      <c r="T225" s="117">
        <v>3834</v>
      </c>
      <c r="U225" s="117">
        <v>2018</v>
      </c>
      <c r="V225" s="117">
        <v>1870</v>
      </c>
      <c r="W225" s="117">
        <v>203</v>
      </c>
      <c r="X225" s="117">
        <v>140</v>
      </c>
      <c r="Y225" s="117">
        <v>256</v>
      </c>
      <c r="Z225" s="117">
        <v>213</v>
      </c>
      <c r="AA225" s="117">
        <v>25543</v>
      </c>
      <c r="AB225" s="117">
        <v>25458</v>
      </c>
      <c r="AC225" s="117">
        <v>25498</v>
      </c>
      <c r="AD225" s="117">
        <v>62888</v>
      </c>
      <c r="AE225" s="117">
        <v>67325</v>
      </c>
      <c r="AF225"/>
      <c r="AG225"/>
    </row>
    <row r="226" spans="1:33" ht="13.2" x14ac:dyDescent="0.25">
      <c r="A226" s="117" t="s">
        <v>600</v>
      </c>
      <c r="B226" s="117" t="s">
        <v>316</v>
      </c>
      <c r="C226" s="117">
        <f t="shared" si="12"/>
        <v>1011.5</v>
      </c>
      <c r="D226" s="117">
        <f t="shared" si="13"/>
        <v>941</v>
      </c>
      <c r="E226" s="225">
        <f t="shared" si="14"/>
        <v>1490661.55</v>
      </c>
      <c r="F226" s="117">
        <f t="shared" si="15"/>
        <v>2608535.7749999999</v>
      </c>
      <c r="G226" s="117">
        <v>0</v>
      </c>
      <c r="H226" s="117">
        <v>31</v>
      </c>
      <c r="I226" s="117">
        <v>9028</v>
      </c>
      <c r="J226" s="117">
        <v>8391</v>
      </c>
      <c r="K226" s="117">
        <v>7791</v>
      </c>
      <c r="L226" s="117">
        <v>6936</v>
      </c>
      <c r="M226" s="117">
        <v>7320</v>
      </c>
      <c r="N226" s="117">
        <v>5058</v>
      </c>
      <c r="O226" s="117">
        <v>6476</v>
      </c>
      <c r="P226" s="117">
        <v>5038</v>
      </c>
      <c r="Q226" s="117">
        <v>1288</v>
      </c>
      <c r="R226" s="117">
        <v>1190</v>
      </c>
      <c r="S226" s="117">
        <v>520</v>
      </c>
      <c r="T226" s="117">
        <v>-85</v>
      </c>
      <c r="U226" s="117">
        <v>848</v>
      </c>
      <c r="V226" s="117">
        <v>1194</v>
      </c>
      <c r="W226" s="117">
        <v>2678</v>
      </c>
      <c r="X226" s="117">
        <v>2624</v>
      </c>
      <c r="Y226" s="117">
        <v>0</v>
      </c>
      <c r="Z226" s="117">
        <v>31</v>
      </c>
      <c r="AA226" s="117">
        <v>9653</v>
      </c>
      <c r="AB226" s="117">
        <v>9735</v>
      </c>
      <c r="AC226" s="117">
        <v>9755</v>
      </c>
      <c r="AD226" s="117">
        <v>32215</v>
      </c>
      <c r="AE226" s="117">
        <v>33530</v>
      </c>
      <c r="AF226"/>
      <c r="AG226"/>
    </row>
    <row r="227" spans="1:33" ht="13.2" x14ac:dyDescent="0.25">
      <c r="A227" s="117" t="s">
        <v>600</v>
      </c>
      <c r="B227" s="117" t="s">
        <v>317</v>
      </c>
      <c r="C227" s="117">
        <f t="shared" si="12"/>
        <v>2037.75</v>
      </c>
      <c r="D227" s="117">
        <f t="shared" si="13"/>
        <v>2133.25</v>
      </c>
      <c r="E227" s="225">
        <f t="shared" si="14"/>
        <v>1799948.99</v>
      </c>
      <c r="F227" s="117">
        <f t="shared" si="15"/>
        <v>3149763.4949999996</v>
      </c>
      <c r="G227" s="117">
        <v>2464</v>
      </c>
      <c r="H227" s="117">
        <v>2464</v>
      </c>
      <c r="I227" s="117">
        <v>806</v>
      </c>
      <c r="J227" s="117">
        <v>750</v>
      </c>
      <c r="K227" s="117">
        <v>457</v>
      </c>
      <c r="L227" s="117">
        <v>752</v>
      </c>
      <c r="M227" s="117">
        <v>6193</v>
      </c>
      <c r="N227" s="117">
        <v>6425</v>
      </c>
      <c r="O227" s="117">
        <v>3006</v>
      </c>
      <c r="P227" s="117">
        <v>2859</v>
      </c>
      <c r="Q227" s="117">
        <v>1153</v>
      </c>
      <c r="R227" s="117">
        <v>1474</v>
      </c>
      <c r="S227" s="117">
        <v>1133</v>
      </c>
      <c r="T227" s="117">
        <v>882</v>
      </c>
      <c r="U227" s="117">
        <v>2231</v>
      </c>
      <c r="V227" s="117">
        <v>2097</v>
      </c>
      <c r="W227" s="117">
        <v>3080</v>
      </c>
      <c r="X227" s="117">
        <v>3090</v>
      </c>
      <c r="Y227" s="117">
        <v>1707</v>
      </c>
      <c r="Z227" s="117">
        <v>2464</v>
      </c>
      <c r="AA227" s="117">
        <v>11421</v>
      </c>
      <c r="AB227" s="117">
        <v>11527</v>
      </c>
      <c r="AC227" s="117">
        <v>11779</v>
      </c>
      <c r="AD227" s="117">
        <v>45330</v>
      </c>
      <c r="AE227" s="117">
        <v>42749</v>
      </c>
      <c r="AF227"/>
      <c r="AG227"/>
    </row>
    <row r="228" spans="1:33" ht="13.2" x14ac:dyDescent="0.25">
      <c r="A228" s="117" t="s">
        <v>602</v>
      </c>
      <c r="B228" s="117" t="s">
        <v>178</v>
      </c>
      <c r="C228" s="117">
        <f t="shared" si="12"/>
        <v>1845</v>
      </c>
      <c r="D228" s="117">
        <f t="shared" si="13"/>
        <v>886</v>
      </c>
      <c r="E228" s="225">
        <f t="shared" si="14"/>
        <v>4540749.1500000004</v>
      </c>
      <c r="F228" s="117">
        <f t="shared" si="15"/>
        <v>7945939.5749999993</v>
      </c>
      <c r="G228" s="117">
        <v>2030</v>
      </c>
      <c r="H228" s="117">
        <v>982</v>
      </c>
      <c r="I228" s="117">
        <v>5055</v>
      </c>
      <c r="J228" s="117">
        <v>4426</v>
      </c>
      <c r="K228" s="117">
        <v>3426</v>
      </c>
      <c r="L228" s="117">
        <v>2754</v>
      </c>
      <c r="M228" s="117">
        <v>2879</v>
      </c>
      <c r="N228" s="117">
        <v>5542</v>
      </c>
      <c r="O228" s="117">
        <v>2318</v>
      </c>
      <c r="P228" s="117">
        <v>1785</v>
      </c>
      <c r="Q228" s="117">
        <v>1061</v>
      </c>
      <c r="R228" s="117">
        <v>879</v>
      </c>
      <c r="S228" s="117">
        <v>820</v>
      </c>
      <c r="T228" s="117">
        <v>563</v>
      </c>
      <c r="U228" s="117">
        <v>1683</v>
      </c>
      <c r="V228" s="117">
        <v>1261</v>
      </c>
      <c r="W228" s="117">
        <v>1215</v>
      </c>
      <c r="X228" s="117">
        <v>738</v>
      </c>
      <c r="Y228" s="117">
        <v>3662</v>
      </c>
      <c r="Z228" s="117">
        <v>982</v>
      </c>
      <c r="AA228" s="117">
        <v>29720</v>
      </c>
      <c r="AB228" s="117">
        <v>29762</v>
      </c>
      <c r="AC228" s="117">
        <v>29715</v>
      </c>
      <c r="AD228" s="117">
        <v>60762</v>
      </c>
      <c r="AE228" s="117">
        <v>66223</v>
      </c>
      <c r="AF228"/>
      <c r="AG228"/>
    </row>
    <row r="229" spans="1:33" ht="13.2" x14ac:dyDescent="0.25">
      <c r="A229" s="117" t="s">
        <v>599</v>
      </c>
      <c r="B229" s="117" t="s">
        <v>443</v>
      </c>
      <c r="C229" s="117">
        <f t="shared" si="12"/>
        <v>15456.5</v>
      </c>
      <c r="D229" s="117">
        <f t="shared" si="13"/>
        <v>16033.75</v>
      </c>
      <c r="E229" s="225">
        <f t="shared" si="14"/>
        <v>13972487.970000001</v>
      </c>
      <c r="F229" s="117">
        <f t="shared" si="15"/>
        <v>24450710.984999996</v>
      </c>
      <c r="G229" s="117">
        <v>2733</v>
      </c>
      <c r="H229" s="117">
        <v>3896</v>
      </c>
      <c r="I229" s="117">
        <v>37711.571074087202</v>
      </c>
      <c r="J229" s="117">
        <v>41133.414037575327</v>
      </c>
      <c r="K229" s="117">
        <v>45102.608294930877</v>
      </c>
      <c r="L229" s="117">
        <v>53987.94718185041</v>
      </c>
      <c r="M229" s="117">
        <v>48782.825239276848</v>
      </c>
      <c r="N229" s="117">
        <v>50611.221907125131</v>
      </c>
      <c r="O229" s="117">
        <v>27031.292095001772</v>
      </c>
      <c r="P229" s="117">
        <v>27827.138957816376</v>
      </c>
      <c r="Q229" s="117">
        <v>21890.558118899735</v>
      </c>
      <c r="R229" s="117">
        <v>23160.516415261758</v>
      </c>
      <c r="S229" s="117">
        <v>18770</v>
      </c>
      <c r="T229" s="117">
        <v>20993</v>
      </c>
      <c r="U229" s="117">
        <v>26779</v>
      </c>
      <c r="V229" s="117">
        <v>34774</v>
      </c>
      <c r="W229" s="117">
        <v>6705</v>
      </c>
      <c r="X229" s="117">
        <v>4472</v>
      </c>
      <c r="Y229" s="117">
        <v>9572</v>
      </c>
      <c r="Z229" s="117">
        <v>3896</v>
      </c>
      <c r="AA229" s="117">
        <v>90364</v>
      </c>
      <c r="AB229" s="117">
        <v>90973</v>
      </c>
      <c r="AC229" s="117">
        <v>91437</v>
      </c>
      <c r="AD229" s="117">
        <v>195012</v>
      </c>
      <c r="AE229" s="117">
        <v>207783.03863878056</v>
      </c>
      <c r="AF229"/>
      <c r="AG229"/>
    </row>
    <row r="230" spans="1:33" ht="13.2" x14ac:dyDescent="0.25">
      <c r="A230" s="117" t="s">
        <v>601</v>
      </c>
      <c r="B230" s="117" t="s">
        <v>244</v>
      </c>
      <c r="C230" s="117">
        <f t="shared" si="12"/>
        <v>5567.25</v>
      </c>
      <c r="D230" s="117">
        <f t="shared" si="13"/>
        <v>6107.25</v>
      </c>
      <c r="E230" s="225">
        <f t="shared" si="14"/>
        <v>6030188.2199999997</v>
      </c>
      <c r="F230" s="117">
        <f t="shared" si="15"/>
        <v>10552336.109999999</v>
      </c>
      <c r="G230" s="117">
        <v>240</v>
      </c>
      <c r="H230" s="117">
        <v>178</v>
      </c>
      <c r="I230" s="117">
        <v>15049</v>
      </c>
      <c r="J230" s="117">
        <v>28582</v>
      </c>
      <c r="K230" s="117">
        <v>9596</v>
      </c>
      <c r="L230" s="117">
        <v>12733</v>
      </c>
      <c r="M230" s="117">
        <v>31440</v>
      </c>
      <c r="N230" s="117">
        <v>33529</v>
      </c>
      <c r="O230" s="117">
        <v>8660</v>
      </c>
      <c r="P230" s="117">
        <v>9749</v>
      </c>
      <c r="Q230" s="117">
        <v>11264</v>
      </c>
      <c r="R230" s="117">
        <v>16095</v>
      </c>
      <c r="S230" s="117">
        <v>8628</v>
      </c>
      <c r="T230" s="117">
        <v>13208</v>
      </c>
      <c r="U230" s="117">
        <v>8138</v>
      </c>
      <c r="V230" s="117">
        <v>8853</v>
      </c>
      <c r="W230" s="117">
        <v>5263</v>
      </c>
      <c r="X230" s="117">
        <v>2190</v>
      </c>
      <c r="Y230" s="117">
        <v>240</v>
      </c>
      <c r="Z230" s="117">
        <v>178</v>
      </c>
      <c r="AA230" s="117">
        <v>39569</v>
      </c>
      <c r="AB230" s="117">
        <v>39529</v>
      </c>
      <c r="AC230" s="117">
        <v>39462</v>
      </c>
      <c r="AD230" s="117">
        <v>128483</v>
      </c>
      <c r="AE230" s="117">
        <v>124819</v>
      </c>
      <c r="AF230"/>
      <c r="AG230"/>
    </row>
    <row r="231" spans="1:33" ht="13.2" x14ac:dyDescent="0.25">
      <c r="A231" s="117" t="s">
        <v>600</v>
      </c>
      <c r="B231" s="117" t="s">
        <v>318</v>
      </c>
      <c r="C231" s="117">
        <f t="shared" si="12"/>
        <v>411</v>
      </c>
      <c r="D231" s="117">
        <f t="shared" si="13"/>
        <v>115</v>
      </c>
      <c r="E231" s="225">
        <f t="shared" si="14"/>
        <v>2126351.15</v>
      </c>
      <c r="F231" s="117">
        <f t="shared" si="15"/>
        <v>3720940.5749999997</v>
      </c>
      <c r="G231" s="117">
        <v>0</v>
      </c>
      <c r="H231" s="117">
        <v>0</v>
      </c>
      <c r="I231" s="117">
        <v>24</v>
      </c>
      <c r="J231" s="117">
        <v>0</v>
      </c>
      <c r="K231" s="117">
        <v>2703</v>
      </c>
      <c r="L231" s="117">
        <v>2703</v>
      </c>
      <c r="M231" s="117">
        <v>0</v>
      </c>
      <c r="N231" s="117">
        <v>0</v>
      </c>
      <c r="O231" s="117">
        <v>1</v>
      </c>
      <c r="P231" s="117">
        <v>3</v>
      </c>
      <c r="Q231" s="117">
        <v>0</v>
      </c>
      <c r="R231" s="117">
        <v>0</v>
      </c>
      <c r="S231" s="117">
        <v>1200</v>
      </c>
      <c r="T231" s="117">
        <v>0</v>
      </c>
      <c r="U231" s="117">
        <v>444</v>
      </c>
      <c r="V231" s="117">
        <v>460</v>
      </c>
      <c r="W231" s="117">
        <v>0</v>
      </c>
      <c r="X231" s="117">
        <v>0</v>
      </c>
      <c r="Y231" s="117">
        <v>0</v>
      </c>
      <c r="Z231" s="117">
        <v>0</v>
      </c>
      <c r="AA231" s="117">
        <v>13428</v>
      </c>
      <c r="AB231" s="117">
        <v>13489</v>
      </c>
      <c r="AC231" s="117">
        <v>13915</v>
      </c>
      <c r="AD231" s="117">
        <v>22248</v>
      </c>
      <c r="AE231" s="117">
        <v>18380</v>
      </c>
      <c r="AF231"/>
      <c r="AG231"/>
    </row>
    <row r="232" spans="1:33" ht="13.2" x14ac:dyDescent="0.25">
      <c r="A232" s="117" t="s">
        <v>606</v>
      </c>
      <c r="B232" s="117" t="s">
        <v>274</v>
      </c>
      <c r="C232" s="117">
        <f t="shared" si="12"/>
        <v>651.5</v>
      </c>
      <c r="D232" s="117">
        <f t="shared" si="13"/>
        <v>245.25</v>
      </c>
      <c r="E232" s="225">
        <f t="shared" si="14"/>
        <v>1558509.19</v>
      </c>
      <c r="F232" s="117">
        <f t="shared" si="15"/>
        <v>2727263.5949999997</v>
      </c>
      <c r="G232" s="117">
        <v>360</v>
      </c>
      <c r="H232" s="117">
        <v>360</v>
      </c>
      <c r="I232" s="117">
        <v>601</v>
      </c>
      <c r="J232" s="117">
        <v>911</v>
      </c>
      <c r="K232" s="117">
        <v>700</v>
      </c>
      <c r="L232" s="117">
        <v>851</v>
      </c>
      <c r="M232" s="117">
        <v>1345</v>
      </c>
      <c r="N232" s="117">
        <v>762</v>
      </c>
      <c r="O232" s="117">
        <v>1027</v>
      </c>
      <c r="P232" s="117">
        <v>437</v>
      </c>
      <c r="Q232" s="117">
        <v>785</v>
      </c>
      <c r="R232" s="117">
        <v>980</v>
      </c>
      <c r="S232" s="117">
        <v>642</v>
      </c>
      <c r="T232" s="117">
        <v>142</v>
      </c>
      <c r="U232" s="117">
        <v>273</v>
      </c>
      <c r="V232" s="117">
        <v>273</v>
      </c>
      <c r="W232" s="117">
        <v>1691</v>
      </c>
      <c r="X232" s="117">
        <v>206</v>
      </c>
      <c r="Y232" s="117">
        <v>0</v>
      </c>
      <c r="Z232" s="117">
        <v>360</v>
      </c>
      <c r="AA232" s="117">
        <v>10185</v>
      </c>
      <c r="AB232" s="117">
        <v>10177</v>
      </c>
      <c r="AC232" s="117">
        <v>10199</v>
      </c>
      <c r="AD232" s="117">
        <v>12656</v>
      </c>
      <c r="AE232" s="117">
        <v>12706</v>
      </c>
      <c r="AF232"/>
      <c r="AG232"/>
    </row>
    <row r="233" spans="1:33" ht="13.2" x14ac:dyDescent="0.25">
      <c r="A233" s="117" t="s">
        <v>601</v>
      </c>
      <c r="B233" s="117" t="s">
        <v>245</v>
      </c>
      <c r="C233" s="117">
        <f t="shared" si="12"/>
        <v>14415.5</v>
      </c>
      <c r="D233" s="117">
        <f t="shared" si="13"/>
        <v>10844.25</v>
      </c>
      <c r="E233" s="225">
        <f t="shared" si="14"/>
        <v>7263364.9199999999</v>
      </c>
      <c r="F233" s="117">
        <f t="shared" si="15"/>
        <v>12710294.459999999</v>
      </c>
      <c r="G233" s="117">
        <v>800</v>
      </c>
      <c r="H233" s="117">
        <v>599</v>
      </c>
      <c r="I233" s="117">
        <v>5260</v>
      </c>
      <c r="J233" s="117">
        <v>8075</v>
      </c>
      <c r="K233" s="117">
        <v>2450</v>
      </c>
      <c r="L233" s="117">
        <v>10309</v>
      </c>
      <c r="M233" s="117">
        <v>11908</v>
      </c>
      <c r="N233" s="117">
        <v>17022</v>
      </c>
      <c r="O233" s="117">
        <v>22919</v>
      </c>
      <c r="P233" s="117">
        <v>26042</v>
      </c>
      <c r="Q233" s="117">
        <v>8801</v>
      </c>
      <c r="R233" s="117">
        <v>22812</v>
      </c>
      <c r="S233" s="117">
        <v>21414</v>
      </c>
      <c r="T233" s="117">
        <v>20544</v>
      </c>
      <c r="U233" s="117">
        <v>30537</v>
      </c>
      <c r="V233" s="117">
        <v>19981</v>
      </c>
      <c r="W233" s="117">
        <v>5349</v>
      </c>
      <c r="X233" s="117">
        <v>2253</v>
      </c>
      <c r="Y233" s="117">
        <v>362</v>
      </c>
      <c r="Z233" s="117">
        <v>599</v>
      </c>
      <c r="AA233" s="117">
        <v>47388</v>
      </c>
      <c r="AB233" s="117">
        <v>47493</v>
      </c>
      <c r="AC233" s="117">
        <v>47532</v>
      </c>
      <c r="AD233" s="117">
        <v>108844</v>
      </c>
      <c r="AE233" s="117">
        <v>108437</v>
      </c>
      <c r="AF233"/>
      <c r="AG233"/>
    </row>
    <row r="234" spans="1:33" ht="13.2" x14ac:dyDescent="0.25">
      <c r="A234" s="117" t="s">
        <v>603</v>
      </c>
      <c r="B234" s="117" t="s">
        <v>369</v>
      </c>
      <c r="C234" s="117">
        <f t="shared" si="12"/>
        <v>10298.5</v>
      </c>
      <c r="D234" s="117">
        <f t="shared" si="13"/>
        <v>10818.25</v>
      </c>
      <c r="E234" s="225">
        <f t="shared" si="14"/>
        <v>4934693.33</v>
      </c>
      <c r="F234" s="117">
        <f t="shared" si="15"/>
        <v>8635309.6649999991</v>
      </c>
      <c r="G234" s="117">
        <v>13437</v>
      </c>
      <c r="H234" s="117">
        <v>13485</v>
      </c>
      <c r="I234" s="117">
        <v>21646</v>
      </c>
      <c r="J234" s="117">
        <v>21600</v>
      </c>
      <c r="K234" s="117">
        <v>20010</v>
      </c>
      <c r="L234" s="117">
        <v>20978</v>
      </c>
      <c r="M234" s="117">
        <v>16801</v>
      </c>
      <c r="N234" s="117">
        <v>17915</v>
      </c>
      <c r="O234" s="117">
        <v>8527</v>
      </c>
      <c r="P234" s="117">
        <v>12824</v>
      </c>
      <c r="Q234" s="117">
        <v>16933</v>
      </c>
      <c r="R234" s="117">
        <v>17939</v>
      </c>
      <c r="S234" s="117">
        <v>13026</v>
      </c>
      <c r="T234" s="117">
        <v>12240</v>
      </c>
      <c r="U234" s="117">
        <v>14710</v>
      </c>
      <c r="V234" s="117">
        <v>13733</v>
      </c>
      <c r="W234" s="117">
        <v>4030</v>
      </c>
      <c r="X234" s="117">
        <v>3815</v>
      </c>
      <c r="Y234" s="117">
        <v>9428</v>
      </c>
      <c r="Z234" s="117">
        <v>13485</v>
      </c>
      <c r="AA234" s="117">
        <v>32286</v>
      </c>
      <c r="AB234" s="117">
        <v>32266</v>
      </c>
      <c r="AC234" s="117">
        <v>32293</v>
      </c>
      <c r="AD234" s="117">
        <v>97948</v>
      </c>
      <c r="AE234" s="117">
        <v>96860</v>
      </c>
      <c r="AF234"/>
      <c r="AG234"/>
    </row>
    <row r="235" spans="1:33" ht="13.2" x14ac:dyDescent="0.25">
      <c r="A235" s="117" t="s">
        <v>608</v>
      </c>
      <c r="B235" s="117" t="s">
        <v>481</v>
      </c>
      <c r="C235" s="117">
        <f t="shared" si="12"/>
        <v>5100.25</v>
      </c>
      <c r="D235" s="117">
        <f t="shared" si="13"/>
        <v>6110.75</v>
      </c>
      <c r="E235" s="225">
        <f t="shared" si="14"/>
        <v>6618353.9100000001</v>
      </c>
      <c r="F235" s="117">
        <f t="shared" si="15"/>
        <v>11581577.954999998</v>
      </c>
      <c r="G235" s="117">
        <v>268</v>
      </c>
      <c r="H235" s="117">
        <v>898</v>
      </c>
      <c r="I235" s="117">
        <v>18145</v>
      </c>
      <c r="J235" s="117">
        <v>17525</v>
      </c>
      <c r="K235" s="117">
        <v>8797</v>
      </c>
      <c r="L235" s="117">
        <v>7863</v>
      </c>
      <c r="M235" s="117">
        <v>13326</v>
      </c>
      <c r="N235" s="117">
        <v>14624</v>
      </c>
      <c r="O235" s="117">
        <v>14267</v>
      </c>
      <c r="P235" s="117">
        <v>15290</v>
      </c>
      <c r="Q235" s="117">
        <v>15165</v>
      </c>
      <c r="R235" s="117">
        <v>15525</v>
      </c>
      <c r="S235" s="117">
        <v>8228</v>
      </c>
      <c r="T235" s="117">
        <v>10920</v>
      </c>
      <c r="U235" s="117">
        <v>7806</v>
      </c>
      <c r="V235" s="117">
        <v>8498</v>
      </c>
      <c r="W235" s="117">
        <v>4119</v>
      </c>
      <c r="X235" s="117">
        <v>4127</v>
      </c>
      <c r="Y235" s="117">
        <v>248</v>
      </c>
      <c r="Z235" s="117">
        <v>898</v>
      </c>
      <c r="AA235" s="117">
        <v>43354</v>
      </c>
      <c r="AB235" s="117">
        <v>43315</v>
      </c>
      <c r="AC235" s="117">
        <v>43311</v>
      </c>
      <c r="AD235" s="117">
        <v>126232</v>
      </c>
      <c r="AE235" s="117">
        <v>118747</v>
      </c>
      <c r="AF235"/>
      <c r="AG235"/>
    </row>
    <row r="236" spans="1:33" ht="13.2" x14ac:dyDescent="0.25">
      <c r="A236" s="117" t="s">
        <v>607</v>
      </c>
      <c r="B236" s="117" t="s">
        <v>157</v>
      </c>
      <c r="C236" s="117">
        <f t="shared" si="12"/>
        <v>74.5</v>
      </c>
      <c r="D236" s="117">
        <f t="shared" si="13"/>
        <v>64</v>
      </c>
      <c r="E236" s="225">
        <f t="shared" si="14"/>
        <v>1865351.67</v>
      </c>
      <c r="F236" s="117">
        <f t="shared" si="15"/>
        <v>3264212.8349999995</v>
      </c>
      <c r="G236" s="117">
        <v>0</v>
      </c>
      <c r="H236" s="117">
        <v>0</v>
      </c>
      <c r="I236" s="117">
        <v>402</v>
      </c>
      <c r="J236" s="117">
        <v>441</v>
      </c>
      <c r="K236" s="117">
        <v>11</v>
      </c>
      <c r="L236" s="117">
        <v>47</v>
      </c>
      <c r="M236" s="117">
        <v>11</v>
      </c>
      <c r="N236" s="117">
        <v>112</v>
      </c>
      <c r="O236" s="117">
        <v>7</v>
      </c>
      <c r="P236" s="117">
        <v>438</v>
      </c>
      <c r="Q236" s="117">
        <v>600</v>
      </c>
      <c r="R236" s="117">
        <v>393</v>
      </c>
      <c r="S236" s="117">
        <v>20</v>
      </c>
      <c r="T236" s="117">
        <v>224</v>
      </c>
      <c r="U236" s="117">
        <v>278</v>
      </c>
      <c r="V236" s="117">
        <v>32</v>
      </c>
      <c r="W236" s="117">
        <v>0</v>
      </c>
      <c r="X236" s="117">
        <v>0</v>
      </c>
      <c r="Y236" s="117">
        <v>0</v>
      </c>
      <c r="Z236" s="117">
        <v>0</v>
      </c>
      <c r="AA236" s="117">
        <v>12548</v>
      </c>
      <c r="AB236" s="117">
        <v>12253</v>
      </c>
      <c r="AC236" s="117">
        <v>12207</v>
      </c>
      <c r="AD236" s="117">
        <v>20687</v>
      </c>
      <c r="AE236" s="117">
        <v>26450</v>
      </c>
      <c r="AF236"/>
      <c r="AG236"/>
    </row>
    <row r="237" spans="1:33" ht="13.2" x14ac:dyDescent="0.25">
      <c r="A237" s="117" t="s">
        <v>603</v>
      </c>
      <c r="B237" s="117" t="s">
        <v>370</v>
      </c>
      <c r="C237" s="117">
        <f t="shared" si="12"/>
        <v>30803</v>
      </c>
      <c r="D237" s="117">
        <f t="shared" si="13"/>
        <v>35432.5</v>
      </c>
      <c r="E237" s="225">
        <f t="shared" si="14"/>
        <v>8300792.0099999998</v>
      </c>
      <c r="F237" s="117">
        <f t="shared" si="15"/>
        <v>14525707.004999999</v>
      </c>
      <c r="G237" s="117">
        <v>45088</v>
      </c>
      <c r="H237" s="117">
        <v>46371</v>
      </c>
      <c r="I237" s="117">
        <v>40732</v>
      </c>
      <c r="J237" s="117">
        <v>30736</v>
      </c>
      <c r="K237" s="117">
        <v>76591</v>
      </c>
      <c r="L237" s="117">
        <v>82598</v>
      </c>
      <c r="M237" s="117">
        <v>21584</v>
      </c>
      <c r="N237" s="117">
        <v>24110</v>
      </c>
      <c r="O237" s="117">
        <v>30020</v>
      </c>
      <c r="P237" s="117">
        <v>41192</v>
      </c>
      <c r="Q237" s="117">
        <v>13414</v>
      </c>
      <c r="R237" s="117">
        <v>19038</v>
      </c>
      <c r="S237" s="117">
        <v>21146</v>
      </c>
      <c r="T237" s="117">
        <v>23035</v>
      </c>
      <c r="U237" s="117">
        <v>32780</v>
      </c>
      <c r="V237" s="117">
        <v>35249</v>
      </c>
      <c r="W237" s="117">
        <v>43292</v>
      </c>
      <c r="X237" s="117">
        <v>37075</v>
      </c>
      <c r="Y237" s="117">
        <v>25994</v>
      </c>
      <c r="Z237" s="117">
        <v>46371</v>
      </c>
      <c r="AA237" s="117">
        <v>52670</v>
      </c>
      <c r="AB237" s="117">
        <v>53644</v>
      </c>
      <c r="AC237" s="117">
        <v>54321</v>
      </c>
      <c r="AD237" s="117">
        <v>128096</v>
      </c>
      <c r="AE237" s="117">
        <v>148129</v>
      </c>
      <c r="AF237"/>
      <c r="AG237"/>
    </row>
    <row r="238" spans="1:33" ht="13.2" x14ac:dyDescent="0.25">
      <c r="A238" s="117" t="s">
        <v>600</v>
      </c>
      <c r="B238" s="117" t="s">
        <v>319</v>
      </c>
      <c r="C238" s="117">
        <f t="shared" si="12"/>
        <v>17823.5</v>
      </c>
      <c r="D238" s="117">
        <f t="shared" si="13"/>
        <v>16034.75</v>
      </c>
      <c r="E238" s="225">
        <f t="shared" si="14"/>
        <v>12247263.07</v>
      </c>
      <c r="F238" s="117">
        <f t="shared" si="15"/>
        <v>21431708.534999996</v>
      </c>
      <c r="G238" s="117">
        <v>10003</v>
      </c>
      <c r="H238" s="117">
        <v>9575</v>
      </c>
      <c r="I238" s="117">
        <v>19320</v>
      </c>
      <c r="J238" s="117">
        <v>10187</v>
      </c>
      <c r="K238" s="117">
        <v>6497</v>
      </c>
      <c r="L238" s="117">
        <v>1585</v>
      </c>
      <c r="M238" s="117">
        <v>6421</v>
      </c>
      <c r="N238" s="117">
        <v>5384</v>
      </c>
      <c r="O238" s="117">
        <v>16124</v>
      </c>
      <c r="P238" s="117">
        <v>16365</v>
      </c>
      <c r="Q238" s="117">
        <v>16995</v>
      </c>
      <c r="R238" s="117">
        <v>23723</v>
      </c>
      <c r="S238" s="117">
        <v>22507</v>
      </c>
      <c r="T238" s="117">
        <v>17974</v>
      </c>
      <c r="U238" s="117">
        <v>23433</v>
      </c>
      <c r="V238" s="117">
        <v>21495</v>
      </c>
      <c r="W238" s="117">
        <v>14250</v>
      </c>
      <c r="X238" s="117">
        <v>15095</v>
      </c>
      <c r="Y238" s="117">
        <v>11104</v>
      </c>
      <c r="Z238" s="117">
        <v>9575</v>
      </c>
      <c r="AA238" s="117">
        <v>79895</v>
      </c>
      <c r="AB238" s="117">
        <v>79959</v>
      </c>
      <c r="AC238" s="117">
        <v>80147</v>
      </c>
      <c r="AD238" s="117">
        <v>215942</v>
      </c>
      <c r="AE238" s="117">
        <v>211146</v>
      </c>
      <c r="AF238"/>
      <c r="AG238"/>
    </row>
    <row r="239" spans="1:33" ht="13.2" x14ac:dyDescent="0.25">
      <c r="A239" s="117" t="s">
        <v>601</v>
      </c>
      <c r="B239" s="117" t="s">
        <v>246</v>
      </c>
      <c r="C239" s="117">
        <f t="shared" si="12"/>
        <v>1774.75</v>
      </c>
      <c r="D239" s="117">
        <f t="shared" si="13"/>
        <v>1241.25</v>
      </c>
      <c r="E239" s="225">
        <f t="shared" si="14"/>
        <v>3698002</v>
      </c>
      <c r="F239" s="117">
        <f t="shared" si="15"/>
        <v>6471200.9999999991</v>
      </c>
      <c r="G239" s="117">
        <v>5600</v>
      </c>
      <c r="H239" s="117">
        <v>5600</v>
      </c>
      <c r="I239" s="117">
        <v>5794</v>
      </c>
      <c r="J239" s="117">
        <v>5793</v>
      </c>
      <c r="K239" s="117">
        <v>4943</v>
      </c>
      <c r="L239" s="117">
        <v>4943</v>
      </c>
      <c r="M239" s="117">
        <v>2142</v>
      </c>
      <c r="N239" s="117">
        <v>2141</v>
      </c>
      <c r="O239" s="117">
        <v>1963</v>
      </c>
      <c r="P239" s="117">
        <v>964</v>
      </c>
      <c r="Q239" s="117">
        <v>4162</v>
      </c>
      <c r="R239" s="117">
        <v>1700</v>
      </c>
      <c r="S239" s="117">
        <v>2981</v>
      </c>
      <c r="T239" s="117">
        <v>-1004</v>
      </c>
      <c r="U239" s="117">
        <v>2343</v>
      </c>
      <c r="V239" s="117">
        <v>42</v>
      </c>
      <c r="W239" s="117">
        <v>250</v>
      </c>
      <c r="X239" s="117">
        <v>327</v>
      </c>
      <c r="Y239" s="117">
        <v>1525</v>
      </c>
      <c r="Z239" s="117">
        <v>5600</v>
      </c>
      <c r="AA239" s="117">
        <v>24418</v>
      </c>
      <c r="AB239" s="117">
        <v>24322</v>
      </c>
      <c r="AC239" s="117">
        <v>24200</v>
      </c>
      <c r="AD239" s="117">
        <v>21496</v>
      </c>
      <c r="AE239" s="117">
        <v>24410</v>
      </c>
      <c r="AF239"/>
      <c r="AG239"/>
    </row>
    <row r="240" spans="1:33" ht="13.2" x14ac:dyDescent="0.25">
      <c r="A240" s="117" t="s">
        <v>604</v>
      </c>
      <c r="B240" s="117" t="s">
        <v>200</v>
      </c>
      <c r="C240" s="117">
        <f t="shared" si="12"/>
        <v>4465</v>
      </c>
      <c r="D240" s="117">
        <f t="shared" si="13"/>
        <v>5160.25</v>
      </c>
      <c r="E240" s="225">
        <f t="shared" si="14"/>
        <v>5732208.7199999997</v>
      </c>
      <c r="F240" s="117">
        <f t="shared" si="15"/>
        <v>10030896.359999999</v>
      </c>
      <c r="G240" s="117">
        <v>7462</v>
      </c>
      <c r="H240" s="117">
        <v>7600</v>
      </c>
      <c r="I240" s="117">
        <v>3936</v>
      </c>
      <c r="J240" s="117">
        <v>4879</v>
      </c>
      <c r="K240" s="117">
        <v>4105</v>
      </c>
      <c r="L240" s="117">
        <v>10015</v>
      </c>
      <c r="M240" s="117">
        <v>5961</v>
      </c>
      <c r="N240" s="117">
        <v>6972</v>
      </c>
      <c r="O240" s="117">
        <v>4901</v>
      </c>
      <c r="P240" s="117">
        <v>3060</v>
      </c>
      <c r="Q240" s="117">
        <v>22695</v>
      </c>
      <c r="R240" s="117">
        <v>22742</v>
      </c>
      <c r="S240" s="117">
        <v>2747</v>
      </c>
      <c r="T240" s="117">
        <v>3797</v>
      </c>
      <c r="U240" s="117">
        <v>7270</v>
      </c>
      <c r="V240" s="117">
        <v>4482</v>
      </c>
      <c r="W240" s="117">
        <v>7712</v>
      </c>
      <c r="X240" s="117">
        <v>4762</v>
      </c>
      <c r="Y240" s="117">
        <v>131</v>
      </c>
      <c r="Z240" s="117">
        <v>7600</v>
      </c>
      <c r="AA240" s="117">
        <v>36905</v>
      </c>
      <c r="AB240" s="117">
        <v>37160</v>
      </c>
      <c r="AC240" s="117">
        <v>37512</v>
      </c>
      <c r="AD240" s="117">
        <v>94429</v>
      </c>
      <c r="AE240" s="117">
        <v>94342</v>
      </c>
      <c r="AF240"/>
      <c r="AG240"/>
    </row>
    <row r="241" spans="1:33" ht="13.2" x14ac:dyDescent="0.25">
      <c r="A241" s="117" t="s">
        <v>610</v>
      </c>
      <c r="B241" s="117" t="s">
        <v>395</v>
      </c>
      <c r="C241" s="117">
        <f t="shared" si="12"/>
        <v>3437</v>
      </c>
      <c r="D241" s="117">
        <f t="shared" si="13"/>
        <v>2162</v>
      </c>
      <c r="E241" s="225">
        <f t="shared" si="14"/>
        <v>3464202.7</v>
      </c>
      <c r="F241" s="117">
        <f t="shared" si="15"/>
        <v>6062071.3499999996</v>
      </c>
      <c r="G241" s="117">
        <v>2224</v>
      </c>
      <c r="H241" s="117">
        <v>1476</v>
      </c>
      <c r="I241" s="117">
        <v>15992</v>
      </c>
      <c r="J241" s="117">
        <v>15177</v>
      </c>
      <c r="K241" s="117">
        <v>5009</v>
      </c>
      <c r="L241" s="117">
        <v>4851</v>
      </c>
      <c r="M241" s="117">
        <v>5019</v>
      </c>
      <c r="N241" s="117">
        <v>2821</v>
      </c>
      <c r="O241" s="117">
        <v>5358</v>
      </c>
      <c r="P241" s="117">
        <v>3362</v>
      </c>
      <c r="Q241" s="117">
        <v>3498</v>
      </c>
      <c r="R241" s="117">
        <v>2562</v>
      </c>
      <c r="S241" s="117">
        <v>3465</v>
      </c>
      <c r="T241" s="117">
        <v>2479</v>
      </c>
      <c r="U241" s="117">
        <v>5628</v>
      </c>
      <c r="V241" s="117">
        <v>3515</v>
      </c>
      <c r="W241" s="117">
        <v>2886</v>
      </c>
      <c r="X241" s="117">
        <v>1178</v>
      </c>
      <c r="Y241" s="117">
        <v>1769</v>
      </c>
      <c r="Z241" s="117">
        <v>1476</v>
      </c>
      <c r="AA241" s="117">
        <v>22362</v>
      </c>
      <c r="AB241" s="117">
        <v>22565</v>
      </c>
      <c r="AC241" s="117">
        <v>22670</v>
      </c>
      <c r="AD241" s="117">
        <v>59652</v>
      </c>
      <c r="AE241" s="117">
        <v>61843</v>
      </c>
      <c r="AF241"/>
      <c r="AG241"/>
    </row>
    <row r="242" spans="1:33" ht="13.2" x14ac:dyDescent="0.25">
      <c r="A242" s="117" t="s">
        <v>601</v>
      </c>
      <c r="B242" s="117" t="s">
        <v>247</v>
      </c>
      <c r="C242" s="117">
        <f t="shared" si="12"/>
        <v>2109</v>
      </c>
      <c r="D242" s="117">
        <f t="shared" si="13"/>
        <v>2588.75</v>
      </c>
      <c r="E242" s="225">
        <f t="shared" si="14"/>
        <v>4783564.24</v>
      </c>
      <c r="F242" s="117">
        <f t="shared" si="15"/>
        <v>8370846.1199999992</v>
      </c>
      <c r="G242" s="117">
        <v>1117</v>
      </c>
      <c r="H242" s="117">
        <v>1042</v>
      </c>
      <c r="I242" s="117">
        <v>1937</v>
      </c>
      <c r="J242" s="117">
        <v>2372</v>
      </c>
      <c r="K242" s="117">
        <v>3273</v>
      </c>
      <c r="L242" s="117">
        <v>3550</v>
      </c>
      <c r="M242" s="117">
        <v>1373</v>
      </c>
      <c r="N242" s="117">
        <v>2332</v>
      </c>
      <c r="O242" s="117">
        <v>590</v>
      </c>
      <c r="P242" s="117">
        <v>912</v>
      </c>
      <c r="Q242" s="117">
        <v>1191</v>
      </c>
      <c r="R242" s="117">
        <v>2291</v>
      </c>
      <c r="S242" s="117">
        <v>1677</v>
      </c>
      <c r="T242" s="117">
        <v>3159</v>
      </c>
      <c r="U242" s="117">
        <v>3061</v>
      </c>
      <c r="V242" s="117">
        <v>3382</v>
      </c>
      <c r="W242" s="117">
        <v>2235</v>
      </c>
      <c r="X242" s="117">
        <v>2772</v>
      </c>
      <c r="Y242" s="117">
        <v>1463</v>
      </c>
      <c r="Z242" s="117">
        <v>1042</v>
      </c>
      <c r="AA242" s="117">
        <v>31405</v>
      </c>
      <c r="AB242" s="117">
        <v>31323</v>
      </c>
      <c r="AC242" s="117">
        <v>31304</v>
      </c>
      <c r="AD242" s="117">
        <v>42865</v>
      </c>
      <c r="AE242" s="117">
        <v>39069</v>
      </c>
      <c r="AF242"/>
      <c r="AG242"/>
    </row>
    <row r="243" spans="1:33" ht="13.2" x14ac:dyDescent="0.25">
      <c r="A243" s="117" t="s">
        <v>606</v>
      </c>
      <c r="B243" s="117" t="s">
        <v>275</v>
      </c>
      <c r="C243" s="117">
        <f t="shared" si="12"/>
        <v>4973.5</v>
      </c>
      <c r="D243" s="117">
        <f t="shared" si="13"/>
        <v>3414.25</v>
      </c>
      <c r="E243" s="225">
        <f t="shared" si="14"/>
        <v>803474.98</v>
      </c>
      <c r="F243" s="117">
        <f t="shared" si="15"/>
        <v>1406015.4899999998</v>
      </c>
      <c r="G243" s="117">
        <v>1908</v>
      </c>
      <c r="H243" s="117">
        <v>1909</v>
      </c>
      <c r="I243" s="117">
        <v>7823</v>
      </c>
      <c r="J243" s="117">
        <v>7973</v>
      </c>
      <c r="K243" s="117">
        <v>7916</v>
      </c>
      <c r="L243" s="117">
        <v>6926</v>
      </c>
      <c r="M243" s="117">
        <v>4407</v>
      </c>
      <c r="N243" s="117">
        <v>4412</v>
      </c>
      <c r="O243" s="117">
        <v>1457</v>
      </c>
      <c r="P243" s="117">
        <v>1408</v>
      </c>
      <c r="Q243" s="117">
        <v>1415</v>
      </c>
      <c r="R243" s="117">
        <v>1387</v>
      </c>
      <c r="S243" s="117">
        <v>5096</v>
      </c>
      <c r="T243" s="117">
        <v>4013</v>
      </c>
      <c r="U243" s="117">
        <v>6923</v>
      </c>
      <c r="V243" s="117">
        <v>3632</v>
      </c>
      <c r="W243" s="117">
        <v>4819</v>
      </c>
      <c r="X243" s="117">
        <v>4103</v>
      </c>
      <c r="Y243" s="117">
        <v>3056</v>
      </c>
      <c r="Z243" s="117">
        <v>1909</v>
      </c>
      <c r="AA243" s="117">
        <v>5101</v>
      </c>
      <c r="AB243" s="117">
        <v>5181</v>
      </c>
      <c r="AC243" s="117">
        <v>5258</v>
      </c>
      <c r="AD243" s="117">
        <v>4794</v>
      </c>
      <c r="AE243" s="117">
        <v>6765</v>
      </c>
      <c r="AF243"/>
      <c r="AG243"/>
    </row>
    <row r="244" spans="1:33" ht="13.2" x14ac:dyDescent="0.25">
      <c r="A244" s="117" t="s">
        <v>599</v>
      </c>
      <c r="B244" s="117" t="s">
        <v>444</v>
      </c>
      <c r="C244" s="117">
        <f t="shared" si="12"/>
        <v>4095.25</v>
      </c>
      <c r="D244" s="117">
        <f t="shared" si="13"/>
        <v>5744</v>
      </c>
      <c r="E244" s="225">
        <f t="shared" si="14"/>
        <v>1995698.6</v>
      </c>
      <c r="F244" s="117">
        <f t="shared" si="15"/>
        <v>3492309.3</v>
      </c>
      <c r="G244" s="117">
        <v>6077</v>
      </c>
      <c r="H244" s="117">
        <v>6133</v>
      </c>
      <c r="I244" s="117">
        <v>7948</v>
      </c>
      <c r="J244" s="117">
        <v>8032</v>
      </c>
      <c r="K244" s="117">
        <v>5218</v>
      </c>
      <c r="L244" s="117">
        <v>16254</v>
      </c>
      <c r="M244" s="117">
        <v>7158</v>
      </c>
      <c r="N244" s="117">
        <v>6797</v>
      </c>
      <c r="O244" s="117">
        <v>3834</v>
      </c>
      <c r="P244" s="117">
        <v>3921</v>
      </c>
      <c r="Q244" s="117">
        <v>6870</v>
      </c>
      <c r="R244" s="117">
        <v>4715</v>
      </c>
      <c r="S244" s="117">
        <v>3794</v>
      </c>
      <c r="T244" s="117">
        <v>7961</v>
      </c>
      <c r="U244" s="117">
        <v>5849</v>
      </c>
      <c r="V244" s="117">
        <v>6189</v>
      </c>
      <c r="W244" s="117">
        <v>3761</v>
      </c>
      <c r="X244" s="117">
        <v>2693</v>
      </c>
      <c r="Y244" s="117">
        <v>2977</v>
      </c>
      <c r="Z244" s="117">
        <v>6133</v>
      </c>
      <c r="AA244" s="117">
        <v>12908</v>
      </c>
      <c r="AB244" s="117">
        <v>13040</v>
      </c>
      <c r="AC244" s="117">
        <v>13060</v>
      </c>
      <c r="AD244" s="117">
        <v>23472</v>
      </c>
      <c r="AE244" s="117">
        <v>22166</v>
      </c>
      <c r="AF244"/>
      <c r="AG244"/>
    </row>
    <row r="245" spans="1:33" ht="13.2" x14ac:dyDescent="0.25">
      <c r="A245" s="117" t="s">
        <v>601</v>
      </c>
      <c r="B245" s="117" t="s">
        <v>248</v>
      </c>
      <c r="C245" s="117">
        <f t="shared" si="12"/>
        <v>1134.5</v>
      </c>
      <c r="D245" s="117">
        <f t="shared" si="13"/>
        <v>1007.75</v>
      </c>
      <c r="E245" s="225">
        <f t="shared" si="14"/>
        <v>6675657.6600000001</v>
      </c>
      <c r="F245" s="117">
        <f t="shared" si="15"/>
        <v>11681854.829999998</v>
      </c>
      <c r="G245" s="117">
        <v>814</v>
      </c>
      <c r="H245" s="117">
        <v>757</v>
      </c>
      <c r="I245" s="117">
        <v>2150</v>
      </c>
      <c r="J245" s="117">
        <v>2462</v>
      </c>
      <c r="K245" s="117">
        <v>4560</v>
      </c>
      <c r="L245" s="117">
        <v>4219</v>
      </c>
      <c r="M245" s="117">
        <v>1840</v>
      </c>
      <c r="N245" s="117">
        <v>1958</v>
      </c>
      <c r="O245" s="117">
        <v>1008</v>
      </c>
      <c r="P245" s="117">
        <v>3370</v>
      </c>
      <c r="Q245" s="117">
        <v>1447</v>
      </c>
      <c r="R245" s="117">
        <v>1620</v>
      </c>
      <c r="S245" s="117">
        <v>1216</v>
      </c>
      <c r="T245" s="117">
        <v>660</v>
      </c>
      <c r="U245" s="117">
        <v>1531</v>
      </c>
      <c r="V245" s="117">
        <v>1848</v>
      </c>
      <c r="W245" s="117">
        <v>862</v>
      </c>
      <c r="X245" s="117">
        <v>766</v>
      </c>
      <c r="Y245" s="117">
        <v>929</v>
      </c>
      <c r="Z245" s="117">
        <v>757</v>
      </c>
      <c r="AA245" s="117">
        <v>43650</v>
      </c>
      <c r="AB245" s="117">
        <v>43495</v>
      </c>
      <c r="AC245" s="117">
        <v>43686</v>
      </c>
      <c r="AD245" s="117">
        <v>108779</v>
      </c>
      <c r="AE245" s="117">
        <v>105461</v>
      </c>
      <c r="AF245"/>
      <c r="AG245"/>
    </row>
    <row r="246" spans="1:33" ht="13.2" x14ac:dyDescent="0.25">
      <c r="A246" s="117" t="s">
        <v>606</v>
      </c>
      <c r="B246" s="117" t="s">
        <v>276</v>
      </c>
      <c r="C246" s="117">
        <f t="shared" si="12"/>
        <v>1807.5</v>
      </c>
      <c r="D246" s="117">
        <f t="shared" si="13"/>
        <v>1275.25</v>
      </c>
      <c r="E246" s="225">
        <f t="shared" si="14"/>
        <v>3058033.72</v>
      </c>
      <c r="F246" s="117">
        <f t="shared" si="15"/>
        <v>5351308.8599999994</v>
      </c>
      <c r="G246" s="117">
        <v>1085</v>
      </c>
      <c r="H246" s="117">
        <v>432</v>
      </c>
      <c r="I246" s="117">
        <v>3589</v>
      </c>
      <c r="J246" s="117">
        <v>3727</v>
      </c>
      <c r="K246" s="117">
        <v>3089</v>
      </c>
      <c r="L246" s="117">
        <v>3153</v>
      </c>
      <c r="M246" s="117">
        <v>5737</v>
      </c>
      <c r="N246" s="117">
        <v>2850</v>
      </c>
      <c r="O246" s="117">
        <v>2429</v>
      </c>
      <c r="P246" s="117">
        <v>2073</v>
      </c>
      <c r="Q246" s="117">
        <v>1452</v>
      </c>
      <c r="R246" s="117">
        <v>1448</v>
      </c>
      <c r="S246" s="117">
        <v>1453</v>
      </c>
      <c r="T246" s="117">
        <v>1232</v>
      </c>
      <c r="U246" s="117">
        <v>1235</v>
      </c>
      <c r="V246" s="117">
        <v>831</v>
      </c>
      <c r="W246" s="117">
        <v>3599</v>
      </c>
      <c r="X246" s="117">
        <v>2606</v>
      </c>
      <c r="Y246" s="117">
        <v>943</v>
      </c>
      <c r="Z246" s="117">
        <v>432</v>
      </c>
      <c r="AA246" s="117">
        <v>19590</v>
      </c>
      <c r="AB246" s="117">
        <v>19808</v>
      </c>
      <c r="AC246" s="117">
        <v>20012</v>
      </c>
      <c r="AD246" s="117">
        <v>47315</v>
      </c>
      <c r="AE246" s="117">
        <v>47257</v>
      </c>
      <c r="AF246"/>
      <c r="AG246"/>
    </row>
    <row r="247" spans="1:33" ht="13.2" x14ac:dyDescent="0.25">
      <c r="A247" s="117" t="s">
        <v>603</v>
      </c>
      <c r="B247" s="117" t="s">
        <v>371</v>
      </c>
      <c r="C247" s="117">
        <f t="shared" si="12"/>
        <v>7461</v>
      </c>
      <c r="D247" s="117">
        <f t="shared" si="13"/>
        <v>7725.5</v>
      </c>
      <c r="E247" s="225">
        <f t="shared" si="14"/>
        <v>7068226.5499999998</v>
      </c>
      <c r="F247" s="117">
        <f t="shared" si="15"/>
        <v>12368818.274999999</v>
      </c>
      <c r="G247" s="117">
        <v>10047</v>
      </c>
      <c r="H247" s="117">
        <v>10039</v>
      </c>
      <c r="I247" s="117">
        <v>16601</v>
      </c>
      <c r="J247" s="117">
        <v>16900</v>
      </c>
      <c r="K247" s="117">
        <v>7928</v>
      </c>
      <c r="L247" s="117">
        <v>6043</v>
      </c>
      <c r="M247" s="117">
        <v>6688</v>
      </c>
      <c r="N247" s="117">
        <v>7581</v>
      </c>
      <c r="O247" s="117">
        <v>4914</v>
      </c>
      <c r="P247" s="117">
        <v>4932</v>
      </c>
      <c r="Q247" s="117">
        <v>9147</v>
      </c>
      <c r="R247" s="117">
        <v>9773</v>
      </c>
      <c r="S247" s="117">
        <v>9378</v>
      </c>
      <c r="T247" s="117">
        <v>8984</v>
      </c>
      <c r="U247" s="117">
        <v>5866</v>
      </c>
      <c r="V247" s="117">
        <v>6491</v>
      </c>
      <c r="W247" s="117">
        <v>7108</v>
      </c>
      <c r="X247" s="117">
        <v>5388</v>
      </c>
      <c r="Y247" s="117">
        <v>7492</v>
      </c>
      <c r="Z247" s="117">
        <v>10039</v>
      </c>
      <c r="AA247" s="117">
        <v>45411</v>
      </c>
      <c r="AB247" s="117">
        <v>45797</v>
      </c>
      <c r="AC247" s="117">
        <v>46255</v>
      </c>
      <c r="AD247" s="117">
        <v>92960</v>
      </c>
      <c r="AE247" s="117">
        <v>96775</v>
      </c>
      <c r="AF247"/>
      <c r="AG247"/>
    </row>
    <row r="248" spans="1:33" ht="13.2" x14ac:dyDescent="0.25">
      <c r="A248" s="117" t="s">
        <v>604</v>
      </c>
      <c r="B248" s="117" t="s">
        <v>201</v>
      </c>
      <c r="C248" s="117">
        <f t="shared" si="12"/>
        <v>4770.75</v>
      </c>
      <c r="D248" s="117">
        <f t="shared" si="13"/>
        <v>4206.75</v>
      </c>
      <c r="E248" s="225">
        <f t="shared" si="14"/>
        <v>5852011.7599999998</v>
      </c>
      <c r="F248" s="117">
        <f t="shared" si="15"/>
        <v>10240541.879999999</v>
      </c>
      <c r="G248" s="117">
        <v>453</v>
      </c>
      <c r="H248" s="117">
        <v>380</v>
      </c>
      <c r="I248" s="117">
        <v>7481</v>
      </c>
      <c r="J248" s="117">
        <v>8671</v>
      </c>
      <c r="K248" s="117">
        <v>2423</v>
      </c>
      <c r="L248" s="117">
        <v>1935</v>
      </c>
      <c r="M248" s="117">
        <v>1284</v>
      </c>
      <c r="N248" s="117">
        <v>2441</v>
      </c>
      <c r="O248" s="117">
        <v>2362</v>
      </c>
      <c r="P248" s="117">
        <v>2471</v>
      </c>
      <c r="Q248" s="117">
        <v>1543</v>
      </c>
      <c r="R248" s="117">
        <v>879</v>
      </c>
      <c r="S248" s="117">
        <v>8412</v>
      </c>
      <c r="T248" s="117">
        <v>8337</v>
      </c>
      <c r="U248" s="117">
        <v>5969</v>
      </c>
      <c r="V248" s="117">
        <v>5378</v>
      </c>
      <c r="W248" s="117">
        <v>4051</v>
      </c>
      <c r="X248" s="117">
        <v>2732</v>
      </c>
      <c r="Y248" s="117">
        <v>651</v>
      </c>
      <c r="Z248" s="117">
        <v>380</v>
      </c>
      <c r="AA248" s="117">
        <v>37979</v>
      </c>
      <c r="AB248" s="117">
        <v>38102</v>
      </c>
      <c r="AC248" s="117">
        <v>38296</v>
      </c>
      <c r="AD248" s="117">
        <v>96002</v>
      </c>
      <c r="AE248" s="117">
        <v>96930</v>
      </c>
      <c r="AF248"/>
      <c r="AG248"/>
    </row>
    <row r="249" spans="1:33" ht="13.2" x14ac:dyDescent="0.25">
      <c r="A249" s="117" t="s">
        <v>603</v>
      </c>
      <c r="B249" s="117" t="s">
        <v>372</v>
      </c>
      <c r="C249" s="117">
        <f t="shared" si="12"/>
        <v>32498.5</v>
      </c>
      <c r="D249" s="117">
        <f t="shared" si="13"/>
        <v>34605.5</v>
      </c>
      <c r="E249" s="225">
        <f t="shared" si="14"/>
        <v>8173195.6600000001</v>
      </c>
      <c r="F249" s="117">
        <f t="shared" si="15"/>
        <v>14302423.829999998</v>
      </c>
      <c r="G249" s="117">
        <v>47361</v>
      </c>
      <c r="H249" s="117">
        <v>47152</v>
      </c>
      <c r="I249" s="117">
        <v>23512</v>
      </c>
      <c r="J249" s="117">
        <v>24240</v>
      </c>
      <c r="K249" s="117">
        <v>28603</v>
      </c>
      <c r="L249" s="117">
        <v>28720</v>
      </c>
      <c r="M249" s="117">
        <v>16970</v>
      </c>
      <c r="N249" s="117">
        <v>25081</v>
      </c>
      <c r="O249" s="117">
        <v>34869</v>
      </c>
      <c r="P249" s="117">
        <v>36276</v>
      </c>
      <c r="Q249" s="117">
        <v>17485</v>
      </c>
      <c r="R249" s="117">
        <v>18162</v>
      </c>
      <c r="S249" s="117">
        <v>26970</v>
      </c>
      <c r="T249" s="117">
        <v>28087</v>
      </c>
      <c r="U249" s="117">
        <v>28091</v>
      </c>
      <c r="V249" s="117">
        <v>28761</v>
      </c>
      <c r="W249" s="117">
        <v>35908</v>
      </c>
      <c r="X249" s="117">
        <v>34422</v>
      </c>
      <c r="Y249" s="117">
        <v>39025</v>
      </c>
      <c r="Z249" s="117">
        <v>47152</v>
      </c>
      <c r="AA249" s="117">
        <v>51009</v>
      </c>
      <c r="AB249" s="117">
        <v>52197</v>
      </c>
      <c r="AC249" s="117">
        <v>53486</v>
      </c>
      <c r="AD249" s="117">
        <v>144682</v>
      </c>
      <c r="AE249" s="117">
        <v>133750</v>
      </c>
      <c r="AF249"/>
      <c r="AG249"/>
    </row>
    <row r="250" spans="1:33" ht="13.2" x14ac:dyDescent="0.25">
      <c r="A250" s="117" t="s">
        <v>608</v>
      </c>
      <c r="B250" s="117" t="s">
        <v>482</v>
      </c>
      <c r="C250" s="117">
        <f t="shared" si="12"/>
        <v>511.75</v>
      </c>
      <c r="D250" s="117">
        <f t="shared" si="13"/>
        <v>224.25</v>
      </c>
      <c r="E250" s="225">
        <f t="shared" si="14"/>
        <v>3150330.96</v>
      </c>
      <c r="F250" s="117">
        <f t="shared" si="15"/>
        <v>5512821.4799999995</v>
      </c>
      <c r="G250" s="117">
        <v>1050</v>
      </c>
      <c r="H250" s="117">
        <v>306</v>
      </c>
      <c r="I250" s="117">
        <v>760</v>
      </c>
      <c r="J250" s="117">
        <v>2183</v>
      </c>
      <c r="K250" s="117">
        <v>3277</v>
      </c>
      <c r="L250" s="117">
        <v>2815</v>
      </c>
      <c r="M250" s="117">
        <v>2023</v>
      </c>
      <c r="N250" s="117">
        <v>123</v>
      </c>
      <c r="O250" s="117">
        <v>20</v>
      </c>
      <c r="P250" s="117">
        <v>21</v>
      </c>
      <c r="Q250" s="117">
        <v>1158</v>
      </c>
      <c r="R250" s="117">
        <v>235</v>
      </c>
      <c r="S250" s="117">
        <v>198</v>
      </c>
      <c r="T250" s="117">
        <v>-3</v>
      </c>
      <c r="U250" s="117">
        <v>565</v>
      </c>
      <c r="V250" s="117">
        <v>565</v>
      </c>
      <c r="W250" s="117">
        <v>368</v>
      </c>
      <c r="X250" s="117">
        <v>29</v>
      </c>
      <c r="Y250" s="117">
        <v>916</v>
      </c>
      <c r="Z250" s="117">
        <v>306</v>
      </c>
      <c r="AA250" s="117">
        <v>20692</v>
      </c>
      <c r="AB250" s="117">
        <v>20729</v>
      </c>
      <c r="AC250" s="117">
        <v>20616</v>
      </c>
      <c r="AD250" s="117">
        <v>38560</v>
      </c>
      <c r="AE250" s="117">
        <v>39408</v>
      </c>
      <c r="AF250"/>
      <c r="AG250"/>
    </row>
    <row r="251" spans="1:33" ht="13.2" x14ac:dyDescent="0.25">
      <c r="A251" s="117" t="s">
        <v>608</v>
      </c>
      <c r="B251" s="117" t="s">
        <v>483</v>
      </c>
      <c r="C251" s="117">
        <f t="shared" si="12"/>
        <v>5601.25</v>
      </c>
      <c r="D251" s="117">
        <f t="shared" si="13"/>
        <v>6064.25</v>
      </c>
      <c r="E251" s="225">
        <f t="shared" si="14"/>
        <v>8892625.1400000006</v>
      </c>
      <c r="F251" s="117">
        <f t="shared" si="15"/>
        <v>15561366.569999998</v>
      </c>
      <c r="G251" s="117">
        <v>0</v>
      </c>
      <c r="H251" s="117">
        <v>0</v>
      </c>
      <c r="I251" s="117">
        <v>16264</v>
      </c>
      <c r="J251" s="117">
        <v>15272</v>
      </c>
      <c r="K251" s="117">
        <v>4724</v>
      </c>
      <c r="L251" s="117">
        <v>3731</v>
      </c>
      <c r="M251" s="117">
        <v>6538</v>
      </c>
      <c r="N251" s="117">
        <v>6672</v>
      </c>
      <c r="O251" s="117">
        <v>3628</v>
      </c>
      <c r="P251" s="117">
        <v>4460</v>
      </c>
      <c r="Q251" s="117">
        <v>2984</v>
      </c>
      <c r="R251" s="117">
        <v>3508</v>
      </c>
      <c r="S251" s="117">
        <v>21667</v>
      </c>
      <c r="T251" s="117">
        <v>23253</v>
      </c>
      <c r="U251" s="117">
        <v>61</v>
      </c>
      <c r="V251" s="117">
        <v>719</v>
      </c>
      <c r="W251" s="117">
        <v>283</v>
      </c>
      <c r="X251" s="117">
        <v>285</v>
      </c>
      <c r="Y251" s="117">
        <v>394</v>
      </c>
      <c r="Z251" s="117">
        <v>0</v>
      </c>
      <c r="AA251" s="117">
        <v>57419</v>
      </c>
      <c r="AB251" s="117">
        <v>57805</v>
      </c>
      <c r="AC251" s="117">
        <v>58194</v>
      </c>
      <c r="AD251" s="117">
        <v>169146</v>
      </c>
      <c r="AE251" s="117">
        <v>161397</v>
      </c>
      <c r="AF251"/>
      <c r="AG251"/>
    </row>
    <row r="252" spans="1:33" ht="13.2" x14ac:dyDescent="0.25">
      <c r="A252" s="117" t="s">
        <v>599</v>
      </c>
      <c r="B252" s="117" t="s">
        <v>445</v>
      </c>
      <c r="C252" s="117">
        <f t="shared" si="12"/>
        <v>6354.5</v>
      </c>
      <c r="D252" s="117">
        <f t="shared" si="13"/>
        <v>7296.5</v>
      </c>
      <c r="E252" s="225">
        <f t="shared" si="14"/>
        <v>11777372.32</v>
      </c>
      <c r="F252" s="117">
        <f t="shared" si="15"/>
        <v>20609438.159999996</v>
      </c>
      <c r="G252" s="117">
        <v>0</v>
      </c>
      <c r="H252" s="117">
        <v>0</v>
      </c>
      <c r="I252" s="117">
        <v>28334</v>
      </c>
      <c r="J252" s="117">
        <v>34960</v>
      </c>
      <c r="K252" s="117">
        <v>29789</v>
      </c>
      <c r="L252" s="117">
        <v>29229</v>
      </c>
      <c r="M252" s="117">
        <v>38847</v>
      </c>
      <c r="N252" s="117">
        <v>40522</v>
      </c>
      <c r="O252" s="117">
        <v>53970</v>
      </c>
      <c r="P252" s="117">
        <v>55309</v>
      </c>
      <c r="Q252" s="117">
        <v>7804</v>
      </c>
      <c r="R252" s="117">
        <v>9740</v>
      </c>
      <c r="S252" s="117">
        <v>14435</v>
      </c>
      <c r="T252" s="117">
        <v>17669</v>
      </c>
      <c r="U252" s="117">
        <v>10983</v>
      </c>
      <c r="V252" s="117">
        <v>11517</v>
      </c>
      <c r="W252" s="117">
        <v>0</v>
      </c>
      <c r="X252" s="117">
        <v>0</v>
      </c>
      <c r="Y252" s="117">
        <v>0</v>
      </c>
      <c r="Z252" s="117">
        <v>0</v>
      </c>
      <c r="AA252" s="117">
        <v>77189</v>
      </c>
      <c r="AB252" s="117">
        <v>76972</v>
      </c>
      <c r="AC252" s="117">
        <v>77072</v>
      </c>
      <c r="AD252" s="117">
        <v>149366</v>
      </c>
      <c r="AE252" s="117">
        <v>142373</v>
      </c>
      <c r="AF252"/>
      <c r="AG252"/>
    </row>
    <row r="253" spans="1:33" ht="13.2" x14ac:dyDescent="0.25">
      <c r="A253" s="117" t="s">
        <v>603</v>
      </c>
      <c r="B253" s="117" t="s">
        <v>373</v>
      </c>
      <c r="C253" s="117">
        <f t="shared" si="12"/>
        <v>90997.5</v>
      </c>
      <c r="D253" s="117">
        <f t="shared" si="13"/>
        <v>66942</v>
      </c>
      <c r="E253" s="225">
        <f t="shared" si="14"/>
        <v>98490170.870000005</v>
      </c>
      <c r="F253" s="117">
        <f t="shared" si="15"/>
        <v>172349742.43499997</v>
      </c>
      <c r="G253" s="117">
        <v>63359</v>
      </c>
      <c r="H253" s="117">
        <v>59188</v>
      </c>
      <c r="I253" s="117">
        <v>218502</v>
      </c>
      <c r="J253" s="117">
        <v>381402</v>
      </c>
      <c r="K253" s="117">
        <v>199123</v>
      </c>
      <c r="L253" s="117">
        <v>136469</v>
      </c>
      <c r="M253" s="117">
        <v>283572</v>
      </c>
      <c r="N253" s="117">
        <v>307703</v>
      </c>
      <c r="O253" s="117">
        <v>200258</v>
      </c>
      <c r="P253" s="117">
        <v>203304</v>
      </c>
      <c r="Q253" s="117">
        <v>111946</v>
      </c>
      <c r="R253" s="117">
        <v>134192</v>
      </c>
      <c r="S253" s="117">
        <v>75574</v>
      </c>
      <c r="T253" s="117">
        <v>35465</v>
      </c>
      <c r="U253" s="117">
        <v>135398</v>
      </c>
      <c r="V253" s="117">
        <v>122176</v>
      </c>
      <c r="W253" s="117">
        <v>82722</v>
      </c>
      <c r="X253" s="117">
        <v>50939</v>
      </c>
      <c r="Y253" s="117">
        <v>70296</v>
      </c>
      <c r="Z253" s="117">
        <v>59188</v>
      </c>
      <c r="AA253" s="117">
        <v>638221</v>
      </c>
      <c r="AB253" s="117">
        <v>638751</v>
      </c>
      <c r="AC253" s="117">
        <v>644527</v>
      </c>
      <c r="AD253" s="117">
        <v>2526343</v>
      </c>
      <c r="AE253" s="117">
        <v>2550016</v>
      </c>
      <c r="AF253"/>
      <c r="AG253"/>
    </row>
    <row r="254" spans="1:33" ht="13.2" x14ac:dyDescent="0.25">
      <c r="A254" s="117" t="s">
        <v>601</v>
      </c>
      <c r="B254" s="117" t="s">
        <v>250</v>
      </c>
      <c r="C254" s="117">
        <f t="shared" si="12"/>
        <v>1944.5</v>
      </c>
      <c r="D254" s="117">
        <f t="shared" si="13"/>
        <v>1110.25</v>
      </c>
      <c r="E254" s="225">
        <f t="shared" si="14"/>
        <v>252747.74</v>
      </c>
      <c r="F254" s="117">
        <f t="shared" si="15"/>
        <v>442287.86999999994</v>
      </c>
      <c r="G254" s="117">
        <v>878</v>
      </c>
      <c r="H254" s="117">
        <v>878</v>
      </c>
      <c r="I254" s="117">
        <v>0</v>
      </c>
      <c r="J254" s="117">
        <v>2</v>
      </c>
      <c r="K254" s="117">
        <v>5</v>
      </c>
      <c r="L254" s="117">
        <v>2</v>
      </c>
      <c r="M254" s="117">
        <v>0</v>
      </c>
      <c r="N254" s="117">
        <v>6</v>
      </c>
      <c r="O254" s="117">
        <v>221</v>
      </c>
      <c r="P254" s="117">
        <v>222</v>
      </c>
      <c r="Q254" s="117">
        <v>256</v>
      </c>
      <c r="R254" s="117">
        <v>255</v>
      </c>
      <c r="S254" s="117">
        <v>549</v>
      </c>
      <c r="T254" s="117">
        <v>550</v>
      </c>
      <c r="U254" s="117">
        <v>1948</v>
      </c>
      <c r="V254" s="117">
        <v>1952</v>
      </c>
      <c r="W254" s="117">
        <v>3223</v>
      </c>
      <c r="X254" s="117">
        <v>1061</v>
      </c>
      <c r="Y254" s="117">
        <v>2058</v>
      </c>
      <c r="Z254" s="117">
        <v>878</v>
      </c>
      <c r="AA254" s="117">
        <v>1495</v>
      </c>
      <c r="AB254" s="117">
        <v>1577</v>
      </c>
      <c r="AC254" s="117">
        <v>1654</v>
      </c>
      <c r="AD254" s="117">
        <v>349</v>
      </c>
      <c r="AE254" s="117">
        <v>388</v>
      </c>
      <c r="AF254"/>
      <c r="AG254"/>
    </row>
    <row r="255" spans="1:33" ht="13.2" x14ac:dyDescent="0.25">
      <c r="A255" s="117" t="s">
        <v>608</v>
      </c>
      <c r="B255" s="117" t="s">
        <v>446</v>
      </c>
      <c r="C255" s="117">
        <f t="shared" si="12"/>
        <v>3310.75</v>
      </c>
      <c r="D255" s="117">
        <f t="shared" si="13"/>
        <v>2711.5</v>
      </c>
      <c r="E255" s="225">
        <f t="shared" si="14"/>
        <v>3451213.85</v>
      </c>
      <c r="F255" s="117">
        <f t="shared" si="15"/>
        <v>6039341.9249999998</v>
      </c>
      <c r="G255" s="117">
        <v>696</v>
      </c>
      <c r="H255" s="117">
        <v>915</v>
      </c>
      <c r="I255" s="117">
        <v>6180</v>
      </c>
      <c r="J255" s="117">
        <v>4567</v>
      </c>
      <c r="K255" s="117">
        <v>5987</v>
      </c>
      <c r="L255" s="117">
        <v>5547</v>
      </c>
      <c r="M255" s="117">
        <v>3040</v>
      </c>
      <c r="N255" s="117">
        <v>2380</v>
      </c>
      <c r="O255" s="117">
        <v>1601</v>
      </c>
      <c r="P255" s="117">
        <v>3010</v>
      </c>
      <c r="Q255" s="117">
        <v>1963</v>
      </c>
      <c r="R255" s="117">
        <v>3247</v>
      </c>
      <c r="S255" s="117">
        <v>2051</v>
      </c>
      <c r="T255" s="117">
        <v>1860</v>
      </c>
      <c r="U255" s="117">
        <v>6287</v>
      </c>
      <c r="V255" s="117">
        <v>6172</v>
      </c>
      <c r="W255" s="117">
        <v>2514</v>
      </c>
      <c r="X255" s="117">
        <v>1899</v>
      </c>
      <c r="Y255" s="117">
        <v>2391</v>
      </c>
      <c r="Z255" s="117">
        <v>915</v>
      </c>
      <c r="AA255" s="117">
        <v>22333</v>
      </c>
      <c r="AB255" s="117">
        <v>22404</v>
      </c>
      <c r="AC255" s="117">
        <v>22585</v>
      </c>
      <c r="AD255" s="117">
        <v>57886</v>
      </c>
      <c r="AE255" s="117">
        <v>63753</v>
      </c>
      <c r="AF255"/>
      <c r="AG255"/>
    </row>
    <row r="256" spans="1:33" ht="13.2" x14ac:dyDescent="0.25">
      <c r="A256" s="117" t="s">
        <v>600</v>
      </c>
      <c r="B256" s="117" t="s">
        <v>320</v>
      </c>
      <c r="C256" s="117">
        <f t="shared" si="12"/>
        <v>6589.25</v>
      </c>
      <c r="D256" s="117">
        <f t="shared" si="13"/>
        <v>6333.75</v>
      </c>
      <c r="E256" s="225">
        <f t="shared" si="14"/>
        <v>7115292.0300000003</v>
      </c>
      <c r="F256" s="117">
        <f t="shared" si="15"/>
        <v>12451179.014999999</v>
      </c>
      <c r="G256" s="117">
        <v>4300</v>
      </c>
      <c r="H256" s="117">
        <v>4300</v>
      </c>
      <c r="I256" s="117">
        <v>5436</v>
      </c>
      <c r="J256" s="117">
        <v>5295</v>
      </c>
      <c r="K256" s="117">
        <v>6944</v>
      </c>
      <c r="L256" s="117">
        <v>7308</v>
      </c>
      <c r="M256" s="117">
        <v>7750</v>
      </c>
      <c r="N256" s="117">
        <v>19147</v>
      </c>
      <c r="O256" s="117">
        <v>1765</v>
      </c>
      <c r="P256" s="117">
        <v>2639</v>
      </c>
      <c r="Q256" s="117">
        <v>6375</v>
      </c>
      <c r="R256" s="117">
        <v>7924</v>
      </c>
      <c r="S256" s="117">
        <v>15455</v>
      </c>
      <c r="T256" s="117">
        <v>14313</v>
      </c>
      <c r="U256" s="117">
        <v>6060</v>
      </c>
      <c r="V256" s="117">
        <v>2840</v>
      </c>
      <c r="W256" s="117">
        <v>4323</v>
      </c>
      <c r="X256" s="117">
        <v>3882</v>
      </c>
      <c r="Y256" s="117">
        <v>519</v>
      </c>
      <c r="Z256" s="117">
        <v>4300</v>
      </c>
      <c r="AA256" s="117">
        <v>46197</v>
      </c>
      <c r="AB256" s="117">
        <v>46380</v>
      </c>
      <c r="AC256" s="117">
        <v>46563</v>
      </c>
      <c r="AD256" s="117">
        <v>97587</v>
      </c>
      <c r="AE256" s="117">
        <v>112005</v>
      </c>
      <c r="AF256"/>
      <c r="AG256"/>
    </row>
    <row r="257" spans="1:33" ht="13.2" x14ac:dyDescent="0.25">
      <c r="A257" s="117" t="s">
        <v>601</v>
      </c>
      <c r="B257" s="117" t="s">
        <v>251</v>
      </c>
      <c r="C257" s="117">
        <f t="shared" si="12"/>
        <v>3529.5</v>
      </c>
      <c r="D257" s="117">
        <f t="shared" si="13"/>
        <v>2116.5</v>
      </c>
      <c r="E257" s="225">
        <f t="shared" si="14"/>
        <v>1508845.94</v>
      </c>
      <c r="F257" s="117">
        <f t="shared" si="15"/>
        <v>2640356.9699999997</v>
      </c>
      <c r="G257" s="117">
        <v>396</v>
      </c>
      <c r="H257" s="117">
        <v>395</v>
      </c>
      <c r="I257" s="117">
        <v>1259</v>
      </c>
      <c r="J257" s="117">
        <v>1259</v>
      </c>
      <c r="K257" s="117">
        <v>295</v>
      </c>
      <c r="L257" s="117">
        <v>297</v>
      </c>
      <c r="M257" s="117">
        <v>413</v>
      </c>
      <c r="N257" s="117">
        <v>414</v>
      </c>
      <c r="O257" s="117">
        <v>534</v>
      </c>
      <c r="P257" s="117">
        <v>2598</v>
      </c>
      <c r="Q257" s="117">
        <v>2290</v>
      </c>
      <c r="R257" s="117">
        <v>1621</v>
      </c>
      <c r="S257" s="117">
        <v>5302</v>
      </c>
      <c r="T257" s="117">
        <v>4348</v>
      </c>
      <c r="U257" s="117">
        <v>4274</v>
      </c>
      <c r="V257" s="117">
        <v>3100</v>
      </c>
      <c r="W257" s="117">
        <v>507</v>
      </c>
      <c r="X257" s="117">
        <v>623</v>
      </c>
      <c r="Y257" s="117">
        <v>4035</v>
      </c>
      <c r="Z257" s="117">
        <v>395</v>
      </c>
      <c r="AA257" s="117">
        <v>9701</v>
      </c>
      <c r="AB257" s="117">
        <v>9754</v>
      </c>
      <c r="AC257" s="117">
        <v>9874</v>
      </c>
      <c r="AD257" s="117">
        <v>19453</v>
      </c>
      <c r="AE257" s="117">
        <v>17962</v>
      </c>
      <c r="AF257"/>
      <c r="AG257"/>
    </row>
    <row r="258" spans="1:33" ht="13.2" x14ac:dyDescent="0.25">
      <c r="A258" s="117" t="s">
        <v>603</v>
      </c>
      <c r="B258" s="117" t="s">
        <v>374</v>
      </c>
      <c r="C258" s="117">
        <f t="shared" si="12"/>
        <v>19721</v>
      </c>
      <c r="D258" s="117">
        <f t="shared" si="13"/>
        <v>19175.75</v>
      </c>
      <c r="E258" s="225">
        <f t="shared" si="14"/>
        <v>11933544.140000001</v>
      </c>
      <c r="F258" s="117">
        <f t="shared" si="15"/>
        <v>20882726.069999997</v>
      </c>
      <c r="G258" s="117">
        <v>4204</v>
      </c>
      <c r="H258" s="117">
        <v>5437</v>
      </c>
      <c r="I258" s="117">
        <v>37591</v>
      </c>
      <c r="J258" s="117">
        <v>28160</v>
      </c>
      <c r="K258" s="117">
        <v>24649</v>
      </c>
      <c r="L258" s="117">
        <v>29826</v>
      </c>
      <c r="M258" s="117">
        <v>72894</v>
      </c>
      <c r="N258" s="117">
        <v>36744</v>
      </c>
      <c r="O258" s="117">
        <v>29277</v>
      </c>
      <c r="P258" s="117">
        <v>29700</v>
      </c>
      <c r="Q258" s="117">
        <v>32407</v>
      </c>
      <c r="R258" s="117">
        <v>28123</v>
      </c>
      <c r="S258" s="117">
        <v>36752</v>
      </c>
      <c r="T258" s="117">
        <v>31059</v>
      </c>
      <c r="U258" s="117">
        <v>27198</v>
      </c>
      <c r="V258" s="117">
        <v>31139</v>
      </c>
      <c r="W258" s="117">
        <v>9727</v>
      </c>
      <c r="X258" s="117">
        <v>9068</v>
      </c>
      <c r="Y258" s="117">
        <v>5207</v>
      </c>
      <c r="Z258" s="117">
        <v>5437</v>
      </c>
      <c r="AA258" s="117">
        <v>77859</v>
      </c>
      <c r="AB258" s="117">
        <v>77917</v>
      </c>
      <c r="AC258" s="117">
        <v>78094</v>
      </c>
      <c r="AD258" s="117">
        <v>500120</v>
      </c>
      <c r="AE258" s="117">
        <v>489859</v>
      </c>
      <c r="AF258"/>
      <c r="AG258"/>
    </row>
    <row r="259" spans="1:33" ht="13.2" x14ac:dyDescent="0.25">
      <c r="A259" s="117" t="s">
        <v>602</v>
      </c>
      <c r="B259" s="117" t="s">
        <v>179</v>
      </c>
      <c r="C259" s="117">
        <f t="shared" ref="C259:C322" si="16">SUM(S259,U259,W259,Y259)/4</f>
        <v>12.25</v>
      </c>
      <c r="D259" s="117">
        <f t="shared" ref="D259:D322" si="17">SUM(T259,V259,X259,Z259)/4</f>
        <v>22.5</v>
      </c>
      <c r="E259" s="225">
        <f t="shared" ref="E259:E322" si="18">AC259*152.81</f>
        <v>143030.16</v>
      </c>
      <c r="F259" s="117">
        <f t="shared" ref="F259:F322" si="19">AC259*$AF$3</f>
        <v>250291.08</v>
      </c>
      <c r="G259" s="117">
        <v>0</v>
      </c>
      <c r="H259" s="117">
        <v>0</v>
      </c>
      <c r="I259" s="117">
        <v>350</v>
      </c>
      <c r="J259" s="117">
        <v>300</v>
      </c>
      <c r="K259" s="117">
        <v>55</v>
      </c>
      <c r="L259" s="117">
        <v>14</v>
      </c>
      <c r="M259" s="117">
        <v>0</v>
      </c>
      <c r="N259" s="117">
        <v>0</v>
      </c>
      <c r="O259" s="117">
        <v>20</v>
      </c>
      <c r="P259" s="117">
        <v>38</v>
      </c>
      <c r="Q259" s="117">
        <v>0</v>
      </c>
      <c r="R259" s="117">
        <v>0</v>
      </c>
      <c r="S259" s="117">
        <v>3</v>
      </c>
      <c r="T259" s="117">
        <v>12</v>
      </c>
      <c r="U259" s="117">
        <v>28</v>
      </c>
      <c r="V259" s="117">
        <v>52</v>
      </c>
      <c r="W259" s="117">
        <v>18</v>
      </c>
      <c r="X259" s="117">
        <v>26</v>
      </c>
      <c r="Y259" s="117">
        <v>0</v>
      </c>
      <c r="Z259" s="117">
        <v>0</v>
      </c>
      <c r="AA259" s="117">
        <v>941</v>
      </c>
      <c r="AB259" s="117">
        <v>933</v>
      </c>
      <c r="AC259" s="117">
        <v>936</v>
      </c>
      <c r="AD259" s="117">
        <v>7991</v>
      </c>
      <c r="AE259" s="117">
        <v>6379</v>
      </c>
      <c r="AF259"/>
      <c r="AG259"/>
    </row>
    <row r="260" spans="1:33" ht="13.2" x14ac:dyDescent="0.25">
      <c r="A260" s="117" t="s">
        <v>610</v>
      </c>
      <c r="B260" s="117" t="s">
        <v>396</v>
      </c>
      <c r="C260" s="117">
        <f t="shared" si="16"/>
        <v>2510</v>
      </c>
      <c r="D260" s="117">
        <f t="shared" si="17"/>
        <v>1734.75</v>
      </c>
      <c r="E260" s="225">
        <f t="shared" si="18"/>
        <v>5163297.09</v>
      </c>
      <c r="F260" s="117">
        <f t="shared" si="19"/>
        <v>9035347.5449999999</v>
      </c>
      <c r="G260" s="117">
        <v>686</v>
      </c>
      <c r="H260" s="117">
        <v>535</v>
      </c>
      <c r="I260" s="117">
        <v>5337</v>
      </c>
      <c r="J260" s="117">
        <v>5131</v>
      </c>
      <c r="K260" s="117">
        <v>7387</v>
      </c>
      <c r="L260" s="117">
        <v>6404</v>
      </c>
      <c r="M260" s="117">
        <v>972</v>
      </c>
      <c r="N260" s="117">
        <v>4422</v>
      </c>
      <c r="O260" s="117">
        <v>3870</v>
      </c>
      <c r="P260" s="117">
        <v>6640</v>
      </c>
      <c r="Q260" s="117">
        <v>6761</v>
      </c>
      <c r="R260" s="117">
        <v>6328</v>
      </c>
      <c r="S260" s="117">
        <v>1927</v>
      </c>
      <c r="T260" s="117">
        <v>1985</v>
      </c>
      <c r="U260" s="117">
        <v>4625</v>
      </c>
      <c r="V260" s="117">
        <v>3887</v>
      </c>
      <c r="W260" s="117">
        <v>2540</v>
      </c>
      <c r="X260" s="117">
        <v>532</v>
      </c>
      <c r="Y260" s="117">
        <v>948</v>
      </c>
      <c r="Z260" s="117">
        <v>535</v>
      </c>
      <c r="AA260" s="117">
        <v>33759</v>
      </c>
      <c r="AB260" s="117">
        <v>33694</v>
      </c>
      <c r="AC260" s="117">
        <v>33789</v>
      </c>
      <c r="AD260" s="117">
        <v>96476</v>
      </c>
      <c r="AE260" s="117">
        <v>97865</v>
      </c>
      <c r="AF260"/>
      <c r="AG260"/>
    </row>
    <row r="261" spans="1:33" ht="13.2" x14ac:dyDescent="0.25">
      <c r="A261" s="117" t="s">
        <v>603</v>
      </c>
      <c r="B261" s="117" t="s">
        <v>511</v>
      </c>
      <c r="C261" s="117">
        <f t="shared" si="16"/>
        <v>72005.25</v>
      </c>
      <c r="D261" s="117">
        <f t="shared" si="17"/>
        <v>78007</v>
      </c>
      <c r="E261" s="225">
        <f t="shared" si="18"/>
        <v>82209946.280000001</v>
      </c>
      <c r="F261" s="117">
        <f t="shared" si="19"/>
        <v>143860681.13999999</v>
      </c>
      <c r="G261" s="117">
        <v>59673</v>
      </c>
      <c r="H261" s="117">
        <v>62341</v>
      </c>
      <c r="I261" s="117">
        <v>231879</v>
      </c>
      <c r="J261" s="117">
        <v>283837</v>
      </c>
      <c r="K261" s="117">
        <v>97451</v>
      </c>
      <c r="L261" s="117">
        <v>150573</v>
      </c>
      <c r="M261" s="117">
        <v>42070</v>
      </c>
      <c r="N261" s="117">
        <v>49407</v>
      </c>
      <c r="O261" s="117">
        <v>133714</v>
      </c>
      <c r="P261" s="117">
        <v>158354</v>
      </c>
      <c r="Q261" s="117">
        <v>73240</v>
      </c>
      <c r="R261" s="117">
        <v>92628</v>
      </c>
      <c r="S261" s="117">
        <v>89095</v>
      </c>
      <c r="T261" s="117">
        <v>90972</v>
      </c>
      <c r="U261" s="117">
        <v>70740</v>
      </c>
      <c r="V261" s="117">
        <v>81491</v>
      </c>
      <c r="W261" s="117">
        <v>76232</v>
      </c>
      <c r="X261" s="117">
        <v>77224</v>
      </c>
      <c r="Y261" s="117">
        <v>51954</v>
      </c>
      <c r="Z261" s="117">
        <v>62341</v>
      </c>
      <c r="AA261" s="117">
        <v>524305</v>
      </c>
      <c r="AB261" s="117">
        <v>531935</v>
      </c>
      <c r="AC261" s="117">
        <v>537988</v>
      </c>
      <c r="AD261" s="117">
        <v>1433078</v>
      </c>
      <c r="AE261" s="117">
        <v>1392705</v>
      </c>
      <c r="AF261"/>
      <c r="AG261"/>
    </row>
    <row r="262" spans="1:33" ht="13.2" x14ac:dyDescent="0.25">
      <c r="A262" s="117" t="s">
        <v>599</v>
      </c>
      <c r="B262" s="117" t="s">
        <v>551</v>
      </c>
      <c r="C262" s="117">
        <f t="shared" si="16"/>
        <v>45286.5</v>
      </c>
      <c r="D262" s="117">
        <f t="shared" si="17"/>
        <v>36043.75</v>
      </c>
      <c r="E262" s="225">
        <f t="shared" si="18"/>
        <v>23568039.109999999</v>
      </c>
      <c r="F262" s="117">
        <f t="shared" si="19"/>
        <v>41242140.554999992</v>
      </c>
      <c r="G262" s="117">
        <v>27004</v>
      </c>
      <c r="H262" s="117">
        <v>28200</v>
      </c>
      <c r="I262" s="117">
        <v>48681.428925912798</v>
      </c>
      <c r="J262" s="117">
        <v>46962.585962424673</v>
      </c>
      <c r="K262" s="117">
        <v>51215.391705069123</v>
      </c>
      <c r="L262" s="117">
        <v>53943.05281814959</v>
      </c>
      <c r="M262" s="117">
        <v>43110.174760723152</v>
      </c>
      <c r="N262" s="117">
        <v>50800.778092874869</v>
      </c>
      <c r="O262" s="117">
        <v>29602.707904998228</v>
      </c>
      <c r="P262" s="117">
        <v>32071.861042183624</v>
      </c>
      <c r="Q262" s="117">
        <v>36619.441881100269</v>
      </c>
      <c r="R262" s="117">
        <v>42891.483584738242</v>
      </c>
      <c r="S262" s="117">
        <v>21650</v>
      </c>
      <c r="T262" s="117">
        <v>21087</v>
      </c>
      <c r="U262" s="117">
        <v>40628</v>
      </c>
      <c r="V262" s="117">
        <v>38169</v>
      </c>
      <c r="W262" s="117">
        <v>64571</v>
      </c>
      <c r="X262" s="117">
        <v>56719</v>
      </c>
      <c r="Y262" s="117">
        <v>54297</v>
      </c>
      <c r="Z262" s="117">
        <v>28200</v>
      </c>
      <c r="AA262" s="117">
        <v>152472</v>
      </c>
      <c r="AB262" s="117">
        <v>153429</v>
      </c>
      <c r="AC262" s="117">
        <v>154231</v>
      </c>
      <c r="AD262" s="117">
        <v>765270</v>
      </c>
      <c r="AE262" s="117">
        <v>740248.96136121941</v>
      </c>
      <c r="AF262"/>
      <c r="AG262"/>
    </row>
    <row r="263" spans="1:33" ht="13.2" x14ac:dyDescent="0.25">
      <c r="A263" s="117" t="s">
        <v>608</v>
      </c>
      <c r="B263" s="117" t="s">
        <v>485</v>
      </c>
      <c r="C263" s="117">
        <f t="shared" si="16"/>
        <v>53.75</v>
      </c>
      <c r="D263" s="117">
        <f t="shared" si="17"/>
        <v>61</v>
      </c>
      <c r="E263" s="225">
        <f t="shared" si="18"/>
        <v>1605269.05</v>
      </c>
      <c r="F263" s="117">
        <f t="shared" si="19"/>
        <v>2809089.5249999999</v>
      </c>
      <c r="G263" s="117">
        <v>37</v>
      </c>
      <c r="H263" s="117">
        <v>39</v>
      </c>
      <c r="I263" s="117">
        <v>27</v>
      </c>
      <c r="J263" s="117">
        <v>162</v>
      </c>
      <c r="K263" s="117">
        <v>22</v>
      </c>
      <c r="L263" s="117">
        <v>132</v>
      </c>
      <c r="M263" s="117">
        <v>21</v>
      </c>
      <c r="N263" s="117">
        <v>74</v>
      </c>
      <c r="O263" s="117">
        <v>54</v>
      </c>
      <c r="P263" s="117">
        <v>129</v>
      </c>
      <c r="Q263" s="117">
        <v>580</v>
      </c>
      <c r="R263" s="117">
        <v>64</v>
      </c>
      <c r="S263" s="117">
        <v>98</v>
      </c>
      <c r="T263" s="117">
        <v>97</v>
      </c>
      <c r="U263" s="117">
        <v>45</v>
      </c>
      <c r="V263" s="117">
        <v>77</v>
      </c>
      <c r="W263" s="117">
        <v>39</v>
      </c>
      <c r="X263" s="117">
        <v>31</v>
      </c>
      <c r="Y263" s="117">
        <v>33</v>
      </c>
      <c r="Z263" s="117">
        <v>39</v>
      </c>
      <c r="AA263" s="117">
        <v>10569</v>
      </c>
      <c r="AB263" s="117">
        <v>10560</v>
      </c>
      <c r="AC263" s="117">
        <v>10505</v>
      </c>
      <c r="AD263" s="117">
        <v>20676</v>
      </c>
      <c r="AE263" s="117">
        <v>20525</v>
      </c>
      <c r="AF263"/>
      <c r="AG263"/>
    </row>
    <row r="264" spans="1:33" ht="13.2" x14ac:dyDescent="0.25">
      <c r="A264" s="117" t="s">
        <v>599</v>
      </c>
      <c r="B264" s="117" t="s">
        <v>507</v>
      </c>
      <c r="C264" s="117">
        <f t="shared" si="16"/>
        <v>2238.75</v>
      </c>
      <c r="D264" s="117">
        <f t="shared" si="17"/>
        <v>1499.25</v>
      </c>
      <c r="E264" s="225">
        <f t="shared" si="18"/>
        <v>1774429.72</v>
      </c>
      <c r="F264" s="117">
        <f t="shared" si="19"/>
        <v>3105106.86</v>
      </c>
      <c r="G264" s="117">
        <v>585</v>
      </c>
      <c r="H264" s="117">
        <v>585</v>
      </c>
      <c r="I264" s="117">
        <v>4947</v>
      </c>
      <c r="J264" s="117">
        <v>6002</v>
      </c>
      <c r="K264" s="117">
        <v>6333</v>
      </c>
      <c r="L264" s="117">
        <v>7930</v>
      </c>
      <c r="M264" s="117">
        <v>2343</v>
      </c>
      <c r="N264" s="117">
        <v>2708</v>
      </c>
      <c r="O264" s="117">
        <v>1739</v>
      </c>
      <c r="P264" s="117">
        <v>4530</v>
      </c>
      <c r="Q264" s="117">
        <v>813</v>
      </c>
      <c r="R264" s="117">
        <v>2567</v>
      </c>
      <c r="S264" s="117">
        <v>1187</v>
      </c>
      <c r="T264" s="117">
        <v>1244</v>
      </c>
      <c r="U264" s="117">
        <v>4357</v>
      </c>
      <c r="V264" s="117">
        <v>2797</v>
      </c>
      <c r="W264" s="117">
        <v>2437</v>
      </c>
      <c r="X264" s="117">
        <v>1956</v>
      </c>
      <c r="Y264" s="117">
        <v>974</v>
      </c>
      <c r="Z264" s="117">
        <v>0</v>
      </c>
      <c r="AA264" s="117">
        <v>11599</v>
      </c>
      <c r="AB264" s="117">
        <v>11577</v>
      </c>
      <c r="AC264" s="117">
        <v>11612</v>
      </c>
      <c r="AD264" s="117">
        <v>32164</v>
      </c>
      <c r="AE264" s="117">
        <v>31738</v>
      </c>
      <c r="AF264"/>
      <c r="AG264"/>
    </row>
    <row r="265" spans="1:33" ht="13.2" x14ac:dyDescent="0.25">
      <c r="A265" s="117" t="s">
        <v>599</v>
      </c>
      <c r="B265" s="117" t="s">
        <v>447</v>
      </c>
      <c r="C265" s="117">
        <f t="shared" si="16"/>
        <v>5849</v>
      </c>
      <c r="D265" s="117">
        <f t="shared" si="17"/>
        <v>6490.25</v>
      </c>
      <c r="E265" s="225">
        <f t="shared" si="18"/>
        <v>4428739.42</v>
      </c>
      <c r="F265" s="117">
        <f t="shared" si="19"/>
        <v>7749931.709999999</v>
      </c>
      <c r="G265" s="117">
        <v>11244</v>
      </c>
      <c r="H265" s="117">
        <v>11758</v>
      </c>
      <c r="I265" s="117">
        <v>4341</v>
      </c>
      <c r="J265" s="117">
        <v>5419</v>
      </c>
      <c r="K265" s="117">
        <v>2100</v>
      </c>
      <c r="L265" s="117">
        <v>3360</v>
      </c>
      <c r="M265" s="117">
        <v>7288</v>
      </c>
      <c r="N265" s="117">
        <v>4692</v>
      </c>
      <c r="O265" s="117">
        <v>3016</v>
      </c>
      <c r="P265" s="117">
        <v>3823</v>
      </c>
      <c r="Q265" s="117">
        <v>3639</v>
      </c>
      <c r="R265" s="117">
        <v>3643</v>
      </c>
      <c r="S265" s="117">
        <v>3930</v>
      </c>
      <c r="T265" s="117">
        <v>2803</v>
      </c>
      <c r="U265" s="117">
        <v>5090</v>
      </c>
      <c r="V265" s="117">
        <v>5101</v>
      </c>
      <c r="W265" s="117">
        <v>7476</v>
      </c>
      <c r="X265" s="117">
        <v>6299</v>
      </c>
      <c r="Y265" s="117">
        <v>6900</v>
      </c>
      <c r="Z265" s="117">
        <v>11758</v>
      </c>
      <c r="AA265" s="117">
        <v>28585</v>
      </c>
      <c r="AB265" s="117">
        <v>28670</v>
      </c>
      <c r="AC265" s="117">
        <v>28982</v>
      </c>
      <c r="AD265" s="117">
        <v>30522</v>
      </c>
      <c r="AE265" s="117">
        <v>30885</v>
      </c>
      <c r="AF265"/>
      <c r="AG265"/>
    </row>
    <row r="266" spans="1:33" ht="13.2" x14ac:dyDescent="0.25">
      <c r="A266" s="117" t="s">
        <v>608</v>
      </c>
      <c r="B266" s="117" t="s">
        <v>486</v>
      </c>
      <c r="C266" s="117">
        <f t="shared" si="16"/>
        <v>5268.25</v>
      </c>
      <c r="D266" s="117">
        <f t="shared" si="17"/>
        <v>5708.25</v>
      </c>
      <c r="E266" s="225">
        <f t="shared" si="18"/>
        <v>14154331.870000001</v>
      </c>
      <c r="F266" s="117">
        <f t="shared" si="19"/>
        <v>24768922.934999999</v>
      </c>
      <c r="G266" s="117">
        <v>3762</v>
      </c>
      <c r="H266" s="117">
        <v>4923</v>
      </c>
      <c r="I266" s="117">
        <v>44702</v>
      </c>
      <c r="J266" s="117">
        <v>48930</v>
      </c>
      <c r="K266" s="117">
        <v>45958</v>
      </c>
      <c r="L266" s="117">
        <v>54153</v>
      </c>
      <c r="M266" s="117">
        <v>23364</v>
      </c>
      <c r="N266" s="117">
        <v>29576</v>
      </c>
      <c r="O266" s="117">
        <v>20141</v>
      </c>
      <c r="P266" s="117">
        <v>21268</v>
      </c>
      <c r="Q266" s="117">
        <v>29062</v>
      </c>
      <c r="R266" s="117">
        <v>31221</v>
      </c>
      <c r="S266" s="117">
        <v>11796</v>
      </c>
      <c r="T266" s="117">
        <v>8430</v>
      </c>
      <c r="U266" s="117">
        <v>1821</v>
      </c>
      <c r="V266" s="117">
        <v>6274</v>
      </c>
      <c r="W266" s="117">
        <v>3501</v>
      </c>
      <c r="X266" s="117">
        <v>3206</v>
      </c>
      <c r="Y266" s="117">
        <v>3955</v>
      </c>
      <c r="Z266" s="117">
        <v>4923</v>
      </c>
      <c r="AA266" s="117">
        <v>93315</v>
      </c>
      <c r="AB266" s="117">
        <v>92962</v>
      </c>
      <c r="AC266" s="117">
        <v>92627</v>
      </c>
      <c r="AD266" s="117">
        <v>337430</v>
      </c>
      <c r="AE266" s="117">
        <v>357392</v>
      </c>
      <c r="AF266"/>
      <c r="AG266"/>
    </row>
    <row r="267" spans="1:33" ht="13.2" x14ac:dyDescent="0.25">
      <c r="A267" s="117" t="s">
        <v>603</v>
      </c>
      <c r="B267" s="117" t="s">
        <v>375</v>
      </c>
      <c r="C267" s="117">
        <f t="shared" si="16"/>
        <v>1483.75</v>
      </c>
      <c r="D267" s="117">
        <f t="shared" si="17"/>
        <v>1417.5</v>
      </c>
      <c r="E267" s="225">
        <f t="shared" si="18"/>
        <v>3823000.58</v>
      </c>
      <c r="F267" s="117">
        <f t="shared" si="19"/>
        <v>6689938.2899999991</v>
      </c>
      <c r="G267" s="117">
        <v>1119</v>
      </c>
      <c r="H267" s="117">
        <v>0</v>
      </c>
      <c r="I267" s="117">
        <v>5230</v>
      </c>
      <c r="J267" s="117">
        <v>3760</v>
      </c>
      <c r="K267" s="117">
        <v>2089</v>
      </c>
      <c r="L267" s="117">
        <v>2305</v>
      </c>
      <c r="M267" s="117">
        <v>4198</v>
      </c>
      <c r="N267" s="117">
        <v>4338</v>
      </c>
      <c r="O267" s="117">
        <v>2787</v>
      </c>
      <c r="P267" s="117">
        <v>4051</v>
      </c>
      <c r="Q267" s="117">
        <v>597</v>
      </c>
      <c r="R267" s="117">
        <v>1612</v>
      </c>
      <c r="S267" s="117">
        <v>3865</v>
      </c>
      <c r="T267" s="117">
        <v>3080</v>
      </c>
      <c r="U267" s="117">
        <v>1608</v>
      </c>
      <c r="V267" s="117">
        <v>2571</v>
      </c>
      <c r="W267" s="117">
        <v>451</v>
      </c>
      <c r="X267" s="117">
        <v>19</v>
      </c>
      <c r="Y267" s="117">
        <v>11</v>
      </c>
      <c r="Z267" s="117">
        <v>0</v>
      </c>
      <c r="AA267" s="117">
        <v>24999</v>
      </c>
      <c r="AB267" s="117">
        <v>25017</v>
      </c>
      <c r="AC267" s="117">
        <v>25018</v>
      </c>
      <c r="AD267" s="117">
        <v>56388</v>
      </c>
      <c r="AE267" s="117">
        <v>52522</v>
      </c>
      <c r="AF267"/>
      <c r="AG267"/>
    </row>
    <row r="268" spans="1:33" ht="13.2" x14ac:dyDescent="0.25">
      <c r="A268" s="117" t="s">
        <v>610</v>
      </c>
      <c r="B268" s="117" t="s">
        <v>397</v>
      </c>
      <c r="C268" s="117">
        <f t="shared" si="16"/>
        <v>983.5</v>
      </c>
      <c r="D268" s="117">
        <f t="shared" si="17"/>
        <v>1423.25</v>
      </c>
      <c r="E268" s="225">
        <f t="shared" si="18"/>
        <v>3574378.71</v>
      </c>
      <c r="F268" s="117">
        <f t="shared" si="19"/>
        <v>6254870.3549999995</v>
      </c>
      <c r="G268" s="117">
        <v>254</v>
      </c>
      <c r="H268" s="117">
        <v>527</v>
      </c>
      <c r="I268" s="117">
        <v>2384</v>
      </c>
      <c r="J268" s="117">
        <v>2199</v>
      </c>
      <c r="K268" s="117">
        <v>5653</v>
      </c>
      <c r="L268" s="117">
        <v>6245</v>
      </c>
      <c r="M268" s="117">
        <v>901</v>
      </c>
      <c r="N268" s="117">
        <v>2284</v>
      </c>
      <c r="O268" s="117">
        <v>1433</v>
      </c>
      <c r="P268" s="117">
        <v>1107</v>
      </c>
      <c r="Q268" s="117">
        <v>1969</v>
      </c>
      <c r="R268" s="117">
        <v>2745</v>
      </c>
      <c r="S268" s="117">
        <v>300</v>
      </c>
      <c r="T268" s="117">
        <v>1383</v>
      </c>
      <c r="U268" s="117">
        <v>1128</v>
      </c>
      <c r="V268" s="117">
        <v>1751</v>
      </c>
      <c r="W268" s="117">
        <v>1904</v>
      </c>
      <c r="X268" s="117">
        <v>2032</v>
      </c>
      <c r="Y268" s="117">
        <v>602</v>
      </c>
      <c r="Z268" s="117">
        <v>527</v>
      </c>
      <c r="AA268" s="117">
        <v>23654</v>
      </c>
      <c r="AB268" s="117">
        <v>23527</v>
      </c>
      <c r="AC268" s="117">
        <v>23391</v>
      </c>
      <c r="AD268" s="117">
        <v>95620</v>
      </c>
      <c r="AE268" s="117">
        <v>90674</v>
      </c>
      <c r="AF268"/>
      <c r="AG268"/>
    </row>
    <row r="269" spans="1:33" ht="13.2" x14ac:dyDescent="0.25">
      <c r="A269" s="117" t="s">
        <v>602</v>
      </c>
      <c r="B269" s="117" t="s">
        <v>180</v>
      </c>
      <c r="C269" s="117">
        <f t="shared" si="16"/>
        <v>2316.75</v>
      </c>
      <c r="D269" s="117">
        <f t="shared" si="17"/>
        <v>3001.25</v>
      </c>
      <c r="E269" s="225">
        <f t="shared" si="18"/>
        <v>8548038.5899999999</v>
      </c>
      <c r="F269" s="117">
        <f t="shared" si="19"/>
        <v>14958368.294999998</v>
      </c>
      <c r="G269" s="117">
        <v>3811</v>
      </c>
      <c r="H269" s="117">
        <v>3812</v>
      </c>
      <c r="I269" s="117">
        <v>6977</v>
      </c>
      <c r="J269" s="117">
        <v>7299</v>
      </c>
      <c r="K269" s="117">
        <v>5495</v>
      </c>
      <c r="L269" s="117">
        <v>7228</v>
      </c>
      <c r="M269" s="117">
        <v>2814</v>
      </c>
      <c r="N269" s="117">
        <v>2693</v>
      </c>
      <c r="O269" s="117">
        <v>1921</v>
      </c>
      <c r="P269" s="117">
        <v>5609</v>
      </c>
      <c r="Q269" s="117">
        <v>3953</v>
      </c>
      <c r="R269" s="117">
        <v>4394</v>
      </c>
      <c r="S269" s="117">
        <v>848</v>
      </c>
      <c r="T269" s="117">
        <v>3199</v>
      </c>
      <c r="U269" s="117">
        <v>1076</v>
      </c>
      <c r="V269" s="117">
        <v>2938</v>
      </c>
      <c r="W269" s="117">
        <v>2498</v>
      </c>
      <c r="X269" s="117">
        <v>2056</v>
      </c>
      <c r="Y269" s="117">
        <v>4845</v>
      </c>
      <c r="Z269" s="117">
        <v>3812</v>
      </c>
      <c r="AA269" s="117">
        <v>55697</v>
      </c>
      <c r="AB269" s="117">
        <v>55898</v>
      </c>
      <c r="AC269" s="117">
        <v>55939</v>
      </c>
      <c r="AD269" s="117">
        <v>176959</v>
      </c>
      <c r="AE269" s="117">
        <v>170756</v>
      </c>
      <c r="AF269"/>
      <c r="AG269"/>
    </row>
    <row r="270" spans="1:33" ht="13.2" x14ac:dyDescent="0.25">
      <c r="A270" s="117" t="s">
        <v>606</v>
      </c>
      <c r="B270" s="117" t="s">
        <v>277</v>
      </c>
      <c r="C270" s="117">
        <f t="shared" si="16"/>
        <v>5723.75</v>
      </c>
      <c r="D270" s="117">
        <f t="shared" si="17"/>
        <v>6279.25</v>
      </c>
      <c r="E270" s="225">
        <f t="shared" si="18"/>
        <v>7058905.1399999997</v>
      </c>
      <c r="F270" s="117">
        <f t="shared" si="19"/>
        <v>12352506.569999998</v>
      </c>
      <c r="G270" s="117">
        <v>7189</v>
      </c>
      <c r="H270" s="117">
        <v>7383</v>
      </c>
      <c r="I270" s="117">
        <v>1152</v>
      </c>
      <c r="J270" s="117">
        <v>1277</v>
      </c>
      <c r="K270" s="117">
        <v>4041</v>
      </c>
      <c r="L270" s="117">
        <v>3634</v>
      </c>
      <c r="M270" s="117">
        <v>6938</v>
      </c>
      <c r="N270" s="117">
        <v>20584</v>
      </c>
      <c r="O270" s="117">
        <v>4530</v>
      </c>
      <c r="P270" s="117">
        <v>6121</v>
      </c>
      <c r="Q270" s="117">
        <v>1552</v>
      </c>
      <c r="R270" s="117">
        <v>1707</v>
      </c>
      <c r="S270" s="117">
        <v>1529</v>
      </c>
      <c r="T270" s="117">
        <v>1365</v>
      </c>
      <c r="U270" s="117">
        <v>10466</v>
      </c>
      <c r="V270" s="117">
        <v>10480</v>
      </c>
      <c r="W270" s="117">
        <v>5705</v>
      </c>
      <c r="X270" s="117">
        <v>5889</v>
      </c>
      <c r="Y270" s="117">
        <v>5195</v>
      </c>
      <c r="Z270" s="117">
        <v>7383</v>
      </c>
      <c r="AA270" s="117">
        <v>45855</v>
      </c>
      <c r="AB270" s="117">
        <v>46094</v>
      </c>
      <c r="AC270" s="117">
        <v>46194</v>
      </c>
      <c r="AD270" s="117">
        <v>76712</v>
      </c>
      <c r="AE270" s="117">
        <v>76333</v>
      </c>
      <c r="AF270"/>
      <c r="AG270"/>
    </row>
    <row r="271" spans="1:33" ht="13.2" x14ac:dyDescent="0.25">
      <c r="A271" s="117" t="s">
        <v>599</v>
      </c>
      <c r="B271" s="117" t="s">
        <v>448</v>
      </c>
      <c r="C271" s="117">
        <f t="shared" si="16"/>
        <v>5675.5</v>
      </c>
      <c r="D271" s="117">
        <f t="shared" si="17"/>
        <v>4935</v>
      </c>
      <c r="E271" s="225">
        <f t="shared" si="18"/>
        <v>2952442.0100000002</v>
      </c>
      <c r="F271" s="117">
        <f t="shared" si="19"/>
        <v>5166532.0049999999</v>
      </c>
      <c r="G271" s="117">
        <v>7205</v>
      </c>
      <c r="H271" s="117">
        <v>7230</v>
      </c>
      <c r="I271" s="117">
        <v>9418</v>
      </c>
      <c r="J271" s="117">
        <v>11154</v>
      </c>
      <c r="K271" s="117">
        <v>1700</v>
      </c>
      <c r="L271" s="117">
        <v>1305</v>
      </c>
      <c r="M271" s="117">
        <v>4564</v>
      </c>
      <c r="N271" s="117">
        <v>5220</v>
      </c>
      <c r="O271" s="117">
        <v>7757</v>
      </c>
      <c r="P271" s="117">
        <v>3454</v>
      </c>
      <c r="Q271" s="117">
        <v>9248</v>
      </c>
      <c r="R271" s="117">
        <v>9301</v>
      </c>
      <c r="S271" s="117">
        <v>7834</v>
      </c>
      <c r="T271" s="117">
        <v>3932</v>
      </c>
      <c r="U271" s="117">
        <v>5241</v>
      </c>
      <c r="V271" s="117">
        <v>3282</v>
      </c>
      <c r="W271" s="117">
        <v>6428</v>
      </c>
      <c r="X271" s="117">
        <v>5296</v>
      </c>
      <c r="Y271" s="117">
        <v>3199</v>
      </c>
      <c r="Z271" s="117">
        <v>7230</v>
      </c>
      <c r="AA271" s="117">
        <v>19035</v>
      </c>
      <c r="AB271" s="117">
        <v>19134</v>
      </c>
      <c r="AC271" s="117">
        <v>19321</v>
      </c>
      <c r="AD271" s="117">
        <v>45068</v>
      </c>
      <c r="AE271" s="117">
        <v>47776</v>
      </c>
      <c r="AF271"/>
      <c r="AG271"/>
    </row>
    <row r="272" spans="1:33" ht="13.2" x14ac:dyDescent="0.25">
      <c r="A272" s="117" t="s">
        <v>599</v>
      </c>
      <c r="B272" s="117" t="s">
        <v>449</v>
      </c>
      <c r="C272" s="117">
        <f t="shared" si="16"/>
        <v>8197</v>
      </c>
      <c r="D272" s="117">
        <f t="shared" si="17"/>
        <v>7709</v>
      </c>
      <c r="E272" s="225">
        <f t="shared" si="18"/>
        <v>2584169.91</v>
      </c>
      <c r="F272" s="117">
        <f t="shared" si="19"/>
        <v>4522085.9549999991</v>
      </c>
      <c r="G272" s="117">
        <v>11913</v>
      </c>
      <c r="H272" s="117">
        <v>11974</v>
      </c>
      <c r="I272" s="117">
        <v>7899</v>
      </c>
      <c r="J272" s="117">
        <v>7496</v>
      </c>
      <c r="K272" s="117">
        <v>4022</v>
      </c>
      <c r="L272" s="117">
        <v>4036</v>
      </c>
      <c r="M272" s="117">
        <v>4284</v>
      </c>
      <c r="N272" s="117">
        <v>4290</v>
      </c>
      <c r="O272" s="117">
        <v>5765</v>
      </c>
      <c r="P272" s="117">
        <v>4221</v>
      </c>
      <c r="Q272" s="117">
        <v>2895</v>
      </c>
      <c r="R272" s="117">
        <v>2714</v>
      </c>
      <c r="S272" s="117">
        <v>5763</v>
      </c>
      <c r="T272" s="117">
        <v>5871</v>
      </c>
      <c r="U272" s="117">
        <v>5392</v>
      </c>
      <c r="V272" s="117">
        <v>5430</v>
      </c>
      <c r="W272" s="117">
        <v>10668</v>
      </c>
      <c r="X272" s="117">
        <v>7561</v>
      </c>
      <c r="Y272" s="117">
        <v>10965</v>
      </c>
      <c r="Z272" s="117">
        <v>11974</v>
      </c>
      <c r="AA272" s="117">
        <v>16628</v>
      </c>
      <c r="AB272" s="117">
        <v>16745</v>
      </c>
      <c r="AC272" s="117">
        <v>16911</v>
      </c>
      <c r="AD272" s="117">
        <v>31268</v>
      </c>
      <c r="AE272" s="117">
        <v>27815</v>
      </c>
      <c r="AF272"/>
      <c r="AG272"/>
    </row>
    <row r="273" spans="1:33" ht="13.2" x14ac:dyDescent="0.25">
      <c r="A273" s="117" t="s">
        <v>607</v>
      </c>
      <c r="B273" s="117" t="s">
        <v>159</v>
      </c>
      <c r="C273" s="117">
        <f t="shared" si="16"/>
        <v>1114.5</v>
      </c>
      <c r="D273" s="117">
        <f t="shared" si="17"/>
        <v>1620.5</v>
      </c>
      <c r="E273" s="225">
        <f t="shared" si="18"/>
        <v>4859510.8100000005</v>
      </c>
      <c r="F273" s="117">
        <f t="shared" si="19"/>
        <v>8503746.4049999993</v>
      </c>
      <c r="G273" s="117">
        <v>409</v>
      </c>
      <c r="H273" s="117">
        <v>409</v>
      </c>
      <c r="I273" s="117">
        <v>2557</v>
      </c>
      <c r="J273" s="117">
        <v>5458</v>
      </c>
      <c r="K273" s="117">
        <v>3699</v>
      </c>
      <c r="L273" s="117">
        <v>4937</v>
      </c>
      <c r="M273" s="117">
        <v>2278</v>
      </c>
      <c r="N273" s="117">
        <v>2545</v>
      </c>
      <c r="O273" s="117">
        <v>521</v>
      </c>
      <c r="P273" s="117">
        <v>2301</v>
      </c>
      <c r="Q273" s="117">
        <v>2624</v>
      </c>
      <c r="R273" s="117">
        <v>3681</v>
      </c>
      <c r="S273" s="117">
        <v>2015</v>
      </c>
      <c r="T273" s="117">
        <v>3339</v>
      </c>
      <c r="U273" s="117">
        <v>1459</v>
      </c>
      <c r="V273" s="117">
        <v>2045</v>
      </c>
      <c r="W273" s="117">
        <v>661</v>
      </c>
      <c r="X273" s="117">
        <v>689</v>
      </c>
      <c r="Y273" s="117">
        <v>323</v>
      </c>
      <c r="Z273" s="117">
        <v>409</v>
      </c>
      <c r="AA273" s="117">
        <v>32255</v>
      </c>
      <c r="AB273" s="117">
        <v>32283</v>
      </c>
      <c r="AC273" s="117">
        <v>31801</v>
      </c>
      <c r="AD273" s="117">
        <v>73595</v>
      </c>
      <c r="AE273" s="117">
        <v>75563</v>
      </c>
      <c r="AF273"/>
      <c r="AG273"/>
    </row>
    <row r="274" spans="1:33" ht="13.2" x14ac:dyDescent="0.25">
      <c r="A274" s="117" t="s">
        <v>604</v>
      </c>
      <c r="B274" s="117" t="s">
        <v>202</v>
      </c>
      <c r="C274" s="117">
        <f t="shared" si="16"/>
        <v>4763.5</v>
      </c>
      <c r="D274" s="117">
        <f t="shared" si="17"/>
        <v>2422.5</v>
      </c>
      <c r="E274" s="225">
        <f t="shared" si="18"/>
        <v>2598534.0499999998</v>
      </c>
      <c r="F274" s="117">
        <f t="shared" si="19"/>
        <v>4547222.0249999994</v>
      </c>
      <c r="G274" s="117">
        <v>2036</v>
      </c>
      <c r="H274" s="117">
        <v>2054</v>
      </c>
      <c r="I274" s="117">
        <v>4120</v>
      </c>
      <c r="J274" s="117">
        <v>3819</v>
      </c>
      <c r="K274" s="117">
        <v>4939</v>
      </c>
      <c r="L274" s="117">
        <v>4777</v>
      </c>
      <c r="M274" s="117">
        <v>7013</v>
      </c>
      <c r="N274" s="117">
        <v>6963</v>
      </c>
      <c r="O274" s="117">
        <v>5850</v>
      </c>
      <c r="P274" s="117">
        <v>6000</v>
      </c>
      <c r="Q274" s="117">
        <v>7496</v>
      </c>
      <c r="R274" s="117">
        <v>3841</v>
      </c>
      <c r="S274" s="117">
        <v>7741</v>
      </c>
      <c r="T274" s="117">
        <v>3933</v>
      </c>
      <c r="U274" s="117">
        <v>5116</v>
      </c>
      <c r="V274" s="117">
        <v>2565</v>
      </c>
      <c r="W274" s="117">
        <v>3576</v>
      </c>
      <c r="X274" s="117">
        <v>1138</v>
      </c>
      <c r="Y274" s="117">
        <v>2621</v>
      </c>
      <c r="Z274" s="117">
        <v>2054</v>
      </c>
      <c r="AA274" s="117">
        <v>16694</v>
      </c>
      <c r="AB274" s="117">
        <v>16796</v>
      </c>
      <c r="AC274" s="117">
        <v>17005</v>
      </c>
      <c r="AD274" s="117">
        <v>32342</v>
      </c>
      <c r="AE274" s="117">
        <v>31748</v>
      </c>
      <c r="AF274"/>
      <c r="AG274"/>
    </row>
    <row r="275" spans="1:33" ht="13.2" x14ac:dyDescent="0.25">
      <c r="A275" s="117" t="s">
        <v>600</v>
      </c>
      <c r="B275" s="117" t="s">
        <v>321</v>
      </c>
      <c r="C275" s="117">
        <f t="shared" si="16"/>
        <v>1246.75</v>
      </c>
      <c r="D275" s="117">
        <f t="shared" si="17"/>
        <v>2596.5</v>
      </c>
      <c r="E275" s="225">
        <f t="shared" si="18"/>
        <v>3316282.62</v>
      </c>
      <c r="F275" s="117">
        <f t="shared" si="19"/>
        <v>5803223.3099999996</v>
      </c>
      <c r="G275" s="117">
        <v>0</v>
      </c>
      <c r="H275" s="117">
        <v>252</v>
      </c>
      <c r="I275" s="117">
        <v>3758</v>
      </c>
      <c r="J275" s="117">
        <v>6886</v>
      </c>
      <c r="K275" s="117">
        <v>3888</v>
      </c>
      <c r="L275" s="117">
        <v>2121</v>
      </c>
      <c r="M275" s="117">
        <v>2767</v>
      </c>
      <c r="N275" s="117">
        <v>5260</v>
      </c>
      <c r="O275" s="117">
        <v>5244</v>
      </c>
      <c r="P275" s="117">
        <v>4278</v>
      </c>
      <c r="Q275" s="117">
        <v>1891</v>
      </c>
      <c r="R275" s="117">
        <v>2351</v>
      </c>
      <c r="S275" s="117">
        <v>919</v>
      </c>
      <c r="T275" s="117">
        <v>106</v>
      </c>
      <c r="U275" s="117">
        <v>2896</v>
      </c>
      <c r="V275" s="117">
        <v>4893</v>
      </c>
      <c r="W275" s="117">
        <v>1164</v>
      </c>
      <c r="X275" s="117">
        <v>5135</v>
      </c>
      <c r="Y275" s="117">
        <v>8</v>
      </c>
      <c r="Z275" s="117">
        <v>252</v>
      </c>
      <c r="AA275" s="117">
        <v>21553</v>
      </c>
      <c r="AB275" s="117">
        <v>21670</v>
      </c>
      <c r="AC275" s="117">
        <v>21702</v>
      </c>
      <c r="AD275" s="117">
        <v>0</v>
      </c>
      <c r="AE275" s="117">
        <v>44907</v>
      </c>
      <c r="AF275"/>
      <c r="AG275"/>
    </row>
    <row r="276" spans="1:33" ht="13.2" x14ac:dyDescent="0.25">
      <c r="A276" s="117" t="s">
        <v>599</v>
      </c>
      <c r="B276" s="117" t="s">
        <v>450</v>
      </c>
      <c r="C276" s="117">
        <f t="shared" si="16"/>
        <v>1821</v>
      </c>
      <c r="D276" s="117">
        <f t="shared" si="17"/>
        <v>2137.75</v>
      </c>
      <c r="E276" s="225">
        <f t="shared" si="18"/>
        <v>3828348.93</v>
      </c>
      <c r="F276" s="117">
        <f t="shared" si="19"/>
        <v>6699297.4649999989</v>
      </c>
      <c r="G276" s="117">
        <v>2304</v>
      </c>
      <c r="H276" s="117">
        <v>2304</v>
      </c>
      <c r="I276" s="117">
        <v>3083</v>
      </c>
      <c r="J276" s="117">
        <v>3468</v>
      </c>
      <c r="K276" s="117">
        <v>1413</v>
      </c>
      <c r="L276" s="117">
        <v>3451</v>
      </c>
      <c r="M276" s="117">
        <v>4163</v>
      </c>
      <c r="N276" s="117">
        <v>6113</v>
      </c>
      <c r="O276" s="117">
        <v>2653</v>
      </c>
      <c r="P276" s="117">
        <v>2784</v>
      </c>
      <c r="Q276" s="117">
        <v>3553</v>
      </c>
      <c r="R276" s="117">
        <v>2403</v>
      </c>
      <c r="S276" s="117">
        <v>1875</v>
      </c>
      <c r="T276" s="117">
        <v>1980</v>
      </c>
      <c r="U276" s="117">
        <v>2726</v>
      </c>
      <c r="V276" s="117">
        <v>2941</v>
      </c>
      <c r="W276" s="117">
        <v>1353</v>
      </c>
      <c r="X276" s="117">
        <v>1326</v>
      </c>
      <c r="Y276" s="117">
        <v>1330</v>
      </c>
      <c r="Z276" s="117">
        <v>2304</v>
      </c>
      <c r="AA276" s="117">
        <v>23971</v>
      </c>
      <c r="AB276" s="117">
        <v>24814</v>
      </c>
      <c r="AC276" s="117">
        <v>25053</v>
      </c>
      <c r="AD276" s="117">
        <v>42318</v>
      </c>
      <c r="AE276" s="117">
        <v>42234</v>
      </c>
      <c r="AF276"/>
      <c r="AG276"/>
    </row>
    <row r="277" spans="1:33" ht="13.2" x14ac:dyDescent="0.25">
      <c r="A277" s="117" t="s">
        <v>604</v>
      </c>
      <c r="B277" s="117" t="s">
        <v>203</v>
      </c>
      <c r="C277" s="117">
        <f t="shared" si="16"/>
        <v>6408.75</v>
      </c>
      <c r="D277" s="117">
        <f t="shared" si="17"/>
        <v>6689</v>
      </c>
      <c r="E277" s="225">
        <f t="shared" si="18"/>
        <v>6713096.1100000003</v>
      </c>
      <c r="F277" s="117">
        <f t="shared" si="19"/>
        <v>11747369.055</v>
      </c>
      <c r="G277" s="117">
        <v>5261</v>
      </c>
      <c r="H277" s="117">
        <v>4930</v>
      </c>
      <c r="I277" s="117">
        <v>11891</v>
      </c>
      <c r="J277" s="117">
        <v>14249</v>
      </c>
      <c r="K277" s="117">
        <v>6621</v>
      </c>
      <c r="L277" s="117">
        <v>7309</v>
      </c>
      <c r="M277" s="117">
        <v>5813</v>
      </c>
      <c r="N277" s="117">
        <v>7449</v>
      </c>
      <c r="O277" s="117">
        <v>6111</v>
      </c>
      <c r="P277" s="117">
        <v>8579</v>
      </c>
      <c r="Q277" s="117">
        <v>5289</v>
      </c>
      <c r="R277" s="117">
        <v>4968</v>
      </c>
      <c r="S277" s="117">
        <v>9163</v>
      </c>
      <c r="T277" s="117">
        <v>9282</v>
      </c>
      <c r="U277" s="117">
        <v>6439</v>
      </c>
      <c r="V277" s="117">
        <v>8410</v>
      </c>
      <c r="W277" s="117">
        <v>6459</v>
      </c>
      <c r="X277" s="117">
        <v>4134</v>
      </c>
      <c r="Y277" s="117">
        <v>3574</v>
      </c>
      <c r="Z277" s="117">
        <v>4930</v>
      </c>
      <c r="AA277" s="117">
        <v>43446</v>
      </c>
      <c r="AB277" s="117">
        <v>43772</v>
      </c>
      <c r="AC277" s="117">
        <v>43931</v>
      </c>
      <c r="AD277" s="117">
        <v>92166</v>
      </c>
      <c r="AE277" s="117">
        <v>93849</v>
      </c>
      <c r="AF277"/>
      <c r="AG277"/>
    </row>
    <row r="278" spans="1:33" ht="13.2" x14ac:dyDescent="0.25">
      <c r="A278" s="117" t="s">
        <v>608</v>
      </c>
      <c r="B278" s="117" t="s">
        <v>487</v>
      </c>
      <c r="C278" s="117">
        <f t="shared" si="16"/>
        <v>2850.25</v>
      </c>
      <c r="D278" s="117">
        <f t="shared" si="17"/>
        <v>2821.25</v>
      </c>
      <c r="E278" s="225">
        <f t="shared" si="18"/>
        <v>3813526.36</v>
      </c>
      <c r="F278" s="117">
        <f t="shared" si="19"/>
        <v>6673359.1799999997</v>
      </c>
      <c r="G278" s="117">
        <v>1179</v>
      </c>
      <c r="H278" s="117">
        <v>1059</v>
      </c>
      <c r="I278" s="117">
        <v>5639</v>
      </c>
      <c r="J278" s="117">
        <v>5690</v>
      </c>
      <c r="K278" s="117">
        <v>6189</v>
      </c>
      <c r="L278" s="117">
        <v>6836</v>
      </c>
      <c r="M278" s="117">
        <v>4401</v>
      </c>
      <c r="N278" s="117">
        <v>3930</v>
      </c>
      <c r="O278" s="117">
        <v>3530</v>
      </c>
      <c r="P278" s="117">
        <v>4333</v>
      </c>
      <c r="Q278" s="117">
        <v>2839</v>
      </c>
      <c r="R278" s="117">
        <v>3104</v>
      </c>
      <c r="S278" s="117">
        <v>4667</v>
      </c>
      <c r="T278" s="117">
        <v>4894</v>
      </c>
      <c r="U278" s="117">
        <v>3354</v>
      </c>
      <c r="V278" s="117">
        <v>3529</v>
      </c>
      <c r="W278" s="117">
        <v>2984</v>
      </c>
      <c r="X278" s="117">
        <v>1803</v>
      </c>
      <c r="Y278" s="117">
        <v>396</v>
      </c>
      <c r="Z278" s="117">
        <v>1059</v>
      </c>
      <c r="AA278" s="117">
        <v>25065</v>
      </c>
      <c r="AB278" s="117">
        <v>24987</v>
      </c>
      <c r="AC278" s="117">
        <v>24956</v>
      </c>
      <c r="AD278" s="117">
        <v>70637</v>
      </c>
      <c r="AE278" s="117">
        <v>67853</v>
      </c>
      <c r="AF278"/>
      <c r="AG278"/>
    </row>
    <row r="279" spans="1:33" ht="13.2" x14ac:dyDescent="0.25">
      <c r="A279" s="117" t="s">
        <v>606</v>
      </c>
      <c r="B279" s="117" t="s">
        <v>278</v>
      </c>
      <c r="C279" s="117">
        <f t="shared" si="16"/>
        <v>550.75</v>
      </c>
      <c r="D279" s="117">
        <f t="shared" si="17"/>
        <v>1702.75</v>
      </c>
      <c r="E279" s="225">
        <f t="shared" si="18"/>
        <v>9836685.3200000003</v>
      </c>
      <c r="F279" s="117">
        <f t="shared" si="19"/>
        <v>17213394.659999996</v>
      </c>
      <c r="G279" s="117">
        <v>3670</v>
      </c>
      <c r="H279" s="117">
        <v>3893</v>
      </c>
      <c r="I279" s="117">
        <v>7403</v>
      </c>
      <c r="J279" s="117">
        <v>7379</v>
      </c>
      <c r="K279" s="117">
        <v>1926</v>
      </c>
      <c r="L279" s="117">
        <v>2943</v>
      </c>
      <c r="M279" s="117">
        <v>49</v>
      </c>
      <c r="N279" s="117">
        <v>431</v>
      </c>
      <c r="O279" s="117">
        <v>383</v>
      </c>
      <c r="P279" s="117">
        <v>394</v>
      </c>
      <c r="Q279" s="117">
        <v>1040</v>
      </c>
      <c r="R279" s="117">
        <v>1172</v>
      </c>
      <c r="S279" s="117">
        <v>1294</v>
      </c>
      <c r="T279" s="117">
        <v>1324</v>
      </c>
      <c r="U279" s="117">
        <v>81</v>
      </c>
      <c r="V279" s="117">
        <v>689</v>
      </c>
      <c r="W279" s="117">
        <v>611</v>
      </c>
      <c r="X279" s="117">
        <v>905</v>
      </c>
      <c r="Y279" s="117">
        <v>217</v>
      </c>
      <c r="Z279" s="117">
        <v>3893</v>
      </c>
      <c r="AA279" s="117">
        <v>64437</v>
      </c>
      <c r="AB279" s="117">
        <v>64525</v>
      </c>
      <c r="AC279" s="117">
        <v>64372</v>
      </c>
      <c r="AD279" s="117">
        <v>136619</v>
      </c>
      <c r="AE279" s="117">
        <v>134681</v>
      </c>
      <c r="AF279"/>
      <c r="AG279"/>
    </row>
    <row r="280" spans="1:33" ht="13.2" x14ac:dyDescent="0.25">
      <c r="A280" s="117" t="s">
        <v>602</v>
      </c>
      <c r="B280" s="117" t="s">
        <v>508</v>
      </c>
      <c r="C280" s="117">
        <f t="shared" si="16"/>
        <v>8506.5</v>
      </c>
      <c r="D280" s="117">
        <f t="shared" si="17"/>
        <v>11753</v>
      </c>
      <c r="E280" s="225">
        <f t="shared" si="18"/>
        <v>13707821.050000001</v>
      </c>
      <c r="F280" s="117">
        <f t="shared" si="19"/>
        <v>23987565.524999999</v>
      </c>
      <c r="G280" s="117">
        <v>0</v>
      </c>
      <c r="H280" s="117">
        <v>1086</v>
      </c>
      <c r="I280" s="117">
        <v>18983.609323070035</v>
      </c>
      <c r="J280" s="117">
        <v>21145.586144547193</v>
      </c>
      <c r="K280" s="117">
        <v>15057.306859205775</v>
      </c>
      <c r="L280" s="117">
        <v>27375.609386281587</v>
      </c>
      <c r="M280" s="117">
        <v>11581.595925734915</v>
      </c>
      <c r="N280" s="117">
        <v>13461.099948427025</v>
      </c>
      <c r="O280" s="117">
        <v>7305.5441464672513</v>
      </c>
      <c r="P280" s="117">
        <v>14879.589272821042</v>
      </c>
      <c r="Q280" s="117">
        <v>4330</v>
      </c>
      <c r="R280" s="117">
        <v>10408</v>
      </c>
      <c r="S280" s="117">
        <v>7988</v>
      </c>
      <c r="T280" s="117">
        <v>14690</v>
      </c>
      <c r="U280" s="117">
        <v>6410</v>
      </c>
      <c r="V280" s="117">
        <v>10941</v>
      </c>
      <c r="W280" s="117">
        <v>19628</v>
      </c>
      <c r="X280" s="117">
        <v>20295</v>
      </c>
      <c r="Y280" s="117">
        <v>0</v>
      </c>
      <c r="Z280" s="117">
        <v>1086</v>
      </c>
      <c r="AA280" s="117">
        <v>89537</v>
      </c>
      <c r="AB280" s="117">
        <v>89570.5</v>
      </c>
      <c r="AC280" s="117">
        <v>89705</v>
      </c>
      <c r="AD280" s="117">
        <v>214250</v>
      </c>
      <c r="AE280" s="117">
        <v>239047</v>
      </c>
      <c r="AF280"/>
      <c r="AG280"/>
    </row>
    <row r="281" spans="1:33" ht="13.2" x14ac:dyDescent="0.25">
      <c r="A281" s="117" t="s">
        <v>610</v>
      </c>
      <c r="B281" s="117" t="s">
        <v>398</v>
      </c>
      <c r="C281" s="117">
        <f t="shared" si="16"/>
        <v>1398.5</v>
      </c>
      <c r="D281" s="117">
        <f t="shared" si="17"/>
        <v>1067.25</v>
      </c>
      <c r="E281" s="225">
        <f t="shared" si="18"/>
        <v>8340216.9900000002</v>
      </c>
      <c r="F281" s="117">
        <f t="shared" si="19"/>
        <v>14594697.494999999</v>
      </c>
      <c r="G281" s="117">
        <v>467</v>
      </c>
      <c r="H281" s="117">
        <v>472</v>
      </c>
      <c r="I281" s="117">
        <v>5511</v>
      </c>
      <c r="J281" s="117">
        <v>5626</v>
      </c>
      <c r="K281" s="117">
        <v>19873</v>
      </c>
      <c r="L281" s="117">
        <v>21089</v>
      </c>
      <c r="M281" s="117">
        <v>2151</v>
      </c>
      <c r="N281" s="117">
        <v>5883</v>
      </c>
      <c r="O281" s="117">
        <v>7885</v>
      </c>
      <c r="P281" s="117">
        <v>7742</v>
      </c>
      <c r="Q281" s="117">
        <v>2852</v>
      </c>
      <c r="R281" s="117">
        <v>2557</v>
      </c>
      <c r="S281" s="117">
        <v>2911</v>
      </c>
      <c r="T281" s="117">
        <v>2205</v>
      </c>
      <c r="U281" s="117">
        <v>910</v>
      </c>
      <c r="V281" s="117">
        <v>961</v>
      </c>
      <c r="W281" s="117">
        <v>832</v>
      </c>
      <c r="X281" s="117">
        <v>631</v>
      </c>
      <c r="Y281" s="117">
        <v>941</v>
      </c>
      <c r="Z281" s="117">
        <v>472</v>
      </c>
      <c r="AA281" s="117">
        <v>54592</v>
      </c>
      <c r="AB281" s="117">
        <v>54440</v>
      </c>
      <c r="AC281" s="117">
        <v>54579</v>
      </c>
      <c r="AD281" s="117">
        <v>203595</v>
      </c>
      <c r="AE281" s="117">
        <v>204190</v>
      </c>
      <c r="AF281"/>
      <c r="AG281"/>
    </row>
    <row r="282" spans="1:33" ht="13.2" x14ac:dyDescent="0.25">
      <c r="A282" s="117" t="s">
        <v>602</v>
      </c>
      <c r="B282" s="117" t="s">
        <v>181</v>
      </c>
      <c r="C282" s="117">
        <f t="shared" si="16"/>
        <v>845.5</v>
      </c>
      <c r="D282" s="117">
        <f t="shared" si="17"/>
        <v>792</v>
      </c>
      <c r="E282" s="225">
        <f t="shared" si="18"/>
        <v>747088.09</v>
      </c>
      <c r="F282" s="117">
        <f t="shared" si="19"/>
        <v>1307343.0449999999</v>
      </c>
      <c r="G282" s="117">
        <v>0</v>
      </c>
      <c r="H282" s="117">
        <v>0</v>
      </c>
      <c r="I282" s="117">
        <v>0</v>
      </c>
      <c r="J282" s="117">
        <v>23</v>
      </c>
      <c r="K282" s="117">
        <v>97</v>
      </c>
      <c r="L282" s="117">
        <v>20</v>
      </c>
      <c r="M282" s="117">
        <v>0</v>
      </c>
      <c r="N282" s="117">
        <v>25</v>
      </c>
      <c r="O282" s="117">
        <v>0</v>
      </c>
      <c r="P282" s="117">
        <v>0</v>
      </c>
      <c r="Q282" s="117">
        <v>1071</v>
      </c>
      <c r="R282" s="117">
        <v>1072</v>
      </c>
      <c r="S282" s="117">
        <v>978</v>
      </c>
      <c r="T282" s="117">
        <v>978</v>
      </c>
      <c r="U282" s="117">
        <v>2250</v>
      </c>
      <c r="V282" s="117">
        <v>2250</v>
      </c>
      <c r="W282" s="117">
        <v>-59</v>
      </c>
      <c r="X282" s="117">
        <v>-60</v>
      </c>
      <c r="Y282" s="117">
        <v>213</v>
      </c>
      <c r="Z282" s="117">
        <v>0</v>
      </c>
      <c r="AA282" s="117">
        <v>4858</v>
      </c>
      <c r="AB282" s="117">
        <v>4908</v>
      </c>
      <c r="AC282" s="117">
        <v>4889</v>
      </c>
      <c r="AD282" s="117">
        <v>20344</v>
      </c>
      <c r="AE282" s="117">
        <v>19606</v>
      </c>
      <c r="AF282"/>
      <c r="AG282"/>
    </row>
    <row r="283" spans="1:33" ht="13.2" x14ac:dyDescent="0.25">
      <c r="A283" s="117" t="s">
        <v>600</v>
      </c>
      <c r="B283" s="117" t="s">
        <v>322</v>
      </c>
      <c r="C283" s="117">
        <f t="shared" si="16"/>
        <v>531</v>
      </c>
      <c r="D283" s="117">
        <f t="shared" si="17"/>
        <v>764.75</v>
      </c>
      <c r="E283" s="225">
        <f t="shared" si="18"/>
        <v>2070728.31</v>
      </c>
      <c r="F283" s="117">
        <f t="shared" si="19"/>
        <v>3623605.1549999998</v>
      </c>
      <c r="G283" s="117">
        <v>0</v>
      </c>
      <c r="H283" s="117">
        <v>0</v>
      </c>
      <c r="I283" s="117">
        <v>2408</v>
      </c>
      <c r="J283" s="117">
        <v>3061</v>
      </c>
      <c r="K283" s="117">
        <v>1906</v>
      </c>
      <c r="L283" s="117">
        <v>2465</v>
      </c>
      <c r="M283" s="117">
        <v>471</v>
      </c>
      <c r="N283" s="117">
        <v>1003</v>
      </c>
      <c r="O283" s="117">
        <v>1486</v>
      </c>
      <c r="P283" s="117">
        <v>946</v>
      </c>
      <c r="Q283" s="117">
        <v>1757</v>
      </c>
      <c r="R283" s="117">
        <v>760</v>
      </c>
      <c r="S283" s="117">
        <v>354</v>
      </c>
      <c r="T283" s="117">
        <v>1135</v>
      </c>
      <c r="U283" s="117">
        <v>891</v>
      </c>
      <c r="V283" s="117">
        <v>1059</v>
      </c>
      <c r="W283" s="117">
        <v>879</v>
      </c>
      <c r="X283" s="117">
        <v>865</v>
      </c>
      <c r="Y283" s="117">
        <v>0</v>
      </c>
      <c r="Z283" s="117">
        <v>0</v>
      </c>
      <c r="AA283" s="117">
        <v>13544</v>
      </c>
      <c r="AB283" s="117">
        <v>13583</v>
      </c>
      <c r="AC283" s="117">
        <v>13551</v>
      </c>
      <c r="AD283" s="117">
        <v>46306</v>
      </c>
      <c r="AE283" s="117">
        <v>41297</v>
      </c>
      <c r="AF283"/>
      <c r="AG283"/>
    </row>
    <row r="284" spans="1:33" ht="13.2" x14ac:dyDescent="0.25">
      <c r="A284" s="117" t="s">
        <v>603</v>
      </c>
      <c r="B284" s="117" t="s">
        <v>377</v>
      </c>
      <c r="C284" s="117">
        <f t="shared" si="16"/>
        <v>5627.75</v>
      </c>
      <c r="D284" s="117">
        <f t="shared" si="17"/>
        <v>6139.75</v>
      </c>
      <c r="E284" s="225">
        <f t="shared" si="18"/>
        <v>5663291.4100000001</v>
      </c>
      <c r="F284" s="117">
        <f t="shared" si="19"/>
        <v>9910296.7049999982</v>
      </c>
      <c r="G284" s="117">
        <v>4685</v>
      </c>
      <c r="H284" s="117">
        <v>1809</v>
      </c>
      <c r="I284" s="117">
        <v>5890</v>
      </c>
      <c r="J284" s="117">
        <v>5923</v>
      </c>
      <c r="K284" s="117">
        <v>2116</v>
      </c>
      <c r="L284" s="117">
        <v>2194</v>
      </c>
      <c r="M284" s="117">
        <v>4551</v>
      </c>
      <c r="N284" s="117">
        <v>5605</v>
      </c>
      <c r="O284" s="117">
        <v>4920</v>
      </c>
      <c r="P284" s="117">
        <v>6308</v>
      </c>
      <c r="Q284" s="117">
        <v>3878</v>
      </c>
      <c r="R284" s="117">
        <v>3950</v>
      </c>
      <c r="S284" s="117">
        <v>6793</v>
      </c>
      <c r="T284" s="117">
        <v>6359</v>
      </c>
      <c r="U284" s="117">
        <v>6425</v>
      </c>
      <c r="V284" s="117">
        <v>7211</v>
      </c>
      <c r="W284" s="117">
        <v>9293</v>
      </c>
      <c r="X284" s="117">
        <v>9180</v>
      </c>
      <c r="Y284" s="117">
        <v>0</v>
      </c>
      <c r="Z284" s="117">
        <v>1809</v>
      </c>
      <c r="AA284" s="117">
        <v>36092</v>
      </c>
      <c r="AB284" s="117">
        <v>36598</v>
      </c>
      <c r="AC284" s="117">
        <v>37061</v>
      </c>
      <c r="AD284" s="117">
        <v>72446</v>
      </c>
      <c r="AE284" s="117">
        <v>68277</v>
      </c>
      <c r="AF284"/>
      <c r="AG284"/>
    </row>
    <row r="285" spans="1:33" ht="13.2" x14ac:dyDescent="0.25">
      <c r="A285" s="117" t="s">
        <v>610</v>
      </c>
      <c r="B285" s="117" t="s">
        <v>399</v>
      </c>
      <c r="C285" s="117">
        <f t="shared" si="16"/>
        <v>8576</v>
      </c>
      <c r="D285" s="117">
        <f t="shared" si="17"/>
        <v>8959.5</v>
      </c>
      <c r="E285" s="225">
        <f t="shared" si="18"/>
        <v>3941581.14</v>
      </c>
      <c r="F285" s="117">
        <f t="shared" si="19"/>
        <v>6897444.5699999994</v>
      </c>
      <c r="G285" s="117">
        <v>3352</v>
      </c>
      <c r="H285" s="117">
        <v>3492</v>
      </c>
      <c r="I285" s="117">
        <v>15571</v>
      </c>
      <c r="J285" s="117">
        <v>14645</v>
      </c>
      <c r="K285" s="117">
        <v>10008</v>
      </c>
      <c r="L285" s="117">
        <v>12539</v>
      </c>
      <c r="M285" s="117">
        <v>5518</v>
      </c>
      <c r="N285" s="117">
        <v>8265</v>
      </c>
      <c r="O285" s="117">
        <v>7924</v>
      </c>
      <c r="P285" s="117">
        <v>9009</v>
      </c>
      <c r="Q285" s="117">
        <v>12709</v>
      </c>
      <c r="R285" s="117">
        <v>12940</v>
      </c>
      <c r="S285" s="117">
        <v>16868</v>
      </c>
      <c r="T285" s="117">
        <v>20530</v>
      </c>
      <c r="U285" s="117">
        <v>1761</v>
      </c>
      <c r="V285" s="117">
        <v>3056</v>
      </c>
      <c r="W285" s="117">
        <v>11363</v>
      </c>
      <c r="X285" s="117">
        <v>8760</v>
      </c>
      <c r="Y285" s="117">
        <v>4312</v>
      </c>
      <c r="Z285" s="117">
        <v>3492</v>
      </c>
      <c r="AA285" s="117">
        <v>25526</v>
      </c>
      <c r="AB285" s="117">
        <v>25588</v>
      </c>
      <c r="AC285" s="117">
        <v>25794</v>
      </c>
      <c r="AD285" s="117">
        <v>41229</v>
      </c>
      <c r="AE285" s="117">
        <v>40686</v>
      </c>
      <c r="AF285"/>
      <c r="AG285"/>
    </row>
    <row r="286" spans="1:33" ht="13.2" x14ac:dyDescent="0.25">
      <c r="A286" s="117" t="s">
        <v>601</v>
      </c>
      <c r="B286" s="117" t="s">
        <v>252</v>
      </c>
      <c r="C286" s="117">
        <f t="shared" si="16"/>
        <v>10789.5</v>
      </c>
      <c r="D286" s="117">
        <f t="shared" si="17"/>
        <v>10743.75</v>
      </c>
      <c r="E286" s="225">
        <f t="shared" si="18"/>
        <v>6417255.9500000002</v>
      </c>
      <c r="F286" s="117">
        <f t="shared" si="19"/>
        <v>11229672.975</v>
      </c>
      <c r="G286" s="117">
        <v>20</v>
      </c>
      <c r="H286" s="117">
        <v>55</v>
      </c>
      <c r="I286" s="117">
        <v>7261</v>
      </c>
      <c r="J286" s="117">
        <v>6345</v>
      </c>
      <c r="K286" s="117">
        <v>4382</v>
      </c>
      <c r="L286" s="117">
        <v>5158</v>
      </c>
      <c r="M286" s="117">
        <v>2817</v>
      </c>
      <c r="N286" s="117">
        <v>4389</v>
      </c>
      <c r="O286" s="117">
        <v>10580</v>
      </c>
      <c r="P286" s="117">
        <v>12134</v>
      </c>
      <c r="Q286" s="117">
        <v>6586</v>
      </c>
      <c r="R286" s="117">
        <v>6907</v>
      </c>
      <c r="S286" s="117">
        <v>9641</v>
      </c>
      <c r="T286" s="117">
        <v>11590</v>
      </c>
      <c r="U286" s="117">
        <v>14221</v>
      </c>
      <c r="V286" s="117">
        <v>14964</v>
      </c>
      <c r="W286" s="117">
        <v>19276</v>
      </c>
      <c r="X286" s="117">
        <v>16366</v>
      </c>
      <c r="Y286" s="117">
        <v>20</v>
      </c>
      <c r="Z286" s="117">
        <v>55</v>
      </c>
      <c r="AA286" s="117">
        <v>41491</v>
      </c>
      <c r="AB286" s="117">
        <v>41469</v>
      </c>
      <c r="AC286" s="117">
        <v>41995</v>
      </c>
      <c r="AD286" s="117">
        <v>99300</v>
      </c>
      <c r="AE286" s="117">
        <v>97196</v>
      </c>
      <c r="AF286"/>
      <c r="AG286"/>
    </row>
    <row r="287" spans="1:33" ht="13.2" x14ac:dyDescent="0.25">
      <c r="A287" s="117" t="s">
        <v>599</v>
      </c>
      <c r="B287" s="117" t="s">
        <v>451</v>
      </c>
      <c r="C287" s="117">
        <f t="shared" si="16"/>
        <v>40331.75</v>
      </c>
      <c r="D287" s="117">
        <f t="shared" si="17"/>
        <v>34997.25</v>
      </c>
      <c r="E287" s="225">
        <f t="shared" si="18"/>
        <v>33212031.02</v>
      </c>
      <c r="F287" s="117">
        <f t="shared" si="19"/>
        <v>58118337.50999999</v>
      </c>
      <c r="G287" s="117">
        <v>8391</v>
      </c>
      <c r="H287" s="117">
        <v>32682</v>
      </c>
      <c r="I287" s="117">
        <v>64950</v>
      </c>
      <c r="J287" s="117">
        <v>97594</v>
      </c>
      <c r="K287" s="117">
        <v>82292</v>
      </c>
      <c r="L287" s="117">
        <v>81184</v>
      </c>
      <c r="M287" s="117">
        <v>-41120</v>
      </c>
      <c r="N287" s="117">
        <v>98655</v>
      </c>
      <c r="O287" s="117">
        <v>96403</v>
      </c>
      <c r="P287" s="117">
        <v>59947</v>
      </c>
      <c r="Q287" s="117">
        <v>62102</v>
      </c>
      <c r="R287" s="117">
        <v>66087</v>
      </c>
      <c r="S287" s="117">
        <v>62351</v>
      </c>
      <c r="T287" s="117">
        <v>42806</v>
      </c>
      <c r="U287" s="117">
        <v>75030</v>
      </c>
      <c r="V287" s="117">
        <v>50439</v>
      </c>
      <c r="W287" s="117">
        <v>5659</v>
      </c>
      <c r="X287" s="117">
        <v>14062</v>
      </c>
      <c r="Y287" s="117">
        <v>18287</v>
      </c>
      <c r="Z287" s="117">
        <v>32682</v>
      </c>
      <c r="AA287" s="117">
        <v>213840</v>
      </c>
      <c r="AB287" s="117">
        <v>215631</v>
      </c>
      <c r="AC287" s="117">
        <v>217342</v>
      </c>
      <c r="AD287" s="117">
        <v>829775</v>
      </c>
      <c r="AE287" s="117">
        <v>752629</v>
      </c>
      <c r="AF287"/>
      <c r="AG287"/>
    </row>
    <row r="288" spans="1:33" ht="13.2" x14ac:dyDescent="0.25">
      <c r="A288" s="117" t="s">
        <v>604</v>
      </c>
      <c r="B288" s="117" t="s">
        <v>204</v>
      </c>
      <c r="C288" s="117">
        <f t="shared" si="16"/>
        <v>5398.25</v>
      </c>
      <c r="D288" s="117">
        <f t="shared" si="17"/>
        <v>3959.75</v>
      </c>
      <c r="E288" s="225">
        <f t="shared" si="18"/>
        <v>3251032.75</v>
      </c>
      <c r="F288" s="117">
        <f t="shared" si="19"/>
        <v>5689041.3749999991</v>
      </c>
      <c r="G288" s="117">
        <v>1638</v>
      </c>
      <c r="H288" s="117">
        <v>1012</v>
      </c>
      <c r="I288" s="117">
        <v>1853</v>
      </c>
      <c r="J288" s="117">
        <v>2187</v>
      </c>
      <c r="K288" s="117">
        <v>3586</v>
      </c>
      <c r="L288" s="117">
        <v>3390</v>
      </c>
      <c r="M288" s="117">
        <v>3274</v>
      </c>
      <c r="N288" s="117">
        <v>4952</v>
      </c>
      <c r="O288" s="117">
        <v>2249</v>
      </c>
      <c r="P288" s="117">
        <v>2551</v>
      </c>
      <c r="Q288" s="117">
        <v>5161</v>
      </c>
      <c r="R288" s="117">
        <v>5402</v>
      </c>
      <c r="S288" s="117">
        <v>3606</v>
      </c>
      <c r="T288" s="117">
        <v>3438</v>
      </c>
      <c r="U288" s="117">
        <v>9491</v>
      </c>
      <c r="V288" s="117">
        <v>7042</v>
      </c>
      <c r="W288" s="117">
        <v>6488</v>
      </c>
      <c r="X288" s="117">
        <v>4347</v>
      </c>
      <c r="Y288" s="117">
        <v>2008</v>
      </c>
      <c r="Z288" s="117">
        <v>1012</v>
      </c>
      <c r="AA288" s="117">
        <v>21152</v>
      </c>
      <c r="AB288" s="117">
        <v>21216</v>
      </c>
      <c r="AC288" s="117">
        <v>21275</v>
      </c>
      <c r="AD288" s="117">
        <v>31679</v>
      </c>
      <c r="AE288" s="117">
        <v>33101</v>
      </c>
      <c r="AF288"/>
      <c r="AG288"/>
    </row>
    <row r="289" spans="1:33" ht="13.2" x14ac:dyDescent="0.25">
      <c r="A289" s="117" t="s">
        <v>604</v>
      </c>
      <c r="B289" s="117" t="s">
        <v>205</v>
      </c>
      <c r="C289" s="117">
        <f t="shared" si="16"/>
        <v>3792</v>
      </c>
      <c r="D289" s="117">
        <f t="shared" si="17"/>
        <v>3881.5</v>
      </c>
      <c r="E289" s="225">
        <f t="shared" si="18"/>
        <v>5162685.8499999996</v>
      </c>
      <c r="F289" s="117">
        <f t="shared" si="19"/>
        <v>9034277.9249999989</v>
      </c>
      <c r="G289" s="117">
        <v>3134</v>
      </c>
      <c r="H289" s="117">
        <v>2538</v>
      </c>
      <c r="I289" s="117">
        <v>6500</v>
      </c>
      <c r="J289" s="117">
        <v>7833</v>
      </c>
      <c r="K289" s="117">
        <v>7296</v>
      </c>
      <c r="L289" s="117">
        <v>7033</v>
      </c>
      <c r="M289" s="117">
        <v>7331</v>
      </c>
      <c r="N289" s="117">
        <v>10354</v>
      </c>
      <c r="O289" s="117">
        <v>4109</v>
      </c>
      <c r="P289" s="117">
        <v>5315</v>
      </c>
      <c r="Q289" s="117">
        <v>6589</v>
      </c>
      <c r="R289" s="117">
        <v>6750</v>
      </c>
      <c r="S289" s="117">
        <v>8275</v>
      </c>
      <c r="T289" s="117">
        <v>9173</v>
      </c>
      <c r="U289" s="117">
        <v>3292</v>
      </c>
      <c r="V289" s="117">
        <v>3199</v>
      </c>
      <c r="W289" s="117">
        <v>1803</v>
      </c>
      <c r="X289" s="117">
        <v>616</v>
      </c>
      <c r="Y289" s="117">
        <v>1798</v>
      </c>
      <c r="Z289" s="117">
        <v>2538</v>
      </c>
      <c r="AA289" s="117">
        <v>33843</v>
      </c>
      <c r="AB289" s="117">
        <v>33905</v>
      </c>
      <c r="AC289" s="117">
        <v>33785</v>
      </c>
      <c r="AD289" s="117">
        <v>66135</v>
      </c>
      <c r="AE289" s="117">
        <v>74339</v>
      </c>
      <c r="AF289"/>
      <c r="AG289"/>
    </row>
    <row r="290" spans="1:33" ht="13.2" x14ac:dyDescent="0.25">
      <c r="A290" s="117" t="s">
        <v>598</v>
      </c>
      <c r="B290" s="117" t="s">
        <v>138</v>
      </c>
      <c r="C290" s="117">
        <f t="shared" si="16"/>
        <v>16002</v>
      </c>
      <c r="D290" s="117">
        <f t="shared" si="17"/>
        <v>12325.5</v>
      </c>
      <c r="E290" s="225">
        <f t="shared" si="18"/>
        <v>5148932.95</v>
      </c>
      <c r="F290" s="117">
        <f t="shared" si="19"/>
        <v>9010211.4749999996</v>
      </c>
      <c r="G290" s="117">
        <v>6898</v>
      </c>
      <c r="H290" s="117">
        <v>6910</v>
      </c>
      <c r="I290" s="117">
        <v>16881</v>
      </c>
      <c r="J290" s="117">
        <v>20869</v>
      </c>
      <c r="K290" s="117">
        <v>16924</v>
      </c>
      <c r="L290" s="117">
        <v>20788</v>
      </c>
      <c r="M290" s="117">
        <v>16804</v>
      </c>
      <c r="N290" s="117">
        <v>19551</v>
      </c>
      <c r="O290" s="117">
        <v>8651</v>
      </c>
      <c r="P290" s="117">
        <v>14114</v>
      </c>
      <c r="Q290" s="117">
        <v>17922</v>
      </c>
      <c r="R290" s="117">
        <v>17881</v>
      </c>
      <c r="S290" s="117">
        <v>16379</v>
      </c>
      <c r="T290" s="117">
        <v>15897</v>
      </c>
      <c r="U290" s="117">
        <v>11908</v>
      </c>
      <c r="V290" s="117">
        <v>11333</v>
      </c>
      <c r="W290" s="117">
        <v>25926</v>
      </c>
      <c r="X290" s="117">
        <v>15162</v>
      </c>
      <c r="Y290" s="117">
        <v>9795</v>
      </c>
      <c r="Z290" s="117">
        <v>6910</v>
      </c>
      <c r="AA290" s="117">
        <v>33280</v>
      </c>
      <c r="AB290" s="117">
        <v>33465</v>
      </c>
      <c r="AC290" s="117">
        <v>33695</v>
      </c>
      <c r="AD290" s="117">
        <v>81593</v>
      </c>
      <c r="AE290" s="117">
        <v>82933</v>
      </c>
      <c r="AF290"/>
      <c r="AG290"/>
    </row>
    <row r="291" spans="1:33" ht="13.2" x14ac:dyDescent="0.25">
      <c r="A291" s="117" t="s">
        <v>602</v>
      </c>
      <c r="B291" s="117" t="s">
        <v>182</v>
      </c>
      <c r="C291" s="117">
        <f t="shared" si="16"/>
        <v>1615</v>
      </c>
      <c r="D291" s="117">
        <f t="shared" si="17"/>
        <v>1785</v>
      </c>
      <c r="E291" s="225">
        <f t="shared" si="18"/>
        <v>4853856.84</v>
      </c>
      <c r="F291" s="117">
        <f t="shared" si="19"/>
        <v>8493852.4199999999</v>
      </c>
      <c r="G291" s="117">
        <v>0</v>
      </c>
      <c r="H291" s="117">
        <v>143</v>
      </c>
      <c r="I291" s="117">
        <v>7368</v>
      </c>
      <c r="J291" s="117">
        <v>7022</v>
      </c>
      <c r="K291" s="117">
        <v>330</v>
      </c>
      <c r="L291" s="117">
        <v>3249</v>
      </c>
      <c r="M291" s="117">
        <v>4640</v>
      </c>
      <c r="N291" s="117">
        <v>8548</v>
      </c>
      <c r="O291" s="117">
        <v>37</v>
      </c>
      <c r="P291" s="117">
        <v>1707</v>
      </c>
      <c r="Q291" s="117">
        <v>140</v>
      </c>
      <c r="R291" s="117">
        <v>1974</v>
      </c>
      <c r="S291" s="117">
        <v>685</v>
      </c>
      <c r="T291" s="117">
        <v>2142</v>
      </c>
      <c r="U291" s="117">
        <v>363</v>
      </c>
      <c r="V291" s="117">
        <v>401</v>
      </c>
      <c r="W291" s="117">
        <v>5412</v>
      </c>
      <c r="X291" s="117">
        <v>4454</v>
      </c>
      <c r="Y291" s="117">
        <v>0</v>
      </c>
      <c r="Z291" s="117">
        <v>143</v>
      </c>
      <c r="AA291" s="117">
        <v>31980</v>
      </c>
      <c r="AB291" s="117">
        <v>31879</v>
      </c>
      <c r="AC291" s="117">
        <v>31764</v>
      </c>
      <c r="AD291" s="117">
        <v>57813</v>
      </c>
      <c r="AE291" s="117">
        <v>51766</v>
      </c>
      <c r="AF291"/>
      <c r="AG291"/>
    </row>
    <row r="292" spans="1:33" ht="13.2" x14ac:dyDescent="0.25">
      <c r="A292" s="117" t="s">
        <v>599</v>
      </c>
      <c r="B292" s="117" t="s">
        <v>452</v>
      </c>
      <c r="C292" s="117">
        <f t="shared" si="16"/>
        <v>9100.75</v>
      </c>
      <c r="D292" s="117">
        <f t="shared" si="17"/>
        <v>3213.25</v>
      </c>
      <c r="E292" s="225">
        <f t="shared" si="18"/>
        <v>6382873.7000000002</v>
      </c>
      <c r="F292" s="117">
        <f t="shared" si="19"/>
        <v>11169506.85</v>
      </c>
      <c r="G292" s="117">
        <v>4719</v>
      </c>
      <c r="H292" s="117">
        <v>2968</v>
      </c>
      <c r="I292" s="117">
        <v>27374</v>
      </c>
      <c r="J292" s="117">
        <v>37051</v>
      </c>
      <c r="K292" s="117">
        <v>15119</v>
      </c>
      <c r="L292" s="117">
        <v>23336</v>
      </c>
      <c r="M292" s="117">
        <v>18390</v>
      </c>
      <c r="N292" s="117">
        <v>19017</v>
      </c>
      <c r="O292" s="117">
        <v>11163</v>
      </c>
      <c r="P292" s="117">
        <v>11108</v>
      </c>
      <c r="Q292" s="117">
        <v>13092</v>
      </c>
      <c r="R292" s="117">
        <v>13050</v>
      </c>
      <c r="S292" s="117">
        <v>14490</v>
      </c>
      <c r="T292" s="117">
        <v>6695</v>
      </c>
      <c r="U292" s="117">
        <v>11422</v>
      </c>
      <c r="V292" s="117">
        <v>5935</v>
      </c>
      <c r="W292" s="117">
        <v>1035</v>
      </c>
      <c r="X292" s="117">
        <v>-2745</v>
      </c>
      <c r="Y292" s="117">
        <v>9456</v>
      </c>
      <c r="Z292" s="117">
        <v>2968</v>
      </c>
      <c r="AA292" s="117">
        <v>41387</v>
      </c>
      <c r="AB292" s="117">
        <v>41732</v>
      </c>
      <c r="AC292" s="117">
        <v>41770</v>
      </c>
      <c r="AD292" s="117">
        <v>124527</v>
      </c>
      <c r="AE292" s="117">
        <v>121059</v>
      </c>
      <c r="AF292"/>
      <c r="AG292"/>
    </row>
    <row r="293" spans="1:33" ht="13.2" x14ac:dyDescent="0.25">
      <c r="A293" s="117" t="s">
        <v>600</v>
      </c>
      <c r="B293" s="117" t="s">
        <v>323</v>
      </c>
      <c r="C293" s="117">
        <f t="shared" si="16"/>
        <v>1216.5</v>
      </c>
      <c r="D293" s="117">
        <f t="shared" si="17"/>
        <v>597.5</v>
      </c>
      <c r="E293" s="225">
        <f t="shared" si="18"/>
        <v>2068436.16</v>
      </c>
      <c r="F293" s="117">
        <f t="shared" si="19"/>
        <v>3619594.0799999996</v>
      </c>
      <c r="G293" s="117">
        <v>0</v>
      </c>
      <c r="H293" s="117">
        <v>44</v>
      </c>
      <c r="I293" s="117">
        <v>1196</v>
      </c>
      <c r="J293" s="117">
        <v>1406</v>
      </c>
      <c r="K293" s="117">
        <v>4052</v>
      </c>
      <c r="L293" s="117">
        <v>4484</v>
      </c>
      <c r="M293" s="117">
        <v>979</v>
      </c>
      <c r="N293" s="117">
        <v>4231</v>
      </c>
      <c r="O293" s="117">
        <v>802</v>
      </c>
      <c r="P293" s="117">
        <v>880</v>
      </c>
      <c r="Q293" s="117">
        <v>1013</v>
      </c>
      <c r="R293" s="117">
        <v>1025</v>
      </c>
      <c r="S293" s="117">
        <v>2140</v>
      </c>
      <c r="T293" s="117">
        <v>762</v>
      </c>
      <c r="U293" s="117">
        <v>2718</v>
      </c>
      <c r="V293" s="117">
        <v>1515</v>
      </c>
      <c r="W293" s="117">
        <v>8</v>
      </c>
      <c r="X293" s="117">
        <v>69</v>
      </c>
      <c r="Y293" s="117">
        <v>0</v>
      </c>
      <c r="Z293" s="117">
        <v>44</v>
      </c>
      <c r="AA293" s="117">
        <v>13470</v>
      </c>
      <c r="AB293" s="117">
        <v>13526</v>
      </c>
      <c r="AC293" s="117">
        <v>13536</v>
      </c>
      <c r="AD293" s="117">
        <v>16307</v>
      </c>
      <c r="AE293" s="117">
        <v>14519</v>
      </c>
      <c r="AF293"/>
      <c r="AG293"/>
    </row>
    <row r="294" spans="1:33" ht="13.2" x14ac:dyDescent="0.25">
      <c r="A294" s="117" t="s">
        <v>600</v>
      </c>
      <c r="B294" s="117" t="s">
        <v>324</v>
      </c>
      <c r="C294" s="117">
        <f t="shared" si="16"/>
        <v>7598</v>
      </c>
      <c r="D294" s="117">
        <f t="shared" si="17"/>
        <v>8862.75</v>
      </c>
      <c r="E294" s="225">
        <f t="shared" si="18"/>
        <v>4500254.5</v>
      </c>
      <c r="F294" s="117">
        <f t="shared" si="19"/>
        <v>7875077.2499999991</v>
      </c>
      <c r="G294" s="117">
        <v>9260</v>
      </c>
      <c r="H294" s="117">
        <v>9920</v>
      </c>
      <c r="I294" s="117">
        <v>6815</v>
      </c>
      <c r="J294" s="117">
        <v>6934</v>
      </c>
      <c r="K294" s="117">
        <v>8897</v>
      </c>
      <c r="L294" s="117">
        <v>8953</v>
      </c>
      <c r="M294" s="117">
        <v>5586</v>
      </c>
      <c r="N294" s="117">
        <v>13418</v>
      </c>
      <c r="O294" s="117">
        <v>8332</v>
      </c>
      <c r="P294" s="117">
        <v>11045</v>
      </c>
      <c r="Q294" s="117">
        <v>9515</v>
      </c>
      <c r="R294" s="117">
        <v>10552</v>
      </c>
      <c r="S294" s="117">
        <v>8092</v>
      </c>
      <c r="T294" s="117">
        <v>8911</v>
      </c>
      <c r="U294" s="117">
        <v>6766</v>
      </c>
      <c r="V294" s="117">
        <v>8381</v>
      </c>
      <c r="W294" s="117">
        <v>7565</v>
      </c>
      <c r="X294" s="117">
        <v>8239</v>
      </c>
      <c r="Y294" s="117">
        <v>7969</v>
      </c>
      <c r="Z294" s="117">
        <v>9920</v>
      </c>
      <c r="AA294" s="117">
        <v>29201</v>
      </c>
      <c r="AB294" s="117">
        <v>29425</v>
      </c>
      <c r="AC294" s="117">
        <v>29450</v>
      </c>
      <c r="AD294" s="117">
        <v>95454</v>
      </c>
      <c r="AE294" s="117">
        <v>90874</v>
      </c>
      <c r="AF294"/>
      <c r="AG294"/>
    </row>
    <row r="295" spans="1:33" ht="13.2" x14ac:dyDescent="0.25">
      <c r="A295" s="117" t="s">
        <v>605</v>
      </c>
      <c r="B295" s="117" t="s">
        <v>498</v>
      </c>
      <c r="C295" s="117">
        <f t="shared" si="16"/>
        <v>8332.25</v>
      </c>
      <c r="D295" s="117">
        <f t="shared" si="17"/>
        <v>7735</v>
      </c>
      <c r="E295" s="225">
        <f t="shared" si="18"/>
        <v>3173558.08</v>
      </c>
      <c r="F295" s="117">
        <f t="shared" si="19"/>
        <v>5553467.0399999991</v>
      </c>
      <c r="G295" s="117">
        <v>6051</v>
      </c>
      <c r="H295" s="117">
        <v>5082</v>
      </c>
      <c r="I295" s="117">
        <v>3196</v>
      </c>
      <c r="J295" s="117">
        <v>3334</v>
      </c>
      <c r="K295" s="117">
        <v>3500</v>
      </c>
      <c r="L295" s="117">
        <v>3647</v>
      </c>
      <c r="M295" s="117">
        <v>6038</v>
      </c>
      <c r="N295" s="117">
        <v>5659</v>
      </c>
      <c r="O295" s="117">
        <v>3021</v>
      </c>
      <c r="P295" s="117">
        <v>3359</v>
      </c>
      <c r="Q295" s="117">
        <v>8124</v>
      </c>
      <c r="R295" s="117">
        <v>5990</v>
      </c>
      <c r="S295" s="117">
        <v>3642</v>
      </c>
      <c r="T295" s="117">
        <v>3701</v>
      </c>
      <c r="U295" s="117">
        <v>4790</v>
      </c>
      <c r="V295" s="117">
        <v>3840</v>
      </c>
      <c r="W295" s="117">
        <v>18314</v>
      </c>
      <c r="X295" s="117">
        <v>18317</v>
      </c>
      <c r="Y295" s="117">
        <v>6583</v>
      </c>
      <c r="Z295" s="117">
        <v>5082</v>
      </c>
      <c r="AA295" s="117">
        <v>20220</v>
      </c>
      <c r="AB295" s="117">
        <v>20523</v>
      </c>
      <c r="AC295" s="117">
        <v>20768</v>
      </c>
      <c r="AD295" s="117">
        <v>63718</v>
      </c>
      <c r="AE295" s="117">
        <v>50349</v>
      </c>
      <c r="AF295"/>
      <c r="AG295"/>
    </row>
    <row r="296" spans="1:33" ht="13.2" x14ac:dyDescent="0.25">
      <c r="A296" s="117" t="s">
        <v>606</v>
      </c>
      <c r="B296" s="117" t="s">
        <v>279</v>
      </c>
      <c r="C296" s="117">
        <f t="shared" si="16"/>
        <v>357947.75</v>
      </c>
      <c r="D296" s="117">
        <f t="shared" si="17"/>
        <v>323800</v>
      </c>
      <c r="E296" s="225">
        <f t="shared" si="18"/>
        <v>53910603.950000003</v>
      </c>
      <c r="F296" s="117">
        <f t="shared" si="19"/>
        <v>94339146.974999994</v>
      </c>
      <c r="G296" s="117">
        <v>163159</v>
      </c>
      <c r="H296" s="117">
        <v>155983</v>
      </c>
      <c r="I296" s="117">
        <v>310500</v>
      </c>
      <c r="J296" s="117">
        <v>268351</v>
      </c>
      <c r="K296" s="117">
        <v>354524</v>
      </c>
      <c r="L296" s="117">
        <v>404172</v>
      </c>
      <c r="M296" s="117">
        <v>279850</v>
      </c>
      <c r="N296" s="117">
        <v>206831</v>
      </c>
      <c r="O296" s="117">
        <v>189077</v>
      </c>
      <c r="P296" s="117">
        <v>163332</v>
      </c>
      <c r="Q296" s="117">
        <v>244806</v>
      </c>
      <c r="R296" s="117">
        <v>222717</v>
      </c>
      <c r="S296" s="117">
        <v>874455</v>
      </c>
      <c r="T296" s="117">
        <v>842813</v>
      </c>
      <c r="U296" s="117">
        <v>266195</v>
      </c>
      <c r="V296" s="117">
        <v>205570</v>
      </c>
      <c r="W296" s="117">
        <v>135051</v>
      </c>
      <c r="X296" s="117">
        <v>90834</v>
      </c>
      <c r="Y296" s="117">
        <v>156090</v>
      </c>
      <c r="Z296" s="117">
        <v>155983</v>
      </c>
      <c r="AA296" s="117">
        <v>343086</v>
      </c>
      <c r="AB296" s="117">
        <v>347526</v>
      </c>
      <c r="AC296" s="117">
        <v>352795</v>
      </c>
      <c r="AD296" s="117">
        <v>1454234</v>
      </c>
      <c r="AE296" s="117">
        <v>1458934</v>
      </c>
      <c r="AF296"/>
      <c r="AG296"/>
    </row>
    <row r="297" spans="1:33" ht="13.2" x14ac:dyDescent="0.25">
      <c r="A297" s="117" t="s">
        <v>606</v>
      </c>
      <c r="B297" s="117" t="s">
        <v>280</v>
      </c>
      <c r="C297" s="117">
        <f t="shared" si="16"/>
        <v>2716.25</v>
      </c>
      <c r="D297" s="117">
        <f t="shared" si="17"/>
        <v>2694</v>
      </c>
      <c r="E297" s="225">
        <f t="shared" si="18"/>
        <v>7568068.0600000005</v>
      </c>
      <c r="F297" s="117">
        <f t="shared" si="19"/>
        <v>13243500.029999999</v>
      </c>
      <c r="G297" s="117">
        <v>1879</v>
      </c>
      <c r="H297" s="117">
        <v>989</v>
      </c>
      <c r="I297" s="117">
        <v>2273</v>
      </c>
      <c r="J297" s="117">
        <v>1188</v>
      </c>
      <c r="K297" s="117">
        <v>17532</v>
      </c>
      <c r="L297" s="117">
        <v>15547</v>
      </c>
      <c r="M297" s="117">
        <v>2028</v>
      </c>
      <c r="N297" s="117">
        <v>2314</v>
      </c>
      <c r="O297" s="117">
        <v>1656</v>
      </c>
      <c r="P297" s="117">
        <v>2459</v>
      </c>
      <c r="Q297" s="117">
        <v>1033</v>
      </c>
      <c r="R297" s="117">
        <v>2658</v>
      </c>
      <c r="S297" s="117">
        <v>2458</v>
      </c>
      <c r="T297" s="117">
        <v>4739</v>
      </c>
      <c r="U297" s="117">
        <v>6325</v>
      </c>
      <c r="V297" s="117">
        <v>4150</v>
      </c>
      <c r="W297" s="117">
        <v>982</v>
      </c>
      <c r="X297" s="117">
        <v>898</v>
      </c>
      <c r="Y297" s="117">
        <v>1100</v>
      </c>
      <c r="Z297" s="117">
        <v>989</v>
      </c>
      <c r="AA297" s="117">
        <v>49013</v>
      </c>
      <c r="AB297" s="117">
        <v>49340</v>
      </c>
      <c r="AC297" s="117">
        <v>49526</v>
      </c>
      <c r="AD297" s="117">
        <v>137245</v>
      </c>
      <c r="AE297" s="117">
        <v>143241</v>
      </c>
      <c r="AF297"/>
      <c r="AG297"/>
    </row>
    <row r="298" spans="1:33" ht="13.2" x14ac:dyDescent="0.25">
      <c r="A298" s="117" t="s">
        <v>608</v>
      </c>
      <c r="B298" s="117" t="s">
        <v>488</v>
      </c>
      <c r="C298" s="117">
        <f t="shared" si="16"/>
        <v>0</v>
      </c>
      <c r="D298" s="117">
        <f t="shared" si="17"/>
        <v>0</v>
      </c>
      <c r="E298" s="225">
        <f t="shared" si="18"/>
        <v>1542464.1400000001</v>
      </c>
      <c r="F298" s="117">
        <f t="shared" si="19"/>
        <v>2699186.07</v>
      </c>
      <c r="G298" s="117">
        <v>0</v>
      </c>
      <c r="H298" s="117">
        <v>0</v>
      </c>
      <c r="I298" s="117">
        <v>0</v>
      </c>
      <c r="J298" s="117">
        <v>0</v>
      </c>
      <c r="K298" s="117">
        <v>3122</v>
      </c>
      <c r="L298" s="117">
        <v>3122</v>
      </c>
      <c r="M298" s="117">
        <v>0</v>
      </c>
      <c r="N298" s="117">
        <v>0</v>
      </c>
      <c r="O298" s="117">
        <v>0</v>
      </c>
      <c r="P298" s="117">
        <v>0</v>
      </c>
      <c r="Q298" s="117">
        <v>0</v>
      </c>
      <c r="R298" s="117">
        <v>0</v>
      </c>
      <c r="S298" s="117">
        <v>0</v>
      </c>
      <c r="T298" s="117">
        <v>0</v>
      </c>
      <c r="U298" s="117">
        <v>0</v>
      </c>
      <c r="V298" s="117">
        <v>0</v>
      </c>
      <c r="W298" s="117">
        <v>0</v>
      </c>
      <c r="X298" s="117">
        <v>0</v>
      </c>
      <c r="Y298" s="117">
        <v>0</v>
      </c>
      <c r="Z298" s="117">
        <v>0</v>
      </c>
      <c r="AA298" s="117">
        <v>9703</v>
      </c>
      <c r="AB298" s="117">
        <v>9874</v>
      </c>
      <c r="AC298" s="117">
        <v>10094</v>
      </c>
      <c r="AD298" s="117">
        <v>28892</v>
      </c>
      <c r="AE298" s="117">
        <v>30324</v>
      </c>
      <c r="AF298"/>
      <c r="AG298"/>
    </row>
    <row r="299" spans="1:33" ht="13.2" x14ac:dyDescent="0.25">
      <c r="A299" s="117" t="s">
        <v>608</v>
      </c>
      <c r="B299" s="117" t="s">
        <v>489</v>
      </c>
      <c r="C299" s="117">
        <f t="shared" si="16"/>
        <v>267</v>
      </c>
      <c r="D299" s="117">
        <f t="shared" si="17"/>
        <v>2071</v>
      </c>
      <c r="E299" s="225">
        <f t="shared" si="18"/>
        <v>2517544.75</v>
      </c>
      <c r="F299" s="117">
        <f t="shared" si="19"/>
        <v>4405497.375</v>
      </c>
      <c r="G299" s="117">
        <v>0</v>
      </c>
      <c r="H299" s="117">
        <v>272</v>
      </c>
      <c r="I299" s="117">
        <v>0</v>
      </c>
      <c r="J299" s="117">
        <v>305</v>
      </c>
      <c r="K299" s="117">
        <v>7108</v>
      </c>
      <c r="L299" s="117">
        <v>7110</v>
      </c>
      <c r="M299" s="117">
        <v>1708</v>
      </c>
      <c r="N299" s="117">
        <v>3576</v>
      </c>
      <c r="O299" s="117">
        <v>1405</v>
      </c>
      <c r="P299" s="117">
        <v>2290</v>
      </c>
      <c r="Q299" s="117">
        <v>8179</v>
      </c>
      <c r="R299" s="117">
        <v>8443</v>
      </c>
      <c r="S299" s="117">
        <v>143</v>
      </c>
      <c r="T299" s="117">
        <v>-29</v>
      </c>
      <c r="U299" s="117">
        <v>351</v>
      </c>
      <c r="V299" s="117">
        <v>6724</v>
      </c>
      <c r="W299" s="117">
        <v>574</v>
      </c>
      <c r="X299" s="117">
        <v>1317</v>
      </c>
      <c r="Y299" s="117">
        <v>0</v>
      </c>
      <c r="Z299" s="117">
        <v>272</v>
      </c>
      <c r="AA299" s="117">
        <v>16440</v>
      </c>
      <c r="AB299" s="117">
        <v>16428</v>
      </c>
      <c r="AC299" s="117">
        <v>16475</v>
      </c>
      <c r="AD299" s="117">
        <v>56802</v>
      </c>
      <c r="AE299" s="117">
        <v>56221</v>
      </c>
      <c r="AF299"/>
      <c r="AG299"/>
    </row>
    <row r="300" spans="1:33" ht="13.2" x14ac:dyDescent="0.25">
      <c r="A300" s="117" t="s">
        <v>599</v>
      </c>
      <c r="B300" s="117" t="s">
        <v>453</v>
      </c>
      <c r="C300" s="117">
        <f t="shared" si="16"/>
        <v>3054.5</v>
      </c>
      <c r="D300" s="117">
        <f t="shared" si="17"/>
        <v>3417</v>
      </c>
      <c r="E300" s="225">
        <f t="shared" si="18"/>
        <v>4720606.5200000005</v>
      </c>
      <c r="F300" s="117">
        <f t="shared" si="19"/>
        <v>8260675.2599999988</v>
      </c>
      <c r="G300" s="117">
        <v>3084</v>
      </c>
      <c r="H300" s="117">
        <v>3084</v>
      </c>
      <c r="I300" s="117">
        <v>9083</v>
      </c>
      <c r="J300" s="117">
        <v>7803</v>
      </c>
      <c r="K300" s="117">
        <v>5087</v>
      </c>
      <c r="L300" s="117">
        <v>5088</v>
      </c>
      <c r="M300" s="117">
        <v>5767</v>
      </c>
      <c r="N300" s="117">
        <v>9187</v>
      </c>
      <c r="O300" s="117">
        <v>4816</v>
      </c>
      <c r="P300" s="117">
        <v>7264</v>
      </c>
      <c r="Q300" s="117">
        <v>4593</v>
      </c>
      <c r="R300" s="117">
        <v>4964</v>
      </c>
      <c r="S300" s="117">
        <v>3533</v>
      </c>
      <c r="T300" s="117">
        <v>3966</v>
      </c>
      <c r="U300" s="117">
        <v>2963</v>
      </c>
      <c r="V300" s="117">
        <v>3150</v>
      </c>
      <c r="W300" s="117">
        <v>2947</v>
      </c>
      <c r="X300" s="117">
        <v>3468</v>
      </c>
      <c r="Y300" s="117">
        <v>2775</v>
      </c>
      <c r="Z300" s="117">
        <v>3084</v>
      </c>
      <c r="AA300" s="117">
        <v>30515</v>
      </c>
      <c r="AB300" s="117">
        <v>30658</v>
      </c>
      <c r="AC300" s="117">
        <v>30892</v>
      </c>
      <c r="AD300" s="117">
        <v>76633</v>
      </c>
      <c r="AE300" s="117">
        <v>79000</v>
      </c>
      <c r="AF300"/>
      <c r="AG300"/>
    </row>
    <row r="301" spans="1:33" ht="13.2" x14ac:dyDescent="0.25">
      <c r="A301" s="117" t="s">
        <v>607</v>
      </c>
      <c r="B301" s="117" t="s">
        <v>161</v>
      </c>
      <c r="C301" s="117">
        <f t="shared" si="16"/>
        <v>3347</v>
      </c>
      <c r="D301" s="117">
        <f t="shared" si="17"/>
        <v>4234.5</v>
      </c>
      <c r="E301" s="225">
        <f t="shared" si="18"/>
        <v>4198301.9400000004</v>
      </c>
      <c r="F301" s="117">
        <f t="shared" si="19"/>
        <v>7346684.9699999988</v>
      </c>
      <c r="G301" s="117">
        <v>2359</v>
      </c>
      <c r="H301" s="117">
        <v>2359</v>
      </c>
      <c r="I301" s="117">
        <v>11076</v>
      </c>
      <c r="J301" s="117">
        <v>12047</v>
      </c>
      <c r="K301" s="117">
        <v>7522</v>
      </c>
      <c r="L301" s="117">
        <v>11948</v>
      </c>
      <c r="M301" s="117">
        <v>53087</v>
      </c>
      <c r="N301" s="117">
        <v>24950</v>
      </c>
      <c r="O301" s="117">
        <v>1380</v>
      </c>
      <c r="P301" s="117">
        <v>6960</v>
      </c>
      <c r="Q301" s="117">
        <v>2516</v>
      </c>
      <c r="R301" s="117">
        <v>3237</v>
      </c>
      <c r="S301" s="117">
        <v>4658</v>
      </c>
      <c r="T301" s="117">
        <v>4426</v>
      </c>
      <c r="U301" s="117">
        <v>5769</v>
      </c>
      <c r="V301" s="117">
        <v>7192</v>
      </c>
      <c r="W301" s="117">
        <v>2961</v>
      </c>
      <c r="X301" s="117">
        <v>2961</v>
      </c>
      <c r="Y301" s="117">
        <v>0</v>
      </c>
      <c r="Z301" s="117">
        <v>2359</v>
      </c>
      <c r="AA301" s="117">
        <v>27526</v>
      </c>
      <c r="AB301" s="117">
        <v>27521</v>
      </c>
      <c r="AC301" s="117">
        <v>27474</v>
      </c>
      <c r="AD301" s="117">
        <v>48567</v>
      </c>
      <c r="AE301" s="117">
        <v>50938</v>
      </c>
      <c r="AF301"/>
      <c r="AG301"/>
    </row>
    <row r="302" spans="1:33" ht="13.2" x14ac:dyDescent="0.25">
      <c r="A302" s="117" t="s">
        <v>606</v>
      </c>
      <c r="B302" s="117" t="s">
        <v>281</v>
      </c>
      <c r="C302" s="117">
        <f t="shared" si="16"/>
        <v>17875.25</v>
      </c>
      <c r="D302" s="117">
        <f t="shared" si="17"/>
        <v>15063.75</v>
      </c>
      <c r="E302" s="225">
        <f t="shared" si="18"/>
        <v>10024183.189999999</v>
      </c>
      <c r="F302" s="117">
        <f t="shared" si="19"/>
        <v>17541500.594999999</v>
      </c>
      <c r="G302" s="117">
        <v>24400</v>
      </c>
      <c r="H302" s="117">
        <v>24399</v>
      </c>
      <c r="I302" s="117">
        <v>40284</v>
      </c>
      <c r="J302" s="117">
        <v>39577</v>
      </c>
      <c r="K302" s="117">
        <v>45177</v>
      </c>
      <c r="L302" s="117">
        <v>47639</v>
      </c>
      <c r="M302" s="117">
        <v>22887</v>
      </c>
      <c r="N302" s="117">
        <v>27095</v>
      </c>
      <c r="O302" s="117">
        <v>20881</v>
      </c>
      <c r="P302" s="117">
        <v>20637</v>
      </c>
      <c r="Q302" s="117">
        <v>8859</v>
      </c>
      <c r="R302" s="117">
        <v>9341</v>
      </c>
      <c r="S302" s="117">
        <v>6968</v>
      </c>
      <c r="T302" s="117">
        <v>7706</v>
      </c>
      <c r="U302" s="117">
        <v>14017</v>
      </c>
      <c r="V302" s="117">
        <v>12061</v>
      </c>
      <c r="W302" s="117">
        <v>15987</v>
      </c>
      <c r="X302" s="117">
        <v>16089</v>
      </c>
      <c r="Y302" s="117">
        <v>34529</v>
      </c>
      <c r="Z302" s="117">
        <v>24399</v>
      </c>
      <c r="AA302" s="117">
        <v>64284</v>
      </c>
      <c r="AB302" s="117">
        <v>64918</v>
      </c>
      <c r="AC302" s="117">
        <v>65599</v>
      </c>
      <c r="AD302" s="117">
        <v>229186</v>
      </c>
      <c r="AE302" s="117">
        <v>229974</v>
      </c>
      <c r="AF302"/>
      <c r="AG302"/>
    </row>
    <row r="303" spans="1:33" ht="13.2" x14ac:dyDescent="0.25">
      <c r="A303" s="117" t="s">
        <v>610</v>
      </c>
      <c r="B303" s="117" t="s">
        <v>400</v>
      </c>
      <c r="C303" s="117">
        <f t="shared" si="16"/>
        <v>5982.75</v>
      </c>
      <c r="D303" s="117">
        <f t="shared" si="17"/>
        <v>4507.5</v>
      </c>
      <c r="E303" s="225">
        <f t="shared" si="18"/>
        <v>3337217.59</v>
      </c>
      <c r="F303" s="117">
        <f t="shared" si="19"/>
        <v>5839857.794999999</v>
      </c>
      <c r="G303" s="117">
        <v>5070</v>
      </c>
      <c r="H303" s="117">
        <v>5085</v>
      </c>
      <c r="I303" s="117">
        <v>3674</v>
      </c>
      <c r="J303" s="117">
        <v>3699</v>
      </c>
      <c r="K303" s="117">
        <v>7452</v>
      </c>
      <c r="L303" s="117">
        <v>6148</v>
      </c>
      <c r="M303" s="117">
        <v>4202</v>
      </c>
      <c r="N303" s="117">
        <v>5752</v>
      </c>
      <c r="O303" s="117">
        <v>8462</v>
      </c>
      <c r="P303" s="117">
        <v>7551</v>
      </c>
      <c r="Q303" s="117">
        <v>4691</v>
      </c>
      <c r="R303" s="117">
        <v>4215</v>
      </c>
      <c r="S303" s="117">
        <v>5891</v>
      </c>
      <c r="T303" s="117">
        <v>5519</v>
      </c>
      <c r="U303" s="117">
        <v>3800</v>
      </c>
      <c r="V303" s="117">
        <v>3983</v>
      </c>
      <c r="W303" s="117">
        <v>3494</v>
      </c>
      <c r="X303" s="117">
        <v>3443</v>
      </c>
      <c r="Y303" s="117">
        <v>10746</v>
      </c>
      <c r="Z303" s="117">
        <v>5085</v>
      </c>
      <c r="AA303" s="117">
        <v>21900</v>
      </c>
      <c r="AB303" s="117">
        <v>21863</v>
      </c>
      <c r="AC303" s="117">
        <v>21839</v>
      </c>
      <c r="AD303" s="117">
        <v>44156</v>
      </c>
      <c r="AE303" s="117">
        <v>40766</v>
      </c>
      <c r="AF303"/>
      <c r="AG303"/>
    </row>
    <row r="304" spans="1:33" ht="13.2" x14ac:dyDescent="0.25">
      <c r="A304" s="117" t="s">
        <v>599</v>
      </c>
      <c r="B304" s="117" t="s">
        <v>454</v>
      </c>
      <c r="C304" s="117">
        <f t="shared" si="16"/>
        <v>10734</v>
      </c>
      <c r="D304" s="117">
        <f t="shared" si="17"/>
        <v>5002.75</v>
      </c>
      <c r="E304" s="225">
        <f t="shared" si="18"/>
        <v>6931155.9800000004</v>
      </c>
      <c r="F304" s="117">
        <f t="shared" si="19"/>
        <v>12128955.989999998</v>
      </c>
      <c r="G304" s="117">
        <v>13971</v>
      </c>
      <c r="H304" s="117">
        <v>13541</v>
      </c>
      <c r="I304" s="117">
        <v>15727</v>
      </c>
      <c r="J304" s="117">
        <v>19040</v>
      </c>
      <c r="K304" s="117">
        <v>9540</v>
      </c>
      <c r="L304" s="117">
        <v>26340</v>
      </c>
      <c r="M304" s="117">
        <v>12667</v>
      </c>
      <c r="N304" s="117">
        <v>21209</v>
      </c>
      <c r="O304" s="117">
        <v>10357</v>
      </c>
      <c r="P304" s="117">
        <v>2734</v>
      </c>
      <c r="Q304" s="117">
        <v>-8612</v>
      </c>
      <c r="R304" s="117">
        <v>17425</v>
      </c>
      <c r="S304" s="117">
        <v>0</v>
      </c>
      <c r="T304" s="117">
        <v>-4074</v>
      </c>
      <c r="U304" s="117">
        <v>13610</v>
      </c>
      <c r="V304" s="117">
        <v>2386</v>
      </c>
      <c r="W304" s="117">
        <v>9874</v>
      </c>
      <c r="X304" s="117">
        <v>8158</v>
      </c>
      <c r="Y304" s="117">
        <v>19452</v>
      </c>
      <c r="Z304" s="117">
        <v>13541</v>
      </c>
      <c r="AA304" s="117">
        <v>44720</v>
      </c>
      <c r="AB304" s="117">
        <v>44922</v>
      </c>
      <c r="AC304" s="117">
        <v>45358</v>
      </c>
      <c r="AD304" s="117">
        <v>123478</v>
      </c>
      <c r="AE304" s="117">
        <v>122275</v>
      </c>
      <c r="AF304"/>
      <c r="AG304"/>
    </row>
    <row r="305" spans="1:33" ht="13.2" x14ac:dyDescent="0.25">
      <c r="A305" s="117" t="s">
        <v>600</v>
      </c>
      <c r="B305" s="117" t="s">
        <v>325</v>
      </c>
      <c r="C305" s="117">
        <f t="shared" si="16"/>
        <v>4261</v>
      </c>
      <c r="D305" s="117">
        <f t="shared" si="17"/>
        <v>4134</v>
      </c>
      <c r="E305" s="225">
        <f t="shared" si="18"/>
        <v>10445480.359999999</v>
      </c>
      <c r="F305" s="117">
        <f t="shared" si="19"/>
        <v>18278736.18</v>
      </c>
      <c r="G305" s="117">
        <v>3752</v>
      </c>
      <c r="H305" s="117">
        <v>1571</v>
      </c>
      <c r="I305" s="117">
        <v>10623</v>
      </c>
      <c r="J305" s="117">
        <v>9395</v>
      </c>
      <c r="K305" s="117">
        <v>9782</v>
      </c>
      <c r="L305" s="117">
        <v>11876</v>
      </c>
      <c r="M305" s="117">
        <v>8708</v>
      </c>
      <c r="N305" s="117">
        <v>10040</v>
      </c>
      <c r="O305" s="117">
        <v>6582</v>
      </c>
      <c r="P305" s="117">
        <v>6342</v>
      </c>
      <c r="Q305" s="117">
        <v>13389</v>
      </c>
      <c r="R305" s="117">
        <v>16004</v>
      </c>
      <c r="S305" s="117">
        <v>9118</v>
      </c>
      <c r="T305" s="117">
        <v>8198</v>
      </c>
      <c r="U305" s="117">
        <v>5471</v>
      </c>
      <c r="V305" s="117">
        <v>5519</v>
      </c>
      <c r="W305" s="117">
        <v>2431</v>
      </c>
      <c r="X305" s="117">
        <v>1248</v>
      </c>
      <c r="Y305" s="117">
        <v>24</v>
      </c>
      <c r="Z305" s="117">
        <v>1571</v>
      </c>
      <c r="AA305" s="117">
        <v>67604</v>
      </c>
      <c r="AB305" s="117">
        <v>67810</v>
      </c>
      <c r="AC305" s="117">
        <v>68356</v>
      </c>
      <c r="AD305" s="117">
        <v>184822</v>
      </c>
      <c r="AE305" s="117">
        <v>171703</v>
      </c>
      <c r="AF305"/>
      <c r="AG305"/>
    </row>
    <row r="306" spans="1:33" ht="13.2" x14ac:dyDescent="0.25">
      <c r="A306" s="117" t="s">
        <v>608</v>
      </c>
      <c r="B306" s="117" t="s">
        <v>490</v>
      </c>
      <c r="C306" s="117">
        <f t="shared" si="16"/>
        <v>26182.75</v>
      </c>
      <c r="D306" s="117">
        <f t="shared" si="17"/>
        <v>28627.5</v>
      </c>
      <c r="E306" s="225">
        <f t="shared" si="18"/>
        <v>15522134.18</v>
      </c>
      <c r="F306" s="117">
        <f t="shared" si="19"/>
        <v>27162465.089999996</v>
      </c>
      <c r="G306" s="117">
        <v>30225</v>
      </c>
      <c r="H306" s="117">
        <v>30183</v>
      </c>
      <c r="I306" s="117">
        <v>61444</v>
      </c>
      <c r="J306" s="117">
        <v>64222</v>
      </c>
      <c r="K306" s="117">
        <v>59224</v>
      </c>
      <c r="L306" s="117">
        <v>66384</v>
      </c>
      <c r="M306" s="117">
        <v>123420</v>
      </c>
      <c r="N306" s="117">
        <v>142287</v>
      </c>
      <c r="O306" s="117">
        <v>16263</v>
      </c>
      <c r="P306" s="117">
        <v>17799</v>
      </c>
      <c r="Q306" s="117">
        <v>17774</v>
      </c>
      <c r="R306" s="117">
        <v>20217</v>
      </c>
      <c r="S306" s="117">
        <v>45801</v>
      </c>
      <c r="T306" s="117">
        <v>47149</v>
      </c>
      <c r="U306" s="117">
        <v>21975</v>
      </c>
      <c r="V306" s="117">
        <v>23847</v>
      </c>
      <c r="W306" s="117">
        <v>11879</v>
      </c>
      <c r="X306" s="117">
        <v>13331</v>
      </c>
      <c r="Y306" s="117">
        <v>25076</v>
      </c>
      <c r="Z306" s="117">
        <v>30183</v>
      </c>
      <c r="AA306" s="117">
        <v>101023</v>
      </c>
      <c r="AB306" s="117">
        <v>101228</v>
      </c>
      <c r="AC306" s="117">
        <v>101578</v>
      </c>
      <c r="AD306" s="117">
        <v>297289</v>
      </c>
      <c r="AE306" s="117">
        <v>309042</v>
      </c>
      <c r="AF306"/>
      <c r="AG306"/>
    </row>
    <row r="307" spans="1:33" ht="13.2" x14ac:dyDescent="0.25">
      <c r="A307" s="117" t="s">
        <v>608</v>
      </c>
      <c r="B307" s="117" t="s">
        <v>491</v>
      </c>
      <c r="C307" s="117">
        <f t="shared" si="16"/>
        <v>4660.5</v>
      </c>
      <c r="D307" s="117">
        <f t="shared" si="17"/>
        <v>5215.75</v>
      </c>
      <c r="E307" s="225">
        <f t="shared" si="18"/>
        <v>6618506.7199999997</v>
      </c>
      <c r="F307" s="117">
        <f t="shared" si="19"/>
        <v>11581845.359999999</v>
      </c>
      <c r="G307" s="117">
        <v>-232</v>
      </c>
      <c r="H307" s="117">
        <v>-482</v>
      </c>
      <c r="I307" s="117">
        <v>18639</v>
      </c>
      <c r="J307" s="117">
        <v>21931</v>
      </c>
      <c r="K307" s="117">
        <v>21446</v>
      </c>
      <c r="L307" s="117">
        <v>25453</v>
      </c>
      <c r="M307" s="117">
        <v>20896</v>
      </c>
      <c r="N307" s="117">
        <v>19965</v>
      </c>
      <c r="O307" s="117">
        <v>25184</v>
      </c>
      <c r="P307" s="117">
        <v>25202</v>
      </c>
      <c r="Q307" s="117">
        <v>12016</v>
      </c>
      <c r="R307" s="117">
        <v>13422</v>
      </c>
      <c r="S307" s="117">
        <v>19099</v>
      </c>
      <c r="T307" s="117">
        <v>22625</v>
      </c>
      <c r="U307" s="117">
        <v>111</v>
      </c>
      <c r="V307" s="117">
        <v>-73</v>
      </c>
      <c r="W307" s="117">
        <v>-541</v>
      </c>
      <c r="X307" s="117">
        <v>-1207</v>
      </c>
      <c r="Y307" s="117">
        <v>-27</v>
      </c>
      <c r="Z307" s="117">
        <v>-482</v>
      </c>
      <c r="AA307" s="117">
        <v>43566</v>
      </c>
      <c r="AB307" s="117">
        <v>43346</v>
      </c>
      <c r="AC307" s="117">
        <v>43312</v>
      </c>
      <c r="AD307" s="117">
        <v>98547</v>
      </c>
      <c r="AE307" s="117">
        <v>102958</v>
      </c>
      <c r="AF307"/>
      <c r="AG307"/>
    </row>
    <row r="308" spans="1:33" x14ac:dyDescent="0.2">
      <c r="A308" s="117" t="s">
        <v>606</v>
      </c>
      <c r="B308" s="117" t="s">
        <v>752</v>
      </c>
      <c r="C308" s="117">
        <f t="shared" si="16"/>
        <v>6887.25</v>
      </c>
      <c r="D308" s="117">
        <f t="shared" si="17"/>
        <v>4048.75</v>
      </c>
      <c r="E308" s="225">
        <f t="shared" si="18"/>
        <v>8511975.4299999997</v>
      </c>
      <c r="F308" s="117">
        <f t="shared" si="19"/>
        <v>14895260.714999998</v>
      </c>
      <c r="G308" s="271">
        <f>W308</f>
        <v>4650</v>
      </c>
      <c r="H308" s="271">
        <f>X308</f>
        <v>4909</v>
      </c>
      <c r="I308" s="117">
        <v>13084</v>
      </c>
      <c r="J308" s="117">
        <v>13827</v>
      </c>
      <c r="K308" s="117">
        <v>30934</v>
      </c>
      <c r="L308" s="117">
        <v>30048</v>
      </c>
      <c r="M308" s="117">
        <v>5869</v>
      </c>
      <c r="N308" s="117">
        <v>7874</v>
      </c>
      <c r="O308" s="117">
        <v>12908</v>
      </c>
      <c r="P308" s="117">
        <v>13452</v>
      </c>
      <c r="Q308" s="117">
        <v>6130</v>
      </c>
      <c r="R308" s="117">
        <v>7475</v>
      </c>
      <c r="S308" s="117">
        <v>6536</v>
      </c>
      <c r="T308" s="117">
        <v>5708</v>
      </c>
      <c r="U308" s="117">
        <v>5241</v>
      </c>
      <c r="V308" s="117">
        <v>5578</v>
      </c>
      <c r="W308" s="117">
        <v>4650</v>
      </c>
      <c r="X308" s="117">
        <v>4909</v>
      </c>
      <c r="Y308" s="117">
        <v>11122</v>
      </c>
      <c r="Z308" s="117">
        <v>0</v>
      </c>
      <c r="AA308" s="117">
        <v>54455</v>
      </c>
      <c r="AB308" s="117">
        <v>54990</v>
      </c>
      <c r="AC308" s="117">
        <v>55703</v>
      </c>
      <c r="AD308" s="117">
        <v>152173</v>
      </c>
      <c r="AE308" s="117">
        <v>139568</v>
      </c>
    </row>
    <row r="309" spans="1:33" ht="13.2" x14ac:dyDescent="0.25">
      <c r="A309" s="117" t="s">
        <v>603</v>
      </c>
      <c r="B309" s="117" t="s">
        <v>378</v>
      </c>
      <c r="C309" s="117">
        <f t="shared" si="16"/>
        <v>14069</v>
      </c>
      <c r="D309" s="117">
        <f t="shared" si="17"/>
        <v>13051</v>
      </c>
      <c r="E309" s="225">
        <f t="shared" si="18"/>
        <v>11071848.550000001</v>
      </c>
      <c r="F309" s="117">
        <f t="shared" si="19"/>
        <v>19374829.274999999</v>
      </c>
      <c r="G309" s="117">
        <v>7339</v>
      </c>
      <c r="H309" s="117">
        <v>6970</v>
      </c>
      <c r="I309" s="117">
        <v>55805</v>
      </c>
      <c r="J309" s="117">
        <v>53381</v>
      </c>
      <c r="K309" s="117">
        <v>48940</v>
      </c>
      <c r="L309" s="117">
        <v>58010</v>
      </c>
      <c r="M309" s="117">
        <v>31948</v>
      </c>
      <c r="N309" s="117">
        <v>51939</v>
      </c>
      <c r="O309" s="117">
        <v>22894</v>
      </c>
      <c r="P309" s="117">
        <v>34719</v>
      </c>
      <c r="Q309" s="117">
        <v>34912</v>
      </c>
      <c r="R309" s="117">
        <v>36943</v>
      </c>
      <c r="S309" s="117">
        <v>30091</v>
      </c>
      <c r="T309" s="117">
        <v>29582</v>
      </c>
      <c r="U309" s="117">
        <v>16284</v>
      </c>
      <c r="V309" s="117">
        <v>10539</v>
      </c>
      <c r="W309" s="117">
        <v>7996</v>
      </c>
      <c r="X309" s="117">
        <v>5113</v>
      </c>
      <c r="Y309" s="117">
        <v>1905</v>
      </c>
      <c r="Z309" s="117">
        <v>6970</v>
      </c>
      <c r="AA309" s="117">
        <v>72062</v>
      </c>
      <c r="AB309" s="117">
        <v>72051</v>
      </c>
      <c r="AC309" s="117">
        <v>72455</v>
      </c>
      <c r="AD309" s="117">
        <v>312995</v>
      </c>
      <c r="AE309" s="117">
        <v>327796</v>
      </c>
      <c r="AF309"/>
      <c r="AG309"/>
    </row>
    <row r="310" spans="1:33" ht="13.2" x14ac:dyDescent="0.25">
      <c r="A310" s="117" t="s">
        <v>602</v>
      </c>
      <c r="B310" s="117" t="s">
        <v>183</v>
      </c>
      <c r="C310" s="117">
        <f t="shared" si="16"/>
        <v>0</v>
      </c>
      <c r="D310" s="117">
        <f t="shared" si="17"/>
        <v>0</v>
      </c>
      <c r="E310" s="225">
        <f t="shared" si="18"/>
        <v>174050.59</v>
      </c>
      <c r="F310" s="117">
        <f t="shared" si="19"/>
        <v>304574.29499999998</v>
      </c>
      <c r="G310" s="117">
        <v>0</v>
      </c>
      <c r="H310" s="117">
        <v>0</v>
      </c>
      <c r="I310" s="117">
        <v>0</v>
      </c>
      <c r="J310" s="117">
        <v>0</v>
      </c>
      <c r="K310" s="117">
        <v>241</v>
      </c>
      <c r="L310" s="117">
        <v>241</v>
      </c>
      <c r="M310" s="117">
        <v>0</v>
      </c>
      <c r="N310" s="117">
        <v>0</v>
      </c>
      <c r="O310" s="117">
        <v>0</v>
      </c>
      <c r="P310" s="117">
        <v>0</v>
      </c>
      <c r="Q310" s="117">
        <v>0</v>
      </c>
      <c r="R310" s="117">
        <v>0</v>
      </c>
      <c r="S310" s="117">
        <v>0</v>
      </c>
      <c r="T310" s="117">
        <v>0</v>
      </c>
      <c r="U310" s="117">
        <v>0</v>
      </c>
      <c r="V310" s="117">
        <v>0</v>
      </c>
      <c r="W310" s="117">
        <v>0</v>
      </c>
      <c r="X310" s="117">
        <v>0</v>
      </c>
      <c r="Y310" s="117">
        <v>0</v>
      </c>
      <c r="Z310" s="117">
        <v>0</v>
      </c>
      <c r="AA310" s="117">
        <v>1088</v>
      </c>
      <c r="AB310" s="117">
        <v>1133</v>
      </c>
      <c r="AC310" s="117">
        <v>1139</v>
      </c>
      <c r="AD310" s="117">
        <v>12085</v>
      </c>
      <c r="AE310" s="117">
        <v>7825</v>
      </c>
      <c r="AF310"/>
      <c r="AG310"/>
    </row>
    <row r="311" spans="1:33" ht="13.2" x14ac:dyDescent="0.25">
      <c r="A311" s="117" t="s">
        <v>610</v>
      </c>
      <c r="B311" s="117" t="s">
        <v>401</v>
      </c>
      <c r="C311" s="117">
        <f t="shared" si="16"/>
        <v>13871.5</v>
      </c>
      <c r="D311" s="117">
        <f t="shared" si="17"/>
        <v>52631.25</v>
      </c>
      <c r="E311" s="225">
        <f t="shared" si="18"/>
        <v>6780485.3200000003</v>
      </c>
      <c r="F311" s="117">
        <f t="shared" si="19"/>
        <v>11865294.659999998</v>
      </c>
      <c r="G311" s="117">
        <v>16091</v>
      </c>
      <c r="H311" s="117">
        <v>16090</v>
      </c>
      <c r="I311" s="117">
        <v>17919</v>
      </c>
      <c r="J311" s="117">
        <v>19362</v>
      </c>
      <c r="K311" s="117">
        <v>17791</v>
      </c>
      <c r="L311" s="117">
        <v>26570</v>
      </c>
      <c r="M311" s="117">
        <v>15845</v>
      </c>
      <c r="N311" s="117">
        <v>17167</v>
      </c>
      <c r="O311" s="117">
        <v>10545</v>
      </c>
      <c r="P311" s="117">
        <v>12967</v>
      </c>
      <c r="Q311" s="117">
        <v>12151</v>
      </c>
      <c r="R311" s="117">
        <v>27937</v>
      </c>
      <c r="S311" s="117">
        <v>21174</v>
      </c>
      <c r="T311" s="117">
        <v>104169</v>
      </c>
      <c r="U311" s="117">
        <v>9484</v>
      </c>
      <c r="V311" s="117">
        <v>82553</v>
      </c>
      <c r="W311" s="117">
        <v>9401</v>
      </c>
      <c r="X311" s="117">
        <v>7713</v>
      </c>
      <c r="Y311" s="117">
        <v>15427</v>
      </c>
      <c r="Z311" s="117">
        <v>16090</v>
      </c>
      <c r="AA311" s="117">
        <v>44399</v>
      </c>
      <c r="AB311" s="117">
        <v>44489</v>
      </c>
      <c r="AC311" s="117">
        <v>44372</v>
      </c>
      <c r="AD311" s="117">
        <v>134494</v>
      </c>
      <c r="AE311" s="117">
        <v>147622</v>
      </c>
      <c r="AF311"/>
      <c r="AG311"/>
    </row>
    <row r="312" spans="1:33" ht="13.2" x14ac:dyDescent="0.25">
      <c r="A312" s="117" t="s">
        <v>608</v>
      </c>
      <c r="B312" s="117" t="s">
        <v>492</v>
      </c>
      <c r="C312" s="117">
        <f t="shared" si="16"/>
        <v>257.5</v>
      </c>
      <c r="D312" s="117">
        <f t="shared" si="17"/>
        <v>270.75</v>
      </c>
      <c r="E312" s="225">
        <f t="shared" si="18"/>
        <v>1902790.12</v>
      </c>
      <c r="F312" s="117">
        <f t="shared" si="19"/>
        <v>3329727.0599999996</v>
      </c>
      <c r="G312" s="117">
        <v>0</v>
      </c>
      <c r="H312" s="117">
        <v>0</v>
      </c>
      <c r="I312" s="117">
        <v>1490</v>
      </c>
      <c r="J312" s="117">
        <v>1820</v>
      </c>
      <c r="K312" s="117">
        <v>697</v>
      </c>
      <c r="L312" s="117">
        <v>489</v>
      </c>
      <c r="M312" s="117">
        <v>1273</v>
      </c>
      <c r="N312" s="117">
        <v>815</v>
      </c>
      <c r="O312" s="117">
        <v>1740</v>
      </c>
      <c r="P312" s="117">
        <v>795</v>
      </c>
      <c r="Q312" s="117">
        <v>2066</v>
      </c>
      <c r="R312" s="117">
        <v>2304</v>
      </c>
      <c r="S312" s="117">
        <v>864</v>
      </c>
      <c r="T312" s="117">
        <v>864</v>
      </c>
      <c r="U312" s="117">
        <v>166</v>
      </c>
      <c r="V312" s="117">
        <v>219</v>
      </c>
      <c r="W312" s="117">
        <v>0</v>
      </c>
      <c r="X312" s="117">
        <v>0</v>
      </c>
      <c r="Y312" s="117">
        <v>0</v>
      </c>
      <c r="Z312" s="117">
        <v>0</v>
      </c>
      <c r="AA312" s="117">
        <v>12464</v>
      </c>
      <c r="AB312" s="117">
        <v>12391</v>
      </c>
      <c r="AC312" s="117">
        <v>12452</v>
      </c>
      <c r="AD312" s="117">
        <v>28620</v>
      </c>
      <c r="AE312" s="117">
        <v>28364</v>
      </c>
      <c r="AF312"/>
      <c r="AG312"/>
    </row>
    <row r="313" spans="1:33" ht="13.2" x14ac:dyDescent="0.25">
      <c r="A313" s="117" t="s">
        <v>603</v>
      </c>
      <c r="B313" s="117" t="s">
        <v>379</v>
      </c>
      <c r="C313" s="117">
        <f t="shared" si="16"/>
        <v>3384.25</v>
      </c>
      <c r="D313" s="117">
        <f t="shared" si="17"/>
        <v>3276.25</v>
      </c>
      <c r="E313" s="225">
        <f t="shared" si="18"/>
        <v>3892987.56</v>
      </c>
      <c r="F313" s="117">
        <f t="shared" si="19"/>
        <v>6812409.7799999993</v>
      </c>
      <c r="G313" s="117">
        <v>932</v>
      </c>
      <c r="H313" s="117">
        <v>1017</v>
      </c>
      <c r="I313" s="117">
        <v>6883</v>
      </c>
      <c r="J313" s="117">
        <v>4778</v>
      </c>
      <c r="K313" s="117">
        <v>12093</v>
      </c>
      <c r="L313" s="117">
        <v>17086</v>
      </c>
      <c r="M313" s="117">
        <v>8763</v>
      </c>
      <c r="N313" s="117">
        <v>11495</v>
      </c>
      <c r="O313" s="117">
        <v>8641</v>
      </c>
      <c r="P313" s="117">
        <v>5312</v>
      </c>
      <c r="Q313" s="117">
        <v>2688</v>
      </c>
      <c r="R313" s="117">
        <v>3303</v>
      </c>
      <c r="S313" s="117">
        <v>10409</v>
      </c>
      <c r="T313" s="117">
        <v>9935</v>
      </c>
      <c r="U313" s="117">
        <v>1150</v>
      </c>
      <c r="V313" s="117">
        <v>1233</v>
      </c>
      <c r="W313" s="117">
        <v>1055</v>
      </c>
      <c r="X313" s="117">
        <v>920</v>
      </c>
      <c r="Y313" s="117">
        <v>923</v>
      </c>
      <c r="Z313" s="117">
        <v>1017</v>
      </c>
      <c r="AA313" s="117">
        <v>25319</v>
      </c>
      <c r="AB313" s="117">
        <v>25455</v>
      </c>
      <c r="AC313" s="117">
        <v>25476</v>
      </c>
      <c r="AD313" s="117">
        <v>47603</v>
      </c>
      <c r="AE313" s="117">
        <v>47303</v>
      </c>
      <c r="AF313"/>
      <c r="AG313"/>
    </row>
    <row r="314" spans="1:33" ht="13.2" x14ac:dyDescent="0.25">
      <c r="A314" s="117" t="s">
        <v>601</v>
      </c>
      <c r="B314" s="117" t="s">
        <v>253</v>
      </c>
      <c r="C314" s="117">
        <f t="shared" si="16"/>
        <v>7585.75</v>
      </c>
      <c r="D314" s="117">
        <f t="shared" si="17"/>
        <v>7246</v>
      </c>
      <c r="E314" s="225">
        <f t="shared" si="18"/>
        <v>3728716.81</v>
      </c>
      <c r="F314" s="117">
        <f t="shared" si="19"/>
        <v>6524949.4049999993</v>
      </c>
      <c r="G314" s="117">
        <v>4350</v>
      </c>
      <c r="H314" s="117">
        <v>4351</v>
      </c>
      <c r="I314" s="117">
        <v>12928</v>
      </c>
      <c r="J314" s="117">
        <v>12392</v>
      </c>
      <c r="K314" s="117">
        <v>12646</v>
      </c>
      <c r="L314" s="117">
        <v>14693</v>
      </c>
      <c r="M314" s="117">
        <v>14307</v>
      </c>
      <c r="N314" s="117">
        <v>13882</v>
      </c>
      <c r="O314" s="117">
        <v>6016</v>
      </c>
      <c r="P314" s="117">
        <v>7338</v>
      </c>
      <c r="Q314" s="117">
        <v>8404</v>
      </c>
      <c r="R314" s="117">
        <v>8818</v>
      </c>
      <c r="S314" s="117">
        <v>8027</v>
      </c>
      <c r="T314" s="117">
        <v>8147</v>
      </c>
      <c r="U314" s="117">
        <v>6452</v>
      </c>
      <c r="V314" s="117">
        <v>6628</v>
      </c>
      <c r="W314" s="117">
        <v>11146</v>
      </c>
      <c r="X314" s="117">
        <v>9858</v>
      </c>
      <c r="Y314" s="117">
        <v>4718</v>
      </c>
      <c r="Z314" s="117">
        <v>4351</v>
      </c>
      <c r="AA314" s="117">
        <v>24200</v>
      </c>
      <c r="AB314" s="117">
        <v>24308</v>
      </c>
      <c r="AC314" s="117">
        <v>24401</v>
      </c>
      <c r="AD314" s="117">
        <v>47536</v>
      </c>
      <c r="AE314" s="117">
        <v>55125</v>
      </c>
      <c r="AF314"/>
      <c r="AG314"/>
    </row>
    <row r="315" spans="1:33" ht="13.2" x14ac:dyDescent="0.25">
      <c r="A315" s="117" t="s">
        <v>599</v>
      </c>
      <c r="B315" s="117" t="s">
        <v>455</v>
      </c>
      <c r="C315" s="117">
        <f t="shared" si="16"/>
        <v>6885.75</v>
      </c>
      <c r="D315" s="117">
        <f t="shared" si="17"/>
        <v>5068.75</v>
      </c>
      <c r="E315" s="225">
        <f t="shared" si="18"/>
        <v>4034184</v>
      </c>
      <c r="F315" s="117">
        <f t="shared" si="19"/>
        <v>7059491.9999999991</v>
      </c>
      <c r="G315" s="117">
        <v>3129</v>
      </c>
      <c r="H315" s="117">
        <v>2768</v>
      </c>
      <c r="I315" s="117">
        <v>15244</v>
      </c>
      <c r="J315" s="117">
        <v>15475</v>
      </c>
      <c r="K315" s="117">
        <v>16501</v>
      </c>
      <c r="L315" s="117">
        <v>13868</v>
      </c>
      <c r="M315" s="117">
        <v>9371</v>
      </c>
      <c r="N315" s="117">
        <v>9872</v>
      </c>
      <c r="O315" s="117">
        <v>5249</v>
      </c>
      <c r="P315" s="117">
        <v>5830</v>
      </c>
      <c r="Q315" s="117">
        <v>10631</v>
      </c>
      <c r="R315" s="117">
        <v>8737</v>
      </c>
      <c r="S315" s="117">
        <v>5607</v>
      </c>
      <c r="T315" s="117">
        <v>5734</v>
      </c>
      <c r="U315" s="117">
        <v>4870</v>
      </c>
      <c r="V315" s="117">
        <v>4394</v>
      </c>
      <c r="W315" s="117">
        <v>12187</v>
      </c>
      <c r="X315" s="117">
        <v>7379</v>
      </c>
      <c r="Y315" s="117">
        <v>4879</v>
      </c>
      <c r="Z315" s="117">
        <v>2768</v>
      </c>
      <c r="AA315" s="117">
        <v>26191</v>
      </c>
      <c r="AB315" s="117">
        <v>26435</v>
      </c>
      <c r="AC315" s="117">
        <v>26400</v>
      </c>
      <c r="AD315" s="117">
        <v>84170</v>
      </c>
      <c r="AE315" s="117">
        <v>79481</v>
      </c>
      <c r="AF315"/>
      <c r="AG315"/>
    </row>
    <row r="316" spans="1:33" ht="13.2" x14ac:dyDescent="0.25">
      <c r="A316" s="117" t="s">
        <v>602</v>
      </c>
      <c r="B316" s="117" t="s">
        <v>753</v>
      </c>
      <c r="C316" s="117">
        <f t="shared" si="16"/>
        <v>5977</v>
      </c>
      <c r="D316" s="117">
        <f t="shared" si="17"/>
        <v>5132.75</v>
      </c>
      <c r="E316" s="225">
        <f t="shared" si="18"/>
        <v>7049583.7300000004</v>
      </c>
      <c r="F316" s="117">
        <f t="shared" si="19"/>
        <v>12336194.864999998</v>
      </c>
      <c r="G316" s="117">
        <v>915</v>
      </c>
      <c r="H316" s="117">
        <v>1036</v>
      </c>
      <c r="I316" s="117">
        <v>5664.2</v>
      </c>
      <c r="J316" s="117">
        <v>6243.6</v>
      </c>
      <c r="K316" s="117">
        <v>2659.6</v>
      </c>
      <c r="L316" s="117">
        <v>3345.8</v>
      </c>
      <c r="M316" s="117">
        <v>4766</v>
      </c>
      <c r="N316" s="117">
        <v>5168.2</v>
      </c>
      <c r="O316" s="117">
        <v>4803.3999999999996</v>
      </c>
      <c r="P316" s="117">
        <v>8841.6</v>
      </c>
      <c r="Q316" s="117">
        <v>1786.6</v>
      </c>
      <c r="R316" s="117">
        <v>2797.8</v>
      </c>
      <c r="S316" s="117">
        <v>4653</v>
      </c>
      <c r="T316" s="117">
        <v>4421</v>
      </c>
      <c r="U316" s="117">
        <v>11429</v>
      </c>
      <c r="V316" s="117">
        <v>9520</v>
      </c>
      <c r="W316" s="117">
        <v>3913</v>
      </c>
      <c r="X316" s="117">
        <v>3295</v>
      </c>
      <c r="Y316" s="271">
        <v>3913</v>
      </c>
      <c r="Z316" s="271">
        <v>3295</v>
      </c>
      <c r="AA316" s="117">
        <v>46301</v>
      </c>
      <c r="AB316" s="117">
        <v>46323.199999999997</v>
      </c>
      <c r="AC316" s="117">
        <v>46133</v>
      </c>
      <c r="AD316" s="117">
        <v>79135</v>
      </c>
      <c r="AE316" s="117">
        <v>80946.399999999994</v>
      </c>
      <c r="AF316"/>
      <c r="AG316"/>
    </row>
    <row r="317" spans="1:33" ht="13.2" x14ac:dyDescent="0.25">
      <c r="A317" s="117" t="s">
        <v>599</v>
      </c>
      <c r="B317" s="117" t="s">
        <v>456</v>
      </c>
      <c r="C317" s="117">
        <f t="shared" si="16"/>
        <v>2253.75</v>
      </c>
      <c r="D317" s="117">
        <f t="shared" si="17"/>
        <v>2014.75</v>
      </c>
      <c r="E317" s="225">
        <f t="shared" si="18"/>
        <v>2636430.9300000002</v>
      </c>
      <c r="F317" s="117">
        <f t="shared" si="19"/>
        <v>4613538.4649999999</v>
      </c>
      <c r="G317" s="117">
        <v>710</v>
      </c>
      <c r="H317" s="117">
        <v>710</v>
      </c>
      <c r="I317" s="117">
        <v>2321</v>
      </c>
      <c r="J317" s="117">
        <v>2267</v>
      </c>
      <c r="K317" s="117">
        <v>7058</v>
      </c>
      <c r="L317" s="117">
        <v>6955</v>
      </c>
      <c r="M317" s="117">
        <v>3176</v>
      </c>
      <c r="N317" s="117">
        <v>3265</v>
      </c>
      <c r="O317" s="117">
        <v>1545</v>
      </c>
      <c r="P317" s="117">
        <v>1584</v>
      </c>
      <c r="Q317" s="117">
        <v>3057</v>
      </c>
      <c r="R317" s="117">
        <v>3674</v>
      </c>
      <c r="S317" s="117">
        <v>2583</v>
      </c>
      <c r="T317" s="117">
        <v>2596</v>
      </c>
      <c r="U317" s="117">
        <v>1485</v>
      </c>
      <c r="V317" s="117">
        <v>1455</v>
      </c>
      <c r="W317" s="117">
        <v>4238</v>
      </c>
      <c r="X317" s="117">
        <v>3298</v>
      </c>
      <c r="Y317" s="117">
        <v>709</v>
      </c>
      <c r="Z317" s="117">
        <v>710</v>
      </c>
      <c r="AA317" s="117">
        <v>16898</v>
      </c>
      <c r="AB317" s="117">
        <v>17077</v>
      </c>
      <c r="AC317" s="117">
        <v>17253</v>
      </c>
      <c r="AD317" s="117">
        <v>20604</v>
      </c>
      <c r="AE317" s="117">
        <v>19804</v>
      </c>
      <c r="AF317"/>
      <c r="AG317"/>
    </row>
    <row r="318" spans="1:33" ht="13.2" x14ac:dyDescent="0.25">
      <c r="A318" s="117" t="s">
        <v>599</v>
      </c>
      <c r="B318" s="117" t="s">
        <v>457</v>
      </c>
      <c r="C318" s="117">
        <f t="shared" si="16"/>
        <v>13883.75</v>
      </c>
      <c r="D318" s="117">
        <f t="shared" si="17"/>
        <v>13590.5</v>
      </c>
      <c r="E318" s="225">
        <f t="shared" si="18"/>
        <v>7373999.3600000003</v>
      </c>
      <c r="F318" s="117">
        <f t="shared" si="19"/>
        <v>12903895.679999998</v>
      </c>
      <c r="G318" s="117">
        <v>8654</v>
      </c>
      <c r="H318" s="117">
        <v>9011</v>
      </c>
      <c r="I318" s="117">
        <v>23729</v>
      </c>
      <c r="J318" s="117">
        <v>28542</v>
      </c>
      <c r="K318" s="117">
        <v>40331</v>
      </c>
      <c r="L318" s="117">
        <v>34665</v>
      </c>
      <c r="M318" s="117">
        <v>31084</v>
      </c>
      <c r="N318" s="117">
        <v>25344</v>
      </c>
      <c r="O318" s="117">
        <v>13714</v>
      </c>
      <c r="P318" s="117">
        <v>17679</v>
      </c>
      <c r="Q318" s="117">
        <v>8162</v>
      </c>
      <c r="R318" s="117">
        <v>8292</v>
      </c>
      <c r="S318" s="117">
        <v>20263</v>
      </c>
      <c r="T318" s="117">
        <v>17821</v>
      </c>
      <c r="U318" s="117">
        <v>15066</v>
      </c>
      <c r="V318" s="117">
        <v>13891</v>
      </c>
      <c r="W318" s="117">
        <v>15027</v>
      </c>
      <c r="X318" s="117">
        <v>13639</v>
      </c>
      <c r="Y318" s="117">
        <v>5179</v>
      </c>
      <c r="Z318" s="117">
        <v>9011</v>
      </c>
      <c r="AA318" s="117">
        <v>47417</v>
      </c>
      <c r="AB318" s="117">
        <v>47726</v>
      </c>
      <c r="AC318" s="117">
        <v>48256</v>
      </c>
      <c r="AD318" s="117">
        <v>190112</v>
      </c>
      <c r="AE318" s="117">
        <v>190395</v>
      </c>
      <c r="AF318"/>
      <c r="AG318"/>
    </row>
    <row r="319" spans="1:33" ht="13.2" x14ac:dyDescent="0.25">
      <c r="A319" s="117" t="s">
        <v>603</v>
      </c>
      <c r="B319" s="117" t="s">
        <v>380</v>
      </c>
      <c r="C319" s="117">
        <f t="shared" si="16"/>
        <v>16566.25</v>
      </c>
      <c r="D319" s="117">
        <f t="shared" si="17"/>
        <v>13813.25</v>
      </c>
      <c r="E319" s="225">
        <f t="shared" si="18"/>
        <v>4326203.91</v>
      </c>
      <c r="F319" s="117">
        <f t="shared" si="19"/>
        <v>7570502.9549999991</v>
      </c>
      <c r="G319" s="117">
        <v>10614</v>
      </c>
      <c r="H319" s="117">
        <v>10879</v>
      </c>
      <c r="I319" s="117">
        <v>13891</v>
      </c>
      <c r="J319" s="117">
        <v>14236</v>
      </c>
      <c r="K319" s="117">
        <v>12335</v>
      </c>
      <c r="L319" s="117">
        <v>12282</v>
      </c>
      <c r="M319" s="117">
        <v>72771</v>
      </c>
      <c r="N319" s="117">
        <v>76617</v>
      </c>
      <c r="O319" s="117">
        <v>29135</v>
      </c>
      <c r="P319" s="117">
        <v>31518</v>
      </c>
      <c r="Q319" s="117">
        <v>16866</v>
      </c>
      <c r="R319" s="117">
        <v>18020</v>
      </c>
      <c r="S319" s="117">
        <v>15387</v>
      </c>
      <c r="T319" s="117">
        <v>16008</v>
      </c>
      <c r="U319" s="117">
        <v>19480</v>
      </c>
      <c r="V319" s="117">
        <v>17702</v>
      </c>
      <c r="W319" s="117">
        <v>10429</v>
      </c>
      <c r="X319" s="117">
        <v>10664</v>
      </c>
      <c r="Y319" s="117">
        <v>20969</v>
      </c>
      <c r="Z319" s="117">
        <v>10879</v>
      </c>
      <c r="AA319" s="117">
        <v>26536</v>
      </c>
      <c r="AB319" s="117">
        <v>27557</v>
      </c>
      <c r="AC319" s="117">
        <v>28311</v>
      </c>
      <c r="AD319" s="117">
        <v>55152</v>
      </c>
      <c r="AE319" s="117">
        <v>54309</v>
      </c>
      <c r="AF319"/>
      <c r="AG319"/>
    </row>
    <row r="320" spans="1:33" ht="13.2" x14ac:dyDescent="0.25">
      <c r="A320" s="117" t="s">
        <v>601</v>
      </c>
      <c r="B320" s="117" t="s">
        <v>254</v>
      </c>
      <c r="C320" s="117">
        <f t="shared" si="16"/>
        <v>4305.25</v>
      </c>
      <c r="D320" s="117">
        <f t="shared" si="17"/>
        <v>3718.75</v>
      </c>
      <c r="E320" s="225">
        <f t="shared" si="18"/>
        <v>5926124.6100000003</v>
      </c>
      <c r="F320" s="117">
        <f t="shared" si="19"/>
        <v>10370233.305</v>
      </c>
      <c r="G320" s="117">
        <v>2525</v>
      </c>
      <c r="H320" s="117">
        <v>2479</v>
      </c>
      <c r="I320" s="117">
        <v>4266</v>
      </c>
      <c r="J320" s="117">
        <v>4758</v>
      </c>
      <c r="K320" s="117">
        <v>7483</v>
      </c>
      <c r="L320" s="117">
        <v>6023</v>
      </c>
      <c r="M320" s="117">
        <v>5603</v>
      </c>
      <c r="N320" s="117">
        <v>6025</v>
      </c>
      <c r="O320" s="117">
        <v>5069</v>
      </c>
      <c r="P320" s="117">
        <v>3579</v>
      </c>
      <c r="Q320" s="117">
        <v>2648</v>
      </c>
      <c r="R320" s="117">
        <v>3926</v>
      </c>
      <c r="S320" s="117">
        <v>6981</v>
      </c>
      <c r="T320" s="117">
        <v>6175</v>
      </c>
      <c r="U320" s="117">
        <v>1202</v>
      </c>
      <c r="V320" s="117">
        <v>1661</v>
      </c>
      <c r="W320" s="117">
        <v>6068</v>
      </c>
      <c r="X320" s="117">
        <v>4560</v>
      </c>
      <c r="Y320" s="117">
        <v>2970</v>
      </c>
      <c r="Z320" s="117">
        <v>2479</v>
      </c>
      <c r="AA320" s="117">
        <v>38497</v>
      </c>
      <c r="AB320" s="117">
        <v>38380</v>
      </c>
      <c r="AC320" s="117">
        <v>38781</v>
      </c>
      <c r="AD320" s="117">
        <v>71176</v>
      </c>
      <c r="AE320" s="117">
        <v>85652</v>
      </c>
      <c r="AF320"/>
      <c r="AG320"/>
    </row>
    <row r="321" spans="1:33" ht="13.2" x14ac:dyDescent="0.25">
      <c r="A321" s="117" t="s">
        <v>603</v>
      </c>
      <c r="B321" s="117" t="s">
        <v>381</v>
      </c>
      <c r="C321" s="117">
        <f t="shared" si="16"/>
        <v>8</v>
      </c>
      <c r="D321" s="117">
        <f t="shared" si="17"/>
        <v>230.5</v>
      </c>
      <c r="E321" s="225">
        <f t="shared" si="18"/>
        <v>4001941.09</v>
      </c>
      <c r="F321" s="117">
        <f t="shared" si="19"/>
        <v>7003069.544999999</v>
      </c>
      <c r="G321" s="117">
        <v>0</v>
      </c>
      <c r="H321" s="117">
        <v>26</v>
      </c>
      <c r="I321" s="117">
        <v>462</v>
      </c>
      <c r="J321" s="117">
        <v>756</v>
      </c>
      <c r="K321" s="117">
        <v>9</v>
      </c>
      <c r="L321" s="117">
        <v>1210</v>
      </c>
      <c r="M321" s="117">
        <v>2447</v>
      </c>
      <c r="N321" s="117">
        <v>223</v>
      </c>
      <c r="O321" s="117">
        <v>23</v>
      </c>
      <c r="P321" s="117">
        <v>685</v>
      </c>
      <c r="Q321" s="117">
        <v>0</v>
      </c>
      <c r="R321" s="117">
        <v>857</v>
      </c>
      <c r="S321" s="117">
        <v>13</v>
      </c>
      <c r="T321" s="117">
        <v>441</v>
      </c>
      <c r="U321" s="117">
        <v>0</v>
      </c>
      <c r="V321" s="117">
        <v>440</v>
      </c>
      <c r="W321" s="117">
        <v>19</v>
      </c>
      <c r="X321" s="117">
        <v>15</v>
      </c>
      <c r="Y321" s="117">
        <v>0</v>
      </c>
      <c r="Z321" s="117">
        <v>26</v>
      </c>
      <c r="AA321" s="117">
        <v>26051</v>
      </c>
      <c r="AB321" s="117">
        <v>26102</v>
      </c>
      <c r="AC321" s="117">
        <v>26189</v>
      </c>
      <c r="AD321" s="117">
        <v>38431</v>
      </c>
      <c r="AE321" s="117">
        <v>40515</v>
      </c>
      <c r="AF321"/>
      <c r="AG321"/>
    </row>
    <row r="322" spans="1:33" ht="13.2" x14ac:dyDescent="0.25">
      <c r="A322" s="117" t="s">
        <v>600</v>
      </c>
      <c r="B322" s="117" t="s">
        <v>326</v>
      </c>
      <c r="C322" s="117">
        <f t="shared" si="16"/>
        <v>0</v>
      </c>
      <c r="D322" s="117">
        <f t="shared" si="17"/>
        <v>1.5</v>
      </c>
      <c r="E322" s="225">
        <f t="shared" si="18"/>
        <v>2644529.86</v>
      </c>
      <c r="F322" s="117">
        <f t="shared" si="19"/>
        <v>4627710.93</v>
      </c>
      <c r="G322" s="117">
        <v>0</v>
      </c>
      <c r="H322" s="117">
        <v>0</v>
      </c>
      <c r="I322" s="117">
        <v>955</v>
      </c>
      <c r="J322" s="117">
        <v>994</v>
      </c>
      <c r="K322" s="117">
        <v>3270</v>
      </c>
      <c r="L322" s="117">
        <v>2438</v>
      </c>
      <c r="M322" s="117">
        <v>106</v>
      </c>
      <c r="N322" s="117">
        <v>162</v>
      </c>
      <c r="O322" s="117">
        <v>73</v>
      </c>
      <c r="P322" s="117">
        <v>46</v>
      </c>
      <c r="Q322" s="117">
        <v>0</v>
      </c>
      <c r="R322" s="117">
        <v>9</v>
      </c>
      <c r="S322" s="117">
        <v>0</v>
      </c>
      <c r="T322" s="117">
        <v>3</v>
      </c>
      <c r="U322" s="117">
        <v>0</v>
      </c>
      <c r="V322" s="117">
        <v>3</v>
      </c>
      <c r="W322" s="117">
        <v>0</v>
      </c>
      <c r="X322" s="117">
        <v>0</v>
      </c>
      <c r="Y322" s="117">
        <v>0</v>
      </c>
      <c r="Z322" s="117">
        <v>0</v>
      </c>
      <c r="AA322" s="117">
        <v>17291</v>
      </c>
      <c r="AB322" s="117">
        <v>17260</v>
      </c>
      <c r="AC322" s="117">
        <v>17306</v>
      </c>
      <c r="AD322" s="117">
        <v>24887</v>
      </c>
      <c r="AE322" s="117">
        <v>26122</v>
      </c>
      <c r="AF322"/>
      <c r="AG322"/>
    </row>
    <row r="323" spans="1:33" ht="13.2" x14ac:dyDescent="0.25">
      <c r="A323" s="117" t="s">
        <v>608</v>
      </c>
      <c r="B323" s="117" t="s">
        <v>493</v>
      </c>
      <c r="C323" s="117">
        <f t="shared" ref="C323:C356" si="20">SUM(S323,U323,W323,Y323)/4</f>
        <v>5383</v>
      </c>
      <c r="D323" s="117">
        <f t="shared" ref="D323:D356" si="21">SUM(T323,V323,X323,Z323)/4</f>
        <v>5938.25</v>
      </c>
      <c r="E323" s="225">
        <f t="shared" ref="E323:E356" si="22">AC323*152.81</f>
        <v>7616203.21</v>
      </c>
      <c r="F323" s="117">
        <f t="shared" ref="F323:F356" si="23">AC323*$AF$3</f>
        <v>13327732.604999999</v>
      </c>
      <c r="G323" s="117">
        <v>5741</v>
      </c>
      <c r="H323" s="117">
        <v>5711</v>
      </c>
      <c r="I323" s="117">
        <v>91607</v>
      </c>
      <c r="J323" s="117">
        <v>91409</v>
      </c>
      <c r="K323" s="117">
        <v>67458</v>
      </c>
      <c r="L323" s="117">
        <v>71459</v>
      </c>
      <c r="M323" s="117">
        <v>58588</v>
      </c>
      <c r="N323" s="117">
        <v>65707</v>
      </c>
      <c r="O323" s="117">
        <v>62436</v>
      </c>
      <c r="P323" s="117">
        <v>62506</v>
      </c>
      <c r="Q323" s="117">
        <v>6564</v>
      </c>
      <c r="R323" s="117">
        <v>5855</v>
      </c>
      <c r="S323" s="117">
        <v>5746</v>
      </c>
      <c r="T323" s="117">
        <v>5572</v>
      </c>
      <c r="U323" s="117">
        <v>7504</v>
      </c>
      <c r="V323" s="117">
        <v>7536</v>
      </c>
      <c r="W323" s="117">
        <v>4247</v>
      </c>
      <c r="X323" s="117">
        <v>4934</v>
      </c>
      <c r="Y323" s="117">
        <v>4035</v>
      </c>
      <c r="Z323" s="117">
        <v>5711</v>
      </c>
      <c r="AA323" s="117">
        <v>49576</v>
      </c>
      <c r="AB323" s="117">
        <v>49874</v>
      </c>
      <c r="AC323" s="117">
        <v>49841</v>
      </c>
      <c r="AD323" s="117">
        <v>189668</v>
      </c>
      <c r="AE323" s="117">
        <v>249921</v>
      </c>
      <c r="AF323"/>
      <c r="AG323"/>
    </row>
    <row r="324" spans="1:33" ht="13.2" x14ac:dyDescent="0.25">
      <c r="A324" s="117" t="s">
        <v>600</v>
      </c>
      <c r="B324" s="117" t="s">
        <v>327</v>
      </c>
      <c r="C324" s="117">
        <f t="shared" si="20"/>
        <v>2020.75</v>
      </c>
      <c r="D324" s="117">
        <f t="shared" si="21"/>
        <v>3088.25</v>
      </c>
      <c r="E324" s="225">
        <f t="shared" si="22"/>
        <v>2953970.11</v>
      </c>
      <c r="F324" s="117">
        <f t="shared" si="23"/>
        <v>5169206.0549999997</v>
      </c>
      <c r="G324" s="117">
        <v>0</v>
      </c>
      <c r="H324" s="117">
        <v>0</v>
      </c>
      <c r="I324" s="117">
        <v>2569</v>
      </c>
      <c r="J324" s="117">
        <v>3099</v>
      </c>
      <c r="K324" s="117">
        <v>630</v>
      </c>
      <c r="L324" s="117">
        <v>902</v>
      </c>
      <c r="M324" s="117">
        <v>451</v>
      </c>
      <c r="N324" s="117">
        <v>1337</v>
      </c>
      <c r="O324" s="117">
        <v>1075</v>
      </c>
      <c r="P324" s="117">
        <v>1922</v>
      </c>
      <c r="Q324" s="117">
        <v>490</v>
      </c>
      <c r="R324" s="117">
        <v>501</v>
      </c>
      <c r="S324" s="117">
        <v>235</v>
      </c>
      <c r="T324" s="117">
        <v>3221</v>
      </c>
      <c r="U324" s="117">
        <v>276</v>
      </c>
      <c r="V324" s="117">
        <v>751</v>
      </c>
      <c r="W324" s="117">
        <v>7555</v>
      </c>
      <c r="X324" s="117">
        <v>8381</v>
      </c>
      <c r="Y324" s="117">
        <v>17</v>
      </c>
      <c r="Z324" s="117">
        <v>0</v>
      </c>
      <c r="AA324" s="117">
        <v>18729</v>
      </c>
      <c r="AB324" s="117">
        <v>19162</v>
      </c>
      <c r="AC324" s="117">
        <v>19331</v>
      </c>
      <c r="AD324" s="117">
        <v>60566</v>
      </c>
      <c r="AE324" s="117">
        <v>48659</v>
      </c>
      <c r="AF324"/>
      <c r="AG324"/>
    </row>
    <row r="325" spans="1:33" ht="13.2" x14ac:dyDescent="0.25">
      <c r="A325" s="117" t="s">
        <v>601</v>
      </c>
      <c r="B325" s="117" t="s">
        <v>754</v>
      </c>
      <c r="C325" s="117">
        <f t="shared" si="20"/>
        <v>14249.5</v>
      </c>
      <c r="D325" s="117">
        <f t="shared" si="21"/>
        <v>9925</v>
      </c>
      <c r="E325" s="225">
        <f t="shared" si="22"/>
        <v>7741507.4100000001</v>
      </c>
      <c r="F325" s="117">
        <f t="shared" si="23"/>
        <v>13547004.704999998</v>
      </c>
      <c r="G325" s="271">
        <f>W325</f>
        <v>14084</v>
      </c>
      <c r="H325" s="271">
        <f>X325</f>
        <v>10875</v>
      </c>
      <c r="I325" s="117">
        <v>15911</v>
      </c>
      <c r="J325" s="117">
        <v>17306</v>
      </c>
      <c r="K325" s="117">
        <v>20609</v>
      </c>
      <c r="L325" s="117">
        <v>19672</v>
      </c>
      <c r="M325" s="117">
        <v>19401</v>
      </c>
      <c r="N325" s="117">
        <v>43419</v>
      </c>
      <c r="O325" s="117">
        <v>8261</v>
      </c>
      <c r="P325" s="117">
        <v>13714</v>
      </c>
      <c r="Q325" s="117">
        <v>6694</v>
      </c>
      <c r="R325" s="117">
        <v>6836</v>
      </c>
      <c r="S325" s="117">
        <v>20772</v>
      </c>
      <c r="T325" s="117">
        <v>19804</v>
      </c>
      <c r="U325" s="117">
        <v>15453</v>
      </c>
      <c r="V325" s="117">
        <v>9021</v>
      </c>
      <c r="W325" s="117">
        <v>14084</v>
      </c>
      <c r="X325" s="117">
        <v>10875</v>
      </c>
      <c r="Y325" s="117">
        <v>6689</v>
      </c>
      <c r="Z325" s="117">
        <v>0</v>
      </c>
      <c r="AA325" s="117">
        <v>50105</v>
      </c>
      <c r="AB325" s="117">
        <v>50361</v>
      </c>
      <c r="AC325" s="117">
        <v>50661</v>
      </c>
      <c r="AD325" s="117">
        <v>103121</v>
      </c>
      <c r="AE325" s="117">
        <v>98339</v>
      </c>
      <c r="AF325"/>
      <c r="AG325"/>
    </row>
    <row r="326" spans="1:33" ht="13.2" x14ac:dyDescent="0.25">
      <c r="A326" s="117" t="s">
        <v>601</v>
      </c>
      <c r="B326" s="117" t="s">
        <v>255</v>
      </c>
      <c r="C326" s="117">
        <f t="shared" si="20"/>
        <v>4220.25</v>
      </c>
      <c r="D326" s="117">
        <f t="shared" si="21"/>
        <v>3573</v>
      </c>
      <c r="E326" s="225">
        <f t="shared" si="22"/>
        <v>2914545.13</v>
      </c>
      <c r="F326" s="117">
        <f t="shared" si="23"/>
        <v>5100215.5649999995</v>
      </c>
      <c r="G326" s="117">
        <v>1383</v>
      </c>
      <c r="H326" s="117">
        <v>1509</v>
      </c>
      <c r="I326" s="117">
        <v>12282</v>
      </c>
      <c r="J326" s="117">
        <v>12666</v>
      </c>
      <c r="K326" s="117">
        <v>10069</v>
      </c>
      <c r="L326" s="117">
        <v>12018</v>
      </c>
      <c r="M326" s="117">
        <v>11185</v>
      </c>
      <c r="N326" s="117">
        <v>12868</v>
      </c>
      <c r="O326" s="117">
        <v>10491</v>
      </c>
      <c r="P326" s="117">
        <v>10117</v>
      </c>
      <c r="Q326" s="117">
        <v>7369</v>
      </c>
      <c r="R326" s="117">
        <v>7599</v>
      </c>
      <c r="S326" s="117">
        <v>7603</v>
      </c>
      <c r="T326" s="117">
        <v>6586</v>
      </c>
      <c r="U326" s="117">
        <v>1732</v>
      </c>
      <c r="V326" s="117">
        <v>1628</v>
      </c>
      <c r="W326" s="117">
        <v>5082</v>
      </c>
      <c r="X326" s="117">
        <v>4569</v>
      </c>
      <c r="Y326" s="117">
        <v>2464</v>
      </c>
      <c r="Z326" s="117">
        <v>1509</v>
      </c>
      <c r="AA326" s="117">
        <v>18816</v>
      </c>
      <c r="AB326" s="117">
        <v>18907</v>
      </c>
      <c r="AC326" s="117">
        <v>19073</v>
      </c>
      <c r="AD326" s="117">
        <v>31001</v>
      </c>
      <c r="AE326" s="117">
        <v>29728</v>
      </c>
      <c r="AF326"/>
      <c r="AG326"/>
    </row>
    <row r="327" spans="1:33" ht="13.2" x14ac:dyDescent="0.25">
      <c r="A327" s="117" t="s">
        <v>607</v>
      </c>
      <c r="B327" s="117" t="s">
        <v>755</v>
      </c>
      <c r="C327" s="117">
        <f t="shared" si="20"/>
        <v>10475.75</v>
      </c>
      <c r="D327" s="117">
        <f t="shared" si="21"/>
        <v>7551.5</v>
      </c>
      <c r="E327" s="225">
        <f t="shared" si="22"/>
        <v>9392313.8399999999</v>
      </c>
      <c r="F327" s="117">
        <f t="shared" si="23"/>
        <v>16435780.919999998</v>
      </c>
      <c r="G327" s="271">
        <f>W327</f>
        <v>10919</v>
      </c>
      <c r="H327" s="271">
        <f>X327</f>
        <v>10196</v>
      </c>
      <c r="I327" s="117">
        <v>18868</v>
      </c>
      <c r="J327" s="117">
        <v>17810</v>
      </c>
      <c r="K327" s="117">
        <v>11934</v>
      </c>
      <c r="L327" s="117">
        <v>14798</v>
      </c>
      <c r="M327" s="117">
        <v>12589</v>
      </c>
      <c r="N327" s="117">
        <v>13807</v>
      </c>
      <c r="O327" s="117">
        <v>7478</v>
      </c>
      <c r="P327" s="117">
        <v>6859</v>
      </c>
      <c r="Q327" s="117">
        <v>10521</v>
      </c>
      <c r="R327" s="117">
        <v>10906</v>
      </c>
      <c r="S327" s="117">
        <v>7337</v>
      </c>
      <c r="T327" s="117">
        <v>7061</v>
      </c>
      <c r="U327" s="117">
        <v>14300</v>
      </c>
      <c r="V327" s="117">
        <v>12949</v>
      </c>
      <c r="W327" s="117">
        <v>10919</v>
      </c>
      <c r="X327" s="117">
        <v>10196</v>
      </c>
      <c r="Y327" s="117">
        <v>9347</v>
      </c>
      <c r="Z327" s="117">
        <v>0</v>
      </c>
      <c r="AA327" s="117">
        <v>61067</v>
      </c>
      <c r="AB327" s="117">
        <v>61233</v>
      </c>
      <c r="AC327" s="117">
        <v>61464</v>
      </c>
      <c r="AD327" s="117">
        <v>172710</v>
      </c>
      <c r="AE327" s="117">
        <v>174708</v>
      </c>
      <c r="AF327"/>
      <c r="AG327"/>
    </row>
    <row r="328" spans="1:33" ht="13.2" x14ac:dyDescent="0.25">
      <c r="A328" s="117" t="s">
        <v>598</v>
      </c>
      <c r="B328" s="117" t="s">
        <v>139</v>
      </c>
      <c r="C328" s="117">
        <f t="shared" si="20"/>
        <v>1945.75</v>
      </c>
      <c r="D328" s="117">
        <f t="shared" si="21"/>
        <v>1851.25</v>
      </c>
      <c r="E328" s="225">
        <f t="shared" si="22"/>
        <v>2956109.45</v>
      </c>
      <c r="F328" s="117">
        <f t="shared" si="23"/>
        <v>5172949.7249999996</v>
      </c>
      <c r="G328" s="117">
        <v>1551</v>
      </c>
      <c r="H328" s="117">
        <v>1876</v>
      </c>
      <c r="I328" s="117">
        <v>443</v>
      </c>
      <c r="J328" s="117">
        <v>799</v>
      </c>
      <c r="K328" s="117">
        <v>443</v>
      </c>
      <c r="L328" s="117">
        <v>1012</v>
      </c>
      <c r="M328" s="117">
        <v>1170</v>
      </c>
      <c r="N328" s="117">
        <v>1336</v>
      </c>
      <c r="O328" s="117">
        <v>3224</v>
      </c>
      <c r="P328" s="117">
        <v>2950</v>
      </c>
      <c r="Q328" s="117">
        <v>1511</v>
      </c>
      <c r="R328" s="117">
        <v>1607</v>
      </c>
      <c r="S328" s="117">
        <v>1975</v>
      </c>
      <c r="T328" s="117">
        <v>1690</v>
      </c>
      <c r="U328" s="117">
        <v>3677</v>
      </c>
      <c r="V328" s="117">
        <v>3640</v>
      </c>
      <c r="W328" s="117">
        <v>239</v>
      </c>
      <c r="X328" s="117">
        <v>199</v>
      </c>
      <c r="Y328" s="117">
        <v>1892</v>
      </c>
      <c r="Z328" s="117">
        <v>1876</v>
      </c>
      <c r="AA328" s="117">
        <v>19088</v>
      </c>
      <c r="AB328" s="117">
        <v>19161</v>
      </c>
      <c r="AC328" s="117">
        <v>19345</v>
      </c>
      <c r="AD328" s="117">
        <v>34123</v>
      </c>
      <c r="AE328" s="117">
        <v>39596</v>
      </c>
      <c r="AF328"/>
      <c r="AG328"/>
    </row>
    <row r="329" spans="1:33" ht="13.2" x14ac:dyDescent="0.25">
      <c r="A329" s="117" t="s">
        <v>601</v>
      </c>
      <c r="B329" s="117" t="s">
        <v>256</v>
      </c>
      <c r="C329" s="117">
        <f t="shared" si="20"/>
        <v>268.5</v>
      </c>
      <c r="D329" s="117">
        <f t="shared" si="21"/>
        <v>266.5</v>
      </c>
      <c r="E329" s="225">
        <f t="shared" si="22"/>
        <v>2282522.9700000002</v>
      </c>
      <c r="F329" s="117">
        <f t="shared" si="23"/>
        <v>3994228.4849999994</v>
      </c>
      <c r="G329" s="117">
        <v>28</v>
      </c>
      <c r="H329" s="117">
        <v>28</v>
      </c>
      <c r="I329" s="117">
        <v>1098</v>
      </c>
      <c r="J329" s="117">
        <v>1099</v>
      </c>
      <c r="K329" s="117">
        <v>4042</v>
      </c>
      <c r="L329" s="117">
        <v>3948</v>
      </c>
      <c r="M329" s="117">
        <v>543</v>
      </c>
      <c r="N329" s="117">
        <v>693</v>
      </c>
      <c r="O329" s="117">
        <v>896</v>
      </c>
      <c r="P329" s="117">
        <v>1111</v>
      </c>
      <c r="Q329" s="117">
        <v>2346</v>
      </c>
      <c r="R329" s="117">
        <v>2172</v>
      </c>
      <c r="S329" s="117">
        <v>389</v>
      </c>
      <c r="T329" s="117">
        <v>389</v>
      </c>
      <c r="U329" s="117">
        <v>419</v>
      </c>
      <c r="V329" s="117">
        <v>418</v>
      </c>
      <c r="W329" s="117">
        <v>222</v>
      </c>
      <c r="X329" s="117">
        <v>231</v>
      </c>
      <c r="Y329" s="117">
        <v>44</v>
      </c>
      <c r="Z329" s="117">
        <v>28</v>
      </c>
      <c r="AA329" s="117">
        <v>14985</v>
      </c>
      <c r="AB329" s="117">
        <v>15022</v>
      </c>
      <c r="AC329" s="117">
        <v>14937</v>
      </c>
      <c r="AD329" s="117">
        <v>28646</v>
      </c>
      <c r="AE329" s="117">
        <v>25897</v>
      </c>
      <c r="AF329"/>
      <c r="AG329"/>
    </row>
    <row r="330" spans="1:33" ht="13.2" x14ac:dyDescent="0.25">
      <c r="A330" s="117" t="s">
        <v>607</v>
      </c>
      <c r="B330" s="117" t="s">
        <v>756</v>
      </c>
      <c r="C330" s="117">
        <f t="shared" si="20"/>
        <v>94.75</v>
      </c>
      <c r="D330" s="117">
        <f t="shared" si="21"/>
        <v>1012</v>
      </c>
      <c r="E330" s="225">
        <f t="shared" si="22"/>
        <v>3857535.64</v>
      </c>
      <c r="F330" s="117">
        <f t="shared" si="23"/>
        <v>6750371.8199999994</v>
      </c>
      <c r="G330" s="117">
        <v>0</v>
      </c>
      <c r="H330" s="117">
        <v>0</v>
      </c>
      <c r="I330" s="117">
        <v>273</v>
      </c>
      <c r="J330" s="117">
        <v>258</v>
      </c>
      <c r="K330" s="117">
        <v>1600</v>
      </c>
      <c r="L330" s="117">
        <v>4536</v>
      </c>
      <c r="M330" s="117">
        <v>907</v>
      </c>
      <c r="N330" s="117">
        <v>1670</v>
      </c>
      <c r="O330" s="117">
        <v>470</v>
      </c>
      <c r="P330" s="117">
        <v>670</v>
      </c>
      <c r="Q330" s="117">
        <v>310</v>
      </c>
      <c r="R330" s="117">
        <v>258</v>
      </c>
      <c r="S330" s="117">
        <v>183</v>
      </c>
      <c r="T330" s="117">
        <v>262</v>
      </c>
      <c r="U330" s="117">
        <v>145</v>
      </c>
      <c r="V330" s="117">
        <v>143</v>
      </c>
      <c r="W330" s="117">
        <v>51</v>
      </c>
      <c r="X330" s="117">
        <v>69</v>
      </c>
      <c r="Y330" s="117" t="s">
        <v>843</v>
      </c>
      <c r="Z330" s="117">
        <v>3574</v>
      </c>
      <c r="AA330" s="117">
        <v>24857</v>
      </c>
      <c r="AB330" s="117">
        <v>24654</v>
      </c>
      <c r="AC330" s="117">
        <v>25244</v>
      </c>
      <c r="AD330" s="117">
        <v>52893</v>
      </c>
      <c r="AE330" s="117">
        <v>50488</v>
      </c>
      <c r="AF330"/>
      <c r="AG330"/>
    </row>
    <row r="331" spans="1:33" ht="13.2" x14ac:dyDescent="0.25">
      <c r="A331" s="117" t="s">
        <v>603</v>
      </c>
      <c r="B331" s="117" t="s">
        <v>382</v>
      </c>
      <c r="C331" s="117">
        <f t="shared" si="20"/>
        <v>35293.75</v>
      </c>
      <c r="D331" s="117">
        <f t="shared" si="21"/>
        <v>36695</v>
      </c>
      <c r="E331" s="225">
        <f t="shared" si="22"/>
        <v>16591498.560000001</v>
      </c>
      <c r="F331" s="117">
        <f t="shared" si="23"/>
        <v>29033765.279999997</v>
      </c>
      <c r="G331" s="117">
        <v>51556</v>
      </c>
      <c r="H331" s="117">
        <v>50683</v>
      </c>
      <c r="I331" s="117">
        <v>54291</v>
      </c>
      <c r="J331" s="117">
        <v>86576</v>
      </c>
      <c r="K331" s="117">
        <v>39693</v>
      </c>
      <c r="L331" s="117">
        <v>56863</v>
      </c>
      <c r="M331" s="117">
        <v>28395</v>
      </c>
      <c r="N331" s="117">
        <v>38145</v>
      </c>
      <c r="O331" s="117">
        <v>26523</v>
      </c>
      <c r="P331" s="117">
        <v>30954</v>
      </c>
      <c r="Q331" s="117">
        <v>28652</v>
      </c>
      <c r="R331" s="117">
        <v>31738</v>
      </c>
      <c r="S331" s="117">
        <v>46790</v>
      </c>
      <c r="T331" s="117">
        <v>47629</v>
      </c>
      <c r="U331" s="117">
        <v>40957</v>
      </c>
      <c r="V331" s="117">
        <v>32157</v>
      </c>
      <c r="W331" s="117">
        <v>20238</v>
      </c>
      <c r="X331" s="117">
        <v>16311</v>
      </c>
      <c r="Y331" s="117">
        <v>33190</v>
      </c>
      <c r="Z331" s="117">
        <v>50683</v>
      </c>
      <c r="AA331" s="117">
        <v>105636</v>
      </c>
      <c r="AB331" s="117">
        <v>107488</v>
      </c>
      <c r="AC331" s="117">
        <v>108576</v>
      </c>
      <c r="AD331" s="117">
        <v>399460</v>
      </c>
      <c r="AE331" s="117">
        <v>391274</v>
      </c>
      <c r="AF331"/>
      <c r="AG331"/>
    </row>
    <row r="332" spans="1:33" ht="13.2" x14ac:dyDescent="0.25">
      <c r="A332" s="117" t="s">
        <v>602</v>
      </c>
      <c r="B332" s="117" t="s">
        <v>184</v>
      </c>
      <c r="C332" s="117">
        <f t="shared" si="20"/>
        <v>1841.5</v>
      </c>
      <c r="D332" s="117">
        <f t="shared" si="21"/>
        <v>2058.25</v>
      </c>
      <c r="E332" s="225">
        <f t="shared" si="22"/>
        <v>3948151.97</v>
      </c>
      <c r="F332" s="117">
        <f t="shared" si="23"/>
        <v>6908942.9849999994</v>
      </c>
      <c r="G332" s="117">
        <v>1729</v>
      </c>
      <c r="H332" s="117">
        <v>1727</v>
      </c>
      <c r="I332" s="117">
        <v>623</v>
      </c>
      <c r="J332" s="117">
        <v>2606</v>
      </c>
      <c r="K332" s="117">
        <v>2425</v>
      </c>
      <c r="L332" s="117">
        <v>2701</v>
      </c>
      <c r="M332" s="117">
        <v>2878</v>
      </c>
      <c r="N332" s="117">
        <v>3559</v>
      </c>
      <c r="O332" s="117">
        <v>2177</v>
      </c>
      <c r="P332" s="117">
        <v>2076</v>
      </c>
      <c r="Q332" s="117">
        <v>2643</v>
      </c>
      <c r="R332" s="117">
        <v>2414</v>
      </c>
      <c r="S332" s="117">
        <v>2095</v>
      </c>
      <c r="T332" s="117">
        <v>1985</v>
      </c>
      <c r="U332" s="117">
        <v>2273</v>
      </c>
      <c r="V332" s="117">
        <v>3176</v>
      </c>
      <c r="W332" s="117">
        <v>1346</v>
      </c>
      <c r="X332" s="117">
        <v>1345</v>
      </c>
      <c r="Y332" s="117">
        <v>1652</v>
      </c>
      <c r="Z332" s="117">
        <v>1727</v>
      </c>
      <c r="AA332" s="117">
        <v>25611</v>
      </c>
      <c r="AB332" s="117">
        <v>25720</v>
      </c>
      <c r="AC332" s="117">
        <v>25837</v>
      </c>
      <c r="AD332" s="117">
        <v>67432</v>
      </c>
      <c r="AE332" s="117">
        <v>68248</v>
      </c>
      <c r="AF332"/>
      <c r="AG332"/>
    </row>
    <row r="333" spans="1:33" ht="13.2" x14ac:dyDescent="0.25">
      <c r="A333" s="117" t="s">
        <v>603</v>
      </c>
      <c r="B333" s="117" t="s">
        <v>383</v>
      </c>
      <c r="C333" s="117">
        <f t="shared" si="20"/>
        <v>3136</v>
      </c>
      <c r="D333" s="117">
        <f t="shared" si="21"/>
        <v>4465.25</v>
      </c>
      <c r="E333" s="225">
        <f t="shared" si="22"/>
        <v>2235304.6800000002</v>
      </c>
      <c r="F333" s="117">
        <f t="shared" si="23"/>
        <v>3911600.3399999994</v>
      </c>
      <c r="G333" s="117">
        <v>7532</v>
      </c>
      <c r="H333" s="117">
        <v>6969</v>
      </c>
      <c r="I333" s="117">
        <v>11553</v>
      </c>
      <c r="J333" s="117">
        <v>15672</v>
      </c>
      <c r="K333" s="117">
        <v>14182</v>
      </c>
      <c r="L333" s="117">
        <v>14077</v>
      </c>
      <c r="M333" s="117">
        <v>6320</v>
      </c>
      <c r="N333" s="117">
        <v>7779</v>
      </c>
      <c r="O333" s="117">
        <v>10348</v>
      </c>
      <c r="P333" s="117">
        <v>9486</v>
      </c>
      <c r="Q333" s="117">
        <v>1950</v>
      </c>
      <c r="R333" s="117">
        <v>2722</v>
      </c>
      <c r="S333" s="117">
        <v>1524</v>
      </c>
      <c r="T333" s="117">
        <v>3061</v>
      </c>
      <c r="U333" s="117">
        <v>5186</v>
      </c>
      <c r="V333" s="117">
        <v>6976</v>
      </c>
      <c r="W333" s="117">
        <v>1297</v>
      </c>
      <c r="X333" s="117">
        <v>855</v>
      </c>
      <c r="Y333" s="117">
        <v>4537</v>
      </c>
      <c r="Z333" s="117">
        <v>6969</v>
      </c>
      <c r="AA333" s="117">
        <v>14258</v>
      </c>
      <c r="AB333" s="117">
        <v>14515</v>
      </c>
      <c r="AC333" s="117">
        <v>14628</v>
      </c>
      <c r="AD333" s="117">
        <v>79280</v>
      </c>
      <c r="AE333" s="117">
        <v>93760</v>
      </c>
      <c r="AF333"/>
      <c r="AG333"/>
    </row>
    <row r="334" spans="1:33" ht="13.2" x14ac:dyDescent="0.25">
      <c r="A334" s="117" t="s">
        <v>604</v>
      </c>
      <c r="B334" s="117" t="s">
        <v>206</v>
      </c>
      <c r="C334" s="117">
        <f t="shared" si="20"/>
        <v>4461.5</v>
      </c>
      <c r="D334" s="117">
        <f t="shared" si="21"/>
        <v>5243.75</v>
      </c>
      <c r="E334" s="225">
        <f t="shared" si="22"/>
        <v>3720159.45</v>
      </c>
      <c r="F334" s="117">
        <f t="shared" si="23"/>
        <v>6509974.7249999996</v>
      </c>
      <c r="G334" s="117">
        <v>4047</v>
      </c>
      <c r="H334" s="117">
        <v>4048</v>
      </c>
      <c r="I334" s="117">
        <v>6208</v>
      </c>
      <c r="J334" s="117">
        <v>7976</v>
      </c>
      <c r="K334" s="117">
        <v>5717</v>
      </c>
      <c r="L334" s="117">
        <v>5534</v>
      </c>
      <c r="M334" s="117">
        <v>5597</v>
      </c>
      <c r="N334" s="117">
        <v>6529</v>
      </c>
      <c r="O334" s="117">
        <v>3941</v>
      </c>
      <c r="P334" s="117">
        <v>9675</v>
      </c>
      <c r="Q334" s="117">
        <v>5406</v>
      </c>
      <c r="R334" s="117">
        <v>6175</v>
      </c>
      <c r="S334" s="117">
        <v>3130</v>
      </c>
      <c r="T334" s="117">
        <v>3791</v>
      </c>
      <c r="U334" s="117">
        <v>8412</v>
      </c>
      <c r="V334" s="117">
        <v>10594</v>
      </c>
      <c r="W334" s="117">
        <v>3292</v>
      </c>
      <c r="X334" s="117">
        <v>2542</v>
      </c>
      <c r="Y334" s="117">
        <v>3012</v>
      </c>
      <c r="Z334" s="117">
        <v>4048</v>
      </c>
      <c r="AA334" s="117">
        <v>24219</v>
      </c>
      <c r="AB334" s="117">
        <v>24269</v>
      </c>
      <c r="AC334" s="117">
        <v>24345</v>
      </c>
      <c r="AD334" s="117">
        <v>30746</v>
      </c>
      <c r="AE334" s="117">
        <v>34006</v>
      </c>
      <c r="AF334"/>
      <c r="AG334"/>
    </row>
    <row r="335" spans="1:33" ht="13.2" x14ac:dyDescent="0.25">
      <c r="A335" s="117" t="s">
        <v>601</v>
      </c>
      <c r="B335" s="117" t="s">
        <v>257</v>
      </c>
      <c r="C335" s="117">
        <f t="shared" si="20"/>
        <v>3078.75</v>
      </c>
      <c r="D335" s="117">
        <f t="shared" si="21"/>
        <v>2971.75</v>
      </c>
      <c r="E335" s="225">
        <f t="shared" si="22"/>
        <v>6255582.9699999997</v>
      </c>
      <c r="F335" s="117">
        <f t="shared" si="23"/>
        <v>10946758.484999999</v>
      </c>
      <c r="G335" s="117">
        <v>524</v>
      </c>
      <c r="H335" s="117">
        <v>715</v>
      </c>
      <c r="I335" s="117">
        <v>5290</v>
      </c>
      <c r="J335" s="117">
        <v>4124</v>
      </c>
      <c r="K335" s="117">
        <v>6790</v>
      </c>
      <c r="L335" s="117">
        <v>6643</v>
      </c>
      <c r="M335" s="117">
        <v>1575</v>
      </c>
      <c r="N335" s="117">
        <v>3711</v>
      </c>
      <c r="O335" s="117">
        <v>1820</v>
      </c>
      <c r="P335" s="117">
        <v>1403</v>
      </c>
      <c r="Q335" s="117">
        <v>2594</v>
      </c>
      <c r="R335" s="117">
        <v>2594</v>
      </c>
      <c r="S335" s="117">
        <v>1370</v>
      </c>
      <c r="T335" s="117">
        <v>983</v>
      </c>
      <c r="U335" s="117">
        <v>5670</v>
      </c>
      <c r="V335" s="117">
        <v>6936</v>
      </c>
      <c r="W335" s="117">
        <v>4724</v>
      </c>
      <c r="X335" s="117">
        <v>3253</v>
      </c>
      <c r="Y335" s="117">
        <v>551</v>
      </c>
      <c r="Z335" s="117">
        <v>715</v>
      </c>
      <c r="AA335" s="117">
        <v>40878</v>
      </c>
      <c r="AB335" s="117">
        <v>40842</v>
      </c>
      <c r="AC335" s="117">
        <v>40937</v>
      </c>
      <c r="AD335" s="117">
        <v>67263</v>
      </c>
      <c r="AE335" s="117">
        <v>65766</v>
      </c>
      <c r="AF335"/>
      <c r="AG335"/>
    </row>
    <row r="336" spans="1:33" ht="13.2" x14ac:dyDescent="0.25">
      <c r="A336" s="117" t="s">
        <v>600</v>
      </c>
      <c r="B336" s="117" t="s">
        <v>328</v>
      </c>
      <c r="C336" s="117">
        <f t="shared" si="20"/>
        <v>1465.5</v>
      </c>
      <c r="D336" s="117">
        <f t="shared" si="21"/>
        <v>1585.5</v>
      </c>
      <c r="E336" s="225">
        <f t="shared" si="22"/>
        <v>3670190.58</v>
      </c>
      <c r="F336" s="117">
        <f t="shared" si="23"/>
        <v>6422533.2899999991</v>
      </c>
      <c r="G336" s="117">
        <v>0</v>
      </c>
      <c r="H336" s="117">
        <v>0</v>
      </c>
      <c r="I336" s="117">
        <v>1842</v>
      </c>
      <c r="J336" s="117">
        <v>1817</v>
      </c>
      <c r="K336" s="117">
        <v>2672</v>
      </c>
      <c r="L336" s="117">
        <v>4600</v>
      </c>
      <c r="M336" s="117">
        <v>2210</v>
      </c>
      <c r="N336" s="117">
        <v>5437</v>
      </c>
      <c r="O336" s="117">
        <v>700</v>
      </c>
      <c r="P336" s="117">
        <v>1744</v>
      </c>
      <c r="Q336" s="117">
        <v>2872</v>
      </c>
      <c r="R336" s="117">
        <v>2641</v>
      </c>
      <c r="S336" s="117">
        <v>1989</v>
      </c>
      <c r="T336" s="117">
        <v>1996</v>
      </c>
      <c r="U336" s="117">
        <v>3873</v>
      </c>
      <c r="V336" s="117">
        <v>4346</v>
      </c>
      <c r="W336" s="117">
        <v>0</v>
      </c>
      <c r="X336" s="117">
        <v>0</v>
      </c>
      <c r="Y336" s="117">
        <v>0</v>
      </c>
      <c r="Z336" s="117">
        <v>0</v>
      </c>
      <c r="AA336" s="117">
        <v>23442</v>
      </c>
      <c r="AB336" s="117">
        <v>23664</v>
      </c>
      <c r="AC336" s="117">
        <v>24018</v>
      </c>
      <c r="AD336" s="117">
        <v>38033</v>
      </c>
      <c r="AE336" s="117">
        <v>38756</v>
      </c>
      <c r="AF336"/>
      <c r="AG336"/>
    </row>
    <row r="337" spans="1:33" ht="13.2" x14ac:dyDescent="0.25">
      <c r="A337" s="117" t="s">
        <v>606</v>
      </c>
      <c r="B337" s="117" t="s">
        <v>283</v>
      </c>
      <c r="C337" s="117">
        <f t="shared" si="20"/>
        <v>2495.5</v>
      </c>
      <c r="D337" s="117">
        <f t="shared" si="21"/>
        <v>2427</v>
      </c>
      <c r="E337" s="225">
        <f t="shared" si="22"/>
        <v>3631224.0300000003</v>
      </c>
      <c r="F337" s="117">
        <f t="shared" si="23"/>
        <v>6354345.0149999997</v>
      </c>
      <c r="G337" s="117">
        <v>280</v>
      </c>
      <c r="H337" s="117">
        <v>303</v>
      </c>
      <c r="I337" s="117">
        <v>5360</v>
      </c>
      <c r="J337" s="117">
        <v>6832</v>
      </c>
      <c r="K337" s="117">
        <v>5461</v>
      </c>
      <c r="L337" s="117">
        <v>5700</v>
      </c>
      <c r="M337" s="117">
        <v>6683</v>
      </c>
      <c r="N337" s="117">
        <v>6985</v>
      </c>
      <c r="O337" s="117">
        <v>4349</v>
      </c>
      <c r="P337" s="117">
        <v>4342</v>
      </c>
      <c r="Q337" s="117">
        <v>4391</v>
      </c>
      <c r="R337" s="117">
        <v>4545</v>
      </c>
      <c r="S337" s="117">
        <v>5467</v>
      </c>
      <c r="T337" s="117">
        <v>5140</v>
      </c>
      <c r="U337" s="117">
        <v>2491</v>
      </c>
      <c r="V337" s="117">
        <v>2987</v>
      </c>
      <c r="W337" s="117">
        <v>1395</v>
      </c>
      <c r="X337" s="117">
        <v>1278</v>
      </c>
      <c r="Y337" s="117">
        <v>629</v>
      </c>
      <c r="Z337" s="117">
        <v>303</v>
      </c>
      <c r="AA337" s="117">
        <v>23504</v>
      </c>
      <c r="AB337" s="117">
        <v>23692</v>
      </c>
      <c r="AC337" s="117">
        <v>23763</v>
      </c>
      <c r="AD337" s="117">
        <v>42526</v>
      </c>
      <c r="AE337" s="117">
        <v>44224</v>
      </c>
      <c r="AF337"/>
      <c r="AG337"/>
    </row>
    <row r="338" spans="1:33" ht="13.2" x14ac:dyDescent="0.25">
      <c r="A338" s="117" t="s">
        <v>601</v>
      </c>
      <c r="B338" s="117" t="s">
        <v>258</v>
      </c>
      <c r="C338" s="117">
        <f t="shared" si="20"/>
        <v>2956</v>
      </c>
      <c r="D338" s="117">
        <f t="shared" si="21"/>
        <v>2947.25</v>
      </c>
      <c r="E338" s="225">
        <f t="shared" si="22"/>
        <v>4417278.67</v>
      </c>
      <c r="F338" s="117">
        <f t="shared" si="23"/>
        <v>7729876.334999999</v>
      </c>
      <c r="G338" s="117">
        <v>1247</v>
      </c>
      <c r="H338" s="117">
        <v>1328</v>
      </c>
      <c r="I338" s="117">
        <v>5069</v>
      </c>
      <c r="J338" s="117">
        <v>5082</v>
      </c>
      <c r="K338" s="117">
        <v>5772</v>
      </c>
      <c r="L338" s="117">
        <v>7593</v>
      </c>
      <c r="M338" s="117">
        <v>4184</v>
      </c>
      <c r="N338" s="117">
        <v>3250</v>
      </c>
      <c r="O338" s="117">
        <v>1565</v>
      </c>
      <c r="P338" s="117">
        <v>1755</v>
      </c>
      <c r="Q338" s="117">
        <v>2089</v>
      </c>
      <c r="R338" s="117">
        <v>2476</v>
      </c>
      <c r="S338" s="117">
        <v>3315</v>
      </c>
      <c r="T338" s="117">
        <v>3285</v>
      </c>
      <c r="U338" s="117">
        <v>4748</v>
      </c>
      <c r="V338" s="117">
        <v>4381</v>
      </c>
      <c r="W338" s="117">
        <v>2605</v>
      </c>
      <c r="X338" s="117">
        <v>2795</v>
      </c>
      <c r="Y338" s="117">
        <v>1156</v>
      </c>
      <c r="Z338" s="117">
        <v>1328</v>
      </c>
      <c r="AA338" s="117">
        <v>28904</v>
      </c>
      <c r="AB338" s="117">
        <v>29005</v>
      </c>
      <c r="AC338" s="117">
        <v>28907</v>
      </c>
      <c r="AD338" s="117">
        <v>123026</v>
      </c>
      <c r="AE338" s="117">
        <v>127461</v>
      </c>
      <c r="AF338"/>
      <c r="AG338"/>
    </row>
    <row r="339" spans="1:33" ht="13.2" x14ac:dyDescent="0.25">
      <c r="A339" s="117" t="s">
        <v>599</v>
      </c>
      <c r="B339" s="117" t="s">
        <v>459</v>
      </c>
      <c r="C339" s="117">
        <f t="shared" si="20"/>
        <v>874.5</v>
      </c>
      <c r="D339" s="117">
        <f t="shared" si="21"/>
        <v>668.75</v>
      </c>
      <c r="E339" s="225">
        <f t="shared" si="22"/>
        <v>3340579.41</v>
      </c>
      <c r="F339" s="117">
        <f t="shared" si="23"/>
        <v>5845740.7049999991</v>
      </c>
      <c r="G339" s="117">
        <v>0</v>
      </c>
      <c r="H339" s="117">
        <v>0</v>
      </c>
      <c r="I339" s="117">
        <v>1782</v>
      </c>
      <c r="J339" s="117">
        <v>1307</v>
      </c>
      <c r="K339" s="117">
        <v>1527</v>
      </c>
      <c r="L339" s="117">
        <v>858</v>
      </c>
      <c r="M339" s="117">
        <v>1076</v>
      </c>
      <c r="N339" s="117">
        <v>400</v>
      </c>
      <c r="O339" s="117">
        <v>4180</v>
      </c>
      <c r="P339" s="117">
        <v>2627</v>
      </c>
      <c r="Q339" s="117">
        <v>673</v>
      </c>
      <c r="R339" s="117">
        <v>602</v>
      </c>
      <c r="S339" s="117">
        <v>1873</v>
      </c>
      <c r="T339" s="117">
        <v>1435</v>
      </c>
      <c r="U339" s="117">
        <v>1625</v>
      </c>
      <c r="V339" s="117">
        <v>1240</v>
      </c>
      <c r="W339" s="117">
        <v>0</v>
      </c>
      <c r="X339" s="117">
        <v>0</v>
      </c>
      <c r="Y339" s="117">
        <v>0</v>
      </c>
      <c r="Z339" s="117">
        <v>0</v>
      </c>
      <c r="AA339" s="117">
        <v>21833</v>
      </c>
      <c r="AB339" s="117">
        <v>21807</v>
      </c>
      <c r="AC339" s="117">
        <v>21861</v>
      </c>
      <c r="AD339" s="117">
        <v>37652</v>
      </c>
      <c r="AE339" s="117">
        <v>40660</v>
      </c>
      <c r="AF339"/>
      <c r="AG339"/>
    </row>
    <row r="340" spans="1:33" ht="13.2" x14ac:dyDescent="0.25">
      <c r="A340" s="117" t="s">
        <v>606</v>
      </c>
      <c r="B340" s="117" t="s">
        <v>284</v>
      </c>
      <c r="C340" s="117">
        <f t="shared" si="20"/>
        <v>13023.5</v>
      </c>
      <c r="D340" s="117">
        <f t="shared" si="21"/>
        <v>10837.5</v>
      </c>
      <c r="E340" s="225">
        <f t="shared" si="22"/>
        <v>7977293.2400000002</v>
      </c>
      <c r="F340" s="117">
        <f t="shared" si="23"/>
        <v>13959610.619999999</v>
      </c>
      <c r="G340" s="117">
        <v>102</v>
      </c>
      <c r="H340" s="117">
        <v>108</v>
      </c>
      <c r="I340" s="117">
        <v>18899</v>
      </c>
      <c r="J340" s="117">
        <v>12126</v>
      </c>
      <c r="K340" s="117">
        <v>14152</v>
      </c>
      <c r="L340" s="117">
        <v>13473</v>
      </c>
      <c r="M340" s="117">
        <v>8319</v>
      </c>
      <c r="N340" s="117">
        <v>8210</v>
      </c>
      <c r="O340" s="117">
        <v>4770</v>
      </c>
      <c r="P340" s="117">
        <v>7686</v>
      </c>
      <c r="Q340" s="117">
        <v>4718</v>
      </c>
      <c r="R340" s="117">
        <v>4970</v>
      </c>
      <c r="S340" s="117">
        <v>21374</v>
      </c>
      <c r="T340" s="117">
        <v>19210</v>
      </c>
      <c r="U340" s="117">
        <v>9226</v>
      </c>
      <c r="V340" s="117">
        <v>9460</v>
      </c>
      <c r="W340" s="117">
        <v>21414</v>
      </c>
      <c r="X340" s="117">
        <v>14572</v>
      </c>
      <c r="Y340" s="117">
        <v>80</v>
      </c>
      <c r="Z340" s="117">
        <v>108</v>
      </c>
      <c r="AA340" s="117">
        <v>51522</v>
      </c>
      <c r="AB340" s="117">
        <v>51765</v>
      </c>
      <c r="AC340" s="117">
        <v>52204</v>
      </c>
      <c r="AD340" s="117">
        <v>196759</v>
      </c>
      <c r="AE340" s="117">
        <v>192055</v>
      </c>
      <c r="AF340"/>
      <c r="AG340"/>
    </row>
    <row r="341" spans="1:33" ht="13.2" x14ac:dyDescent="0.25">
      <c r="A341" s="117" t="s">
        <v>600</v>
      </c>
      <c r="B341" s="117" t="s">
        <v>329</v>
      </c>
      <c r="C341" s="117">
        <f t="shared" si="20"/>
        <v>107.25</v>
      </c>
      <c r="D341" s="117">
        <f t="shared" si="21"/>
        <v>462.75</v>
      </c>
      <c r="E341" s="225">
        <f t="shared" si="22"/>
        <v>2495692.92</v>
      </c>
      <c r="F341" s="117">
        <f t="shared" si="23"/>
        <v>4367258.46</v>
      </c>
      <c r="G341" s="117">
        <v>0</v>
      </c>
      <c r="H341" s="117">
        <v>0</v>
      </c>
      <c r="I341" s="117">
        <v>1005</v>
      </c>
      <c r="J341" s="117">
        <v>1117</v>
      </c>
      <c r="K341" s="117">
        <v>260</v>
      </c>
      <c r="L341" s="117">
        <v>314</v>
      </c>
      <c r="M341" s="117">
        <v>664</v>
      </c>
      <c r="N341" s="117">
        <v>686</v>
      </c>
      <c r="O341" s="117">
        <v>983</v>
      </c>
      <c r="P341" s="117">
        <v>671</v>
      </c>
      <c r="Q341" s="117">
        <v>34</v>
      </c>
      <c r="R341" s="117">
        <v>206</v>
      </c>
      <c r="S341" s="117">
        <v>111</v>
      </c>
      <c r="T341" s="117">
        <v>408</v>
      </c>
      <c r="U341" s="117">
        <v>73</v>
      </c>
      <c r="V341" s="117">
        <v>1368</v>
      </c>
      <c r="W341" s="117">
        <v>245</v>
      </c>
      <c r="X341" s="117">
        <v>75</v>
      </c>
      <c r="Y341" s="117">
        <v>0</v>
      </c>
      <c r="Z341" s="117">
        <v>0</v>
      </c>
      <c r="AA341" s="117">
        <v>15804</v>
      </c>
      <c r="AB341" s="117">
        <v>16003</v>
      </c>
      <c r="AC341" s="117">
        <v>16332</v>
      </c>
      <c r="AD341" s="117">
        <v>30030</v>
      </c>
      <c r="AE341" s="117">
        <v>30433</v>
      </c>
      <c r="AF341"/>
      <c r="AG341"/>
    </row>
    <row r="342" spans="1:33" ht="13.2" x14ac:dyDescent="0.25">
      <c r="A342" s="117" t="s">
        <v>606</v>
      </c>
      <c r="B342" s="117" t="s">
        <v>285</v>
      </c>
      <c r="C342" s="117">
        <f t="shared" si="20"/>
        <v>9546.25</v>
      </c>
      <c r="D342" s="117">
        <f t="shared" si="21"/>
        <v>11774.5</v>
      </c>
      <c r="E342" s="225">
        <f t="shared" si="22"/>
        <v>2011743.6500000001</v>
      </c>
      <c r="F342" s="117">
        <f t="shared" si="23"/>
        <v>3520386.8249999997</v>
      </c>
      <c r="G342" s="117">
        <v>20390</v>
      </c>
      <c r="H342" s="117">
        <v>19380</v>
      </c>
      <c r="I342" s="117">
        <v>8313</v>
      </c>
      <c r="J342" s="117">
        <v>8165</v>
      </c>
      <c r="K342" s="117">
        <v>25059</v>
      </c>
      <c r="L342" s="117">
        <v>24309</v>
      </c>
      <c r="M342" s="117">
        <v>6909</v>
      </c>
      <c r="N342" s="117">
        <v>6408</v>
      </c>
      <c r="O342" s="117">
        <v>4524</v>
      </c>
      <c r="P342" s="117">
        <v>4548</v>
      </c>
      <c r="Q342" s="117">
        <v>3468</v>
      </c>
      <c r="R342" s="117">
        <v>3525</v>
      </c>
      <c r="S342" s="117">
        <v>11042</v>
      </c>
      <c r="T342" s="117">
        <v>10773</v>
      </c>
      <c r="U342" s="117">
        <v>11484</v>
      </c>
      <c r="V342" s="117">
        <v>11485</v>
      </c>
      <c r="W342" s="117">
        <v>7072</v>
      </c>
      <c r="X342" s="117">
        <v>5460</v>
      </c>
      <c r="Y342" s="117">
        <v>8587</v>
      </c>
      <c r="Z342" s="117">
        <v>19380</v>
      </c>
      <c r="AA342" s="117">
        <v>12701</v>
      </c>
      <c r="AB342" s="117">
        <v>13022</v>
      </c>
      <c r="AC342" s="117">
        <v>13165</v>
      </c>
      <c r="AD342" s="117">
        <v>26608</v>
      </c>
      <c r="AE342" s="117">
        <v>26189</v>
      </c>
      <c r="AF342"/>
      <c r="AG342"/>
    </row>
    <row r="343" spans="1:33" ht="13.2" x14ac:dyDescent="0.25">
      <c r="A343" s="117" t="s">
        <v>600</v>
      </c>
      <c r="B343" s="117" t="s">
        <v>330</v>
      </c>
      <c r="C343" s="117">
        <f t="shared" si="20"/>
        <v>25551</v>
      </c>
      <c r="D343" s="117">
        <f t="shared" si="21"/>
        <v>23450.25</v>
      </c>
      <c r="E343" s="225">
        <f t="shared" si="22"/>
        <v>23807645.190000001</v>
      </c>
      <c r="F343" s="117">
        <f t="shared" si="23"/>
        <v>41661431.594999999</v>
      </c>
      <c r="G343" s="117">
        <v>49850</v>
      </c>
      <c r="H343" s="117">
        <v>50101</v>
      </c>
      <c r="I343" s="117">
        <v>52242</v>
      </c>
      <c r="J343" s="117">
        <v>47681</v>
      </c>
      <c r="K343" s="117">
        <v>27330</v>
      </c>
      <c r="L343" s="117">
        <v>44300</v>
      </c>
      <c r="M343" s="117">
        <v>33548</v>
      </c>
      <c r="N343" s="117">
        <v>42969</v>
      </c>
      <c r="O343" s="117">
        <v>54573</v>
      </c>
      <c r="P343" s="117">
        <v>31881</v>
      </c>
      <c r="Q343" s="117">
        <v>32517</v>
      </c>
      <c r="R343" s="117">
        <v>43365</v>
      </c>
      <c r="S343" s="117">
        <v>37879</v>
      </c>
      <c r="T343" s="117">
        <v>31240</v>
      </c>
      <c r="U343" s="117">
        <v>17680</v>
      </c>
      <c r="V343" s="117">
        <v>10280</v>
      </c>
      <c r="W343" s="117">
        <v>4919</v>
      </c>
      <c r="X343" s="117">
        <v>2180</v>
      </c>
      <c r="Y343" s="117">
        <v>41726</v>
      </c>
      <c r="Z343" s="117">
        <v>50101</v>
      </c>
      <c r="AA343" s="117">
        <v>153750</v>
      </c>
      <c r="AB343" s="117">
        <v>154826</v>
      </c>
      <c r="AC343" s="117">
        <v>155799</v>
      </c>
      <c r="AD343" s="117">
        <v>589253</v>
      </c>
      <c r="AE343" s="117">
        <v>614266</v>
      </c>
      <c r="AF343"/>
      <c r="AG343"/>
    </row>
    <row r="344" spans="1:33" ht="13.2" x14ac:dyDescent="0.25">
      <c r="A344" s="117" t="s">
        <v>601</v>
      </c>
      <c r="B344" s="117" t="s">
        <v>259</v>
      </c>
      <c r="C344" s="117">
        <f t="shared" si="20"/>
        <v>7744</v>
      </c>
      <c r="D344" s="117">
        <f t="shared" si="21"/>
        <v>6663.75</v>
      </c>
      <c r="E344" s="225">
        <f t="shared" si="22"/>
        <v>4346069.21</v>
      </c>
      <c r="F344" s="117">
        <f t="shared" si="23"/>
        <v>7605265.6049999995</v>
      </c>
      <c r="G344" s="117">
        <v>7933</v>
      </c>
      <c r="H344" s="117">
        <v>8095</v>
      </c>
      <c r="I344" s="117">
        <v>16641</v>
      </c>
      <c r="J344" s="117">
        <v>17993</v>
      </c>
      <c r="K344" s="117">
        <v>10422</v>
      </c>
      <c r="L344" s="117">
        <v>12527</v>
      </c>
      <c r="M344" s="117">
        <v>16771</v>
      </c>
      <c r="N344" s="117">
        <v>19345</v>
      </c>
      <c r="O344" s="117">
        <v>7042</v>
      </c>
      <c r="P344" s="117">
        <v>6950</v>
      </c>
      <c r="Q344" s="117">
        <v>6746</v>
      </c>
      <c r="R344" s="117">
        <v>6779</v>
      </c>
      <c r="S344" s="117">
        <v>5996</v>
      </c>
      <c r="T344" s="117">
        <v>6604</v>
      </c>
      <c r="U344" s="117">
        <v>14886</v>
      </c>
      <c r="V344" s="117">
        <v>9399</v>
      </c>
      <c r="W344" s="117">
        <v>4082</v>
      </c>
      <c r="X344" s="117">
        <v>2557</v>
      </c>
      <c r="Y344" s="117">
        <v>6012</v>
      </c>
      <c r="Z344" s="117">
        <v>8095</v>
      </c>
      <c r="AA344" s="117">
        <v>27727</v>
      </c>
      <c r="AB344" s="117">
        <v>28022</v>
      </c>
      <c r="AC344" s="117">
        <v>28441</v>
      </c>
      <c r="AD344" s="117">
        <v>53426</v>
      </c>
      <c r="AE344" s="117">
        <v>63429</v>
      </c>
      <c r="AF344"/>
      <c r="AG344"/>
    </row>
    <row r="345" spans="1:33" ht="13.2" x14ac:dyDescent="0.25">
      <c r="A345" s="117" t="s">
        <v>600</v>
      </c>
      <c r="B345" s="117" t="s">
        <v>331</v>
      </c>
      <c r="C345" s="117">
        <f t="shared" si="20"/>
        <v>0</v>
      </c>
      <c r="D345" s="117">
        <f t="shared" si="21"/>
        <v>28.75</v>
      </c>
      <c r="E345" s="225">
        <f t="shared" si="22"/>
        <v>2598381.2400000002</v>
      </c>
      <c r="F345" s="117">
        <f t="shared" si="23"/>
        <v>4546954.6199999992</v>
      </c>
      <c r="G345" s="117">
        <v>115</v>
      </c>
      <c r="H345" s="117">
        <v>115</v>
      </c>
      <c r="I345" s="117">
        <v>340</v>
      </c>
      <c r="J345" s="117">
        <v>58</v>
      </c>
      <c r="K345" s="117">
        <v>258</v>
      </c>
      <c r="L345" s="117">
        <v>31</v>
      </c>
      <c r="M345" s="117">
        <v>299</v>
      </c>
      <c r="N345" s="117">
        <v>26</v>
      </c>
      <c r="O345" s="117">
        <v>299</v>
      </c>
      <c r="P345" s="117">
        <v>20</v>
      </c>
      <c r="Q345" s="117">
        <v>0</v>
      </c>
      <c r="R345" s="117">
        <v>0</v>
      </c>
      <c r="S345" s="117">
        <v>0</v>
      </c>
      <c r="T345" s="117">
        <v>0</v>
      </c>
      <c r="U345" s="117">
        <v>0</v>
      </c>
      <c r="V345" s="117">
        <v>0</v>
      </c>
      <c r="W345" s="117">
        <v>0</v>
      </c>
      <c r="X345" s="117">
        <v>0</v>
      </c>
      <c r="Y345" s="117">
        <v>0</v>
      </c>
      <c r="Z345" s="117">
        <v>115</v>
      </c>
      <c r="AA345" s="117">
        <v>16894</v>
      </c>
      <c r="AB345" s="117">
        <v>16966</v>
      </c>
      <c r="AC345" s="117">
        <v>17004</v>
      </c>
      <c r="AD345" s="117">
        <v>58513</v>
      </c>
      <c r="AE345" s="117">
        <v>58606</v>
      </c>
      <c r="AF345"/>
      <c r="AG345"/>
    </row>
    <row r="346" spans="1:33" ht="13.2" x14ac:dyDescent="0.25">
      <c r="A346" s="117" t="s">
        <v>605</v>
      </c>
      <c r="B346" s="117" t="s">
        <v>499</v>
      </c>
      <c r="C346" s="117">
        <f t="shared" si="20"/>
        <v>307</v>
      </c>
      <c r="D346" s="117">
        <f t="shared" si="21"/>
        <v>-342.5</v>
      </c>
      <c r="E346" s="225">
        <f t="shared" si="22"/>
        <v>3409496.72</v>
      </c>
      <c r="F346" s="117">
        <f t="shared" si="23"/>
        <v>5966340.3599999994</v>
      </c>
      <c r="G346" s="117">
        <v>0</v>
      </c>
      <c r="H346" s="117">
        <v>5</v>
      </c>
      <c r="I346" s="117">
        <v>380</v>
      </c>
      <c r="J346" s="117">
        <v>648</v>
      </c>
      <c r="K346" s="117">
        <v>214</v>
      </c>
      <c r="L346" s="117">
        <v>762</v>
      </c>
      <c r="M346" s="117">
        <v>3796</v>
      </c>
      <c r="N346" s="117">
        <v>5664</v>
      </c>
      <c r="O346" s="117">
        <v>23646</v>
      </c>
      <c r="P346" s="117">
        <v>24630</v>
      </c>
      <c r="Q346" s="117">
        <v>23553</v>
      </c>
      <c r="R346" s="117">
        <v>22980</v>
      </c>
      <c r="S346" s="117">
        <v>114</v>
      </c>
      <c r="T346" s="117">
        <v>572</v>
      </c>
      <c r="U346" s="117">
        <v>1115</v>
      </c>
      <c r="V346" s="117">
        <v>-183</v>
      </c>
      <c r="W346" s="117">
        <v>-1</v>
      </c>
      <c r="X346" s="117">
        <v>-1764</v>
      </c>
      <c r="Y346" s="117">
        <v>0</v>
      </c>
      <c r="Z346" s="117">
        <v>5</v>
      </c>
      <c r="AA346" s="117">
        <v>22459</v>
      </c>
      <c r="AB346" s="117">
        <v>22392</v>
      </c>
      <c r="AC346" s="117">
        <v>22312</v>
      </c>
      <c r="AD346" s="117">
        <v>27975</v>
      </c>
      <c r="AE346" s="117">
        <v>30272</v>
      </c>
      <c r="AF346"/>
      <c r="AG346"/>
    </row>
    <row r="347" spans="1:33" ht="13.2" x14ac:dyDescent="0.25">
      <c r="A347" s="117" t="s">
        <v>606</v>
      </c>
      <c r="B347" s="117" t="s">
        <v>286</v>
      </c>
      <c r="C347" s="117">
        <f t="shared" si="20"/>
        <v>2636.5</v>
      </c>
      <c r="D347" s="117">
        <f t="shared" si="21"/>
        <v>3131.25</v>
      </c>
      <c r="E347" s="225">
        <f t="shared" si="22"/>
        <v>9773727.5999999996</v>
      </c>
      <c r="F347" s="117">
        <f t="shared" si="23"/>
        <v>17103223.799999997</v>
      </c>
      <c r="G347" s="117">
        <v>0</v>
      </c>
      <c r="H347" s="117">
        <v>364</v>
      </c>
      <c r="I347" s="117">
        <v>5596</v>
      </c>
      <c r="J347" s="117">
        <v>12010</v>
      </c>
      <c r="K347" s="117">
        <v>14012</v>
      </c>
      <c r="L347" s="117">
        <v>14514</v>
      </c>
      <c r="M347" s="117">
        <v>10403</v>
      </c>
      <c r="N347" s="117">
        <v>10528</v>
      </c>
      <c r="O347" s="117">
        <v>12382</v>
      </c>
      <c r="P347" s="117">
        <v>12593</v>
      </c>
      <c r="Q347" s="117">
        <v>5586</v>
      </c>
      <c r="R347" s="117">
        <v>5650</v>
      </c>
      <c r="S347" s="117">
        <v>3623</v>
      </c>
      <c r="T347" s="117">
        <v>8395</v>
      </c>
      <c r="U347" s="117">
        <v>6925</v>
      </c>
      <c r="V347" s="117">
        <v>3525</v>
      </c>
      <c r="W347" s="117">
        <v>-2</v>
      </c>
      <c r="X347" s="117">
        <v>241</v>
      </c>
      <c r="Y347" s="117">
        <v>0</v>
      </c>
      <c r="Z347" s="117">
        <v>364</v>
      </c>
      <c r="AA347" s="117">
        <v>62826</v>
      </c>
      <c r="AB347" s="117">
        <v>63340</v>
      </c>
      <c r="AC347" s="117">
        <v>63960</v>
      </c>
      <c r="AD347" s="117">
        <v>123923</v>
      </c>
      <c r="AE347" s="117">
        <v>125760</v>
      </c>
      <c r="AF347"/>
      <c r="AG347"/>
    </row>
    <row r="348" spans="1:33" ht="13.2" x14ac:dyDescent="0.25">
      <c r="A348" s="117" t="s">
        <v>601</v>
      </c>
      <c r="B348" s="117" t="s">
        <v>260</v>
      </c>
      <c r="C348" s="117">
        <f t="shared" si="20"/>
        <v>7797.5</v>
      </c>
      <c r="D348" s="117">
        <f t="shared" si="21"/>
        <v>8098</v>
      </c>
      <c r="E348" s="225">
        <f t="shared" si="22"/>
        <v>6648304.6699999999</v>
      </c>
      <c r="F348" s="117">
        <f t="shared" si="23"/>
        <v>11633989.334999999</v>
      </c>
      <c r="G348" s="117">
        <v>3578</v>
      </c>
      <c r="H348" s="117">
        <v>3574</v>
      </c>
      <c r="I348" s="117">
        <v>18144</v>
      </c>
      <c r="J348" s="117">
        <v>23583</v>
      </c>
      <c r="K348" s="117">
        <v>13765</v>
      </c>
      <c r="L348" s="117">
        <v>39687</v>
      </c>
      <c r="M348" s="117">
        <v>14861</v>
      </c>
      <c r="N348" s="117">
        <v>35508</v>
      </c>
      <c r="O348" s="117">
        <v>6478</v>
      </c>
      <c r="P348" s="117">
        <v>7677</v>
      </c>
      <c r="Q348" s="117">
        <v>9142</v>
      </c>
      <c r="R348" s="117">
        <v>12721</v>
      </c>
      <c r="S348" s="117">
        <v>8799</v>
      </c>
      <c r="T348" s="117">
        <v>7404</v>
      </c>
      <c r="U348" s="117">
        <v>12289</v>
      </c>
      <c r="V348" s="117">
        <v>11568</v>
      </c>
      <c r="W348" s="117">
        <v>10102</v>
      </c>
      <c r="X348" s="117">
        <v>9846</v>
      </c>
      <c r="Y348" s="117">
        <v>0</v>
      </c>
      <c r="Z348" s="117">
        <v>3574</v>
      </c>
      <c r="AA348" s="117">
        <v>43222</v>
      </c>
      <c r="AB348" s="117">
        <v>43411</v>
      </c>
      <c r="AC348" s="117">
        <v>43507</v>
      </c>
      <c r="AD348" s="117">
        <v>120042</v>
      </c>
      <c r="AE348" s="117">
        <v>113349</v>
      </c>
      <c r="AF348"/>
      <c r="AG348"/>
    </row>
    <row r="349" spans="1:33" ht="13.2" x14ac:dyDescent="0.25">
      <c r="A349" s="117" t="s">
        <v>603</v>
      </c>
      <c r="B349" s="117" t="s">
        <v>385</v>
      </c>
      <c r="C349" s="117">
        <f t="shared" si="20"/>
        <v>10755</v>
      </c>
      <c r="D349" s="117">
        <f t="shared" si="21"/>
        <v>9997</v>
      </c>
      <c r="E349" s="225">
        <f t="shared" si="22"/>
        <v>19093151.07</v>
      </c>
      <c r="F349" s="117">
        <f t="shared" si="23"/>
        <v>33411452.534999996</v>
      </c>
      <c r="G349" s="117">
        <v>8281</v>
      </c>
      <c r="H349" s="117">
        <v>8151</v>
      </c>
      <c r="I349" s="117">
        <v>38636</v>
      </c>
      <c r="J349" s="117">
        <v>40401</v>
      </c>
      <c r="K349" s="117">
        <v>41647</v>
      </c>
      <c r="L349" s="117">
        <v>54506</v>
      </c>
      <c r="M349" s="117">
        <v>27805</v>
      </c>
      <c r="N349" s="117">
        <v>25189</v>
      </c>
      <c r="O349" s="117">
        <v>34239</v>
      </c>
      <c r="P349" s="117">
        <v>32165</v>
      </c>
      <c r="Q349" s="117">
        <v>25452</v>
      </c>
      <c r="R349" s="117">
        <v>33034</v>
      </c>
      <c r="S349" s="117">
        <v>14954</v>
      </c>
      <c r="T349" s="117">
        <v>13065</v>
      </c>
      <c r="U349" s="117">
        <v>8067</v>
      </c>
      <c r="V349" s="117">
        <v>11097</v>
      </c>
      <c r="W349" s="117">
        <v>15072</v>
      </c>
      <c r="X349" s="117">
        <v>7675</v>
      </c>
      <c r="Y349" s="117">
        <v>4927</v>
      </c>
      <c r="Z349" s="117">
        <v>8151</v>
      </c>
      <c r="AA349" s="117">
        <v>124745</v>
      </c>
      <c r="AB349" s="117">
        <v>124719</v>
      </c>
      <c r="AC349" s="117">
        <v>124947</v>
      </c>
      <c r="AD349" s="117">
        <v>283292</v>
      </c>
      <c r="AE349" s="117">
        <v>279446</v>
      </c>
      <c r="AF349"/>
      <c r="AG349"/>
    </row>
    <row r="350" spans="1:33" ht="13.2" x14ac:dyDescent="0.25">
      <c r="A350" s="117" t="s">
        <v>603</v>
      </c>
      <c r="B350" s="117" t="s">
        <v>386</v>
      </c>
      <c r="C350" s="117">
        <f t="shared" si="20"/>
        <v>1551.5</v>
      </c>
      <c r="D350" s="117">
        <f t="shared" si="21"/>
        <v>1519.5</v>
      </c>
      <c r="E350" s="225">
        <f t="shared" si="22"/>
        <v>1291397.31</v>
      </c>
      <c r="F350" s="117">
        <f t="shared" si="23"/>
        <v>2259839.6549999998</v>
      </c>
      <c r="G350" s="117">
        <v>24</v>
      </c>
      <c r="H350" s="117">
        <v>271</v>
      </c>
      <c r="I350" s="117">
        <v>10</v>
      </c>
      <c r="J350" s="117">
        <v>63</v>
      </c>
      <c r="K350" s="117">
        <v>0</v>
      </c>
      <c r="L350" s="117">
        <v>41</v>
      </c>
      <c r="M350" s="117">
        <v>1632</v>
      </c>
      <c r="N350" s="117">
        <v>1652</v>
      </c>
      <c r="O350" s="117">
        <v>2480</v>
      </c>
      <c r="P350" s="117">
        <v>3146</v>
      </c>
      <c r="Q350" s="117">
        <v>9090</v>
      </c>
      <c r="R350" s="117">
        <v>7850</v>
      </c>
      <c r="S350" s="117">
        <v>694</v>
      </c>
      <c r="T350" s="117">
        <v>681</v>
      </c>
      <c r="U350" s="117">
        <v>-2229</v>
      </c>
      <c r="V350" s="117">
        <v>1438</v>
      </c>
      <c r="W350" s="117">
        <v>3760</v>
      </c>
      <c r="X350" s="117">
        <v>3688</v>
      </c>
      <c r="Y350" s="117">
        <v>3981</v>
      </c>
      <c r="Z350" s="117">
        <v>271</v>
      </c>
      <c r="AA350" s="117">
        <v>8371</v>
      </c>
      <c r="AB350" s="117">
        <v>8419</v>
      </c>
      <c r="AC350" s="117">
        <v>8451</v>
      </c>
      <c r="AD350" s="117">
        <v>17712</v>
      </c>
      <c r="AE350" s="117">
        <v>21115</v>
      </c>
      <c r="AF350"/>
      <c r="AG350"/>
    </row>
    <row r="351" spans="1:33" ht="13.2" x14ac:dyDescent="0.25">
      <c r="A351" s="117" t="s">
        <v>603</v>
      </c>
      <c r="B351" s="117" t="s">
        <v>387</v>
      </c>
      <c r="C351" s="117">
        <f t="shared" si="20"/>
        <v>18500.75</v>
      </c>
      <c r="D351" s="117">
        <f t="shared" si="21"/>
        <v>17653.75</v>
      </c>
      <c r="E351" s="225">
        <f t="shared" si="22"/>
        <v>6535225.2700000005</v>
      </c>
      <c r="F351" s="117">
        <f t="shared" si="23"/>
        <v>11436109.634999998</v>
      </c>
      <c r="G351" s="117">
        <v>24166</v>
      </c>
      <c r="H351" s="117">
        <v>23392</v>
      </c>
      <c r="I351" s="117">
        <v>8035</v>
      </c>
      <c r="J351" s="117">
        <v>7831</v>
      </c>
      <c r="K351" s="117">
        <v>10336</v>
      </c>
      <c r="L351" s="117">
        <v>14609</v>
      </c>
      <c r="M351" s="117">
        <v>19703</v>
      </c>
      <c r="N351" s="117">
        <v>29702</v>
      </c>
      <c r="O351" s="117">
        <v>22143</v>
      </c>
      <c r="P351" s="117">
        <v>20205</v>
      </c>
      <c r="Q351" s="117">
        <v>20462</v>
      </c>
      <c r="R351" s="117">
        <v>20757</v>
      </c>
      <c r="S351" s="117">
        <v>18087</v>
      </c>
      <c r="T351" s="117">
        <v>18747</v>
      </c>
      <c r="U351" s="117">
        <v>19012</v>
      </c>
      <c r="V351" s="117">
        <v>11927</v>
      </c>
      <c r="W351" s="117">
        <v>18365</v>
      </c>
      <c r="X351" s="117">
        <v>16549</v>
      </c>
      <c r="Y351" s="117">
        <v>18539</v>
      </c>
      <c r="Z351" s="117">
        <v>23392</v>
      </c>
      <c r="AA351" s="117">
        <v>41462</v>
      </c>
      <c r="AB351" s="117">
        <v>41895</v>
      </c>
      <c r="AC351" s="117">
        <v>42767</v>
      </c>
      <c r="AD351" s="117">
        <v>129173</v>
      </c>
      <c r="AE351" s="117">
        <v>133531</v>
      </c>
      <c r="AF351"/>
      <c r="AG351"/>
    </row>
    <row r="352" spans="1:33" ht="13.2" x14ac:dyDescent="0.25">
      <c r="A352" s="117" t="s">
        <v>599</v>
      </c>
      <c r="B352" s="117" t="s">
        <v>461</v>
      </c>
      <c r="C352" s="117">
        <f t="shared" si="20"/>
        <v>1036</v>
      </c>
      <c r="D352" s="117">
        <f t="shared" si="21"/>
        <v>785.5</v>
      </c>
      <c r="E352" s="225">
        <f t="shared" si="22"/>
        <v>3304363.44</v>
      </c>
      <c r="F352" s="117">
        <f t="shared" si="23"/>
        <v>5782365.7199999997</v>
      </c>
      <c r="G352" s="117">
        <v>1498</v>
      </c>
      <c r="H352" s="117">
        <v>1498</v>
      </c>
      <c r="I352" s="117">
        <v>2042</v>
      </c>
      <c r="J352" s="117">
        <v>2856</v>
      </c>
      <c r="K352" s="117">
        <v>1774</v>
      </c>
      <c r="L352" s="117">
        <v>1972</v>
      </c>
      <c r="M352" s="117">
        <v>4042</v>
      </c>
      <c r="N352" s="117">
        <v>3451</v>
      </c>
      <c r="O352" s="117">
        <v>1206</v>
      </c>
      <c r="P352" s="117">
        <v>1123</v>
      </c>
      <c r="Q352" s="117">
        <v>1354</v>
      </c>
      <c r="R352" s="117">
        <v>2572</v>
      </c>
      <c r="S352" s="117">
        <v>-2456</v>
      </c>
      <c r="T352" s="117">
        <v>-2846</v>
      </c>
      <c r="U352" s="117">
        <v>3433</v>
      </c>
      <c r="V352" s="117">
        <v>2906</v>
      </c>
      <c r="W352" s="117">
        <v>2264</v>
      </c>
      <c r="X352" s="117">
        <v>1584</v>
      </c>
      <c r="Y352" s="117">
        <v>903</v>
      </c>
      <c r="Z352" s="117">
        <v>1498</v>
      </c>
      <c r="AA352" s="117">
        <v>21687</v>
      </c>
      <c r="AB352" s="117">
        <v>21524</v>
      </c>
      <c r="AC352" s="117">
        <v>21624</v>
      </c>
      <c r="AD352" s="117">
        <v>24863</v>
      </c>
      <c r="AE352" s="117">
        <v>27378</v>
      </c>
      <c r="AF352"/>
      <c r="AG352"/>
    </row>
    <row r="353" spans="1:33" ht="13.2" x14ac:dyDescent="0.25">
      <c r="A353" s="117" t="s">
        <v>601</v>
      </c>
      <c r="B353" s="117" t="s">
        <v>261</v>
      </c>
      <c r="C353" s="117">
        <f t="shared" si="20"/>
        <v>10725.5</v>
      </c>
      <c r="D353" s="117">
        <f t="shared" si="21"/>
        <v>13665.75</v>
      </c>
      <c r="E353" s="225">
        <f t="shared" si="22"/>
        <v>7274520.0499999998</v>
      </c>
      <c r="F353" s="117">
        <f t="shared" si="23"/>
        <v>12729815.024999999</v>
      </c>
      <c r="G353" s="117">
        <v>19502</v>
      </c>
      <c r="H353" s="117">
        <v>18166</v>
      </c>
      <c r="I353" s="117">
        <v>10956</v>
      </c>
      <c r="J353" s="117">
        <v>13870</v>
      </c>
      <c r="K353" s="117">
        <v>28717</v>
      </c>
      <c r="L353" s="117">
        <v>44179</v>
      </c>
      <c r="M353" s="117">
        <v>13262</v>
      </c>
      <c r="N353" s="117">
        <v>15110</v>
      </c>
      <c r="O353" s="117">
        <v>5344</v>
      </c>
      <c r="P353" s="117">
        <v>5918</v>
      </c>
      <c r="Q353" s="117">
        <v>5755</v>
      </c>
      <c r="R353" s="117">
        <v>8520</v>
      </c>
      <c r="S353" s="117">
        <v>4879</v>
      </c>
      <c r="T353" s="117">
        <v>6310</v>
      </c>
      <c r="U353" s="117">
        <v>13518</v>
      </c>
      <c r="V353" s="117">
        <v>15540</v>
      </c>
      <c r="W353" s="117">
        <v>15103</v>
      </c>
      <c r="X353" s="117">
        <v>14647</v>
      </c>
      <c r="Y353" s="117">
        <v>9402</v>
      </c>
      <c r="Z353" s="117">
        <v>18166</v>
      </c>
      <c r="AA353" s="117">
        <v>47318</v>
      </c>
      <c r="AB353" s="117">
        <v>47553</v>
      </c>
      <c r="AC353" s="117">
        <v>47605</v>
      </c>
      <c r="AD353" s="117">
        <v>161364</v>
      </c>
      <c r="AE353" s="117">
        <v>152343</v>
      </c>
      <c r="AF353"/>
      <c r="AG353"/>
    </row>
    <row r="354" spans="1:33" ht="13.2" x14ac:dyDescent="0.25">
      <c r="A354" s="117" t="s">
        <v>604</v>
      </c>
      <c r="B354" s="117" t="s">
        <v>207</v>
      </c>
      <c r="C354" s="117">
        <f t="shared" si="20"/>
        <v>5216.75</v>
      </c>
      <c r="D354" s="117">
        <f t="shared" si="21"/>
        <v>4182.5</v>
      </c>
      <c r="E354" s="225">
        <f t="shared" si="22"/>
        <v>3438530.62</v>
      </c>
      <c r="F354" s="117">
        <f t="shared" si="23"/>
        <v>6017147.3099999996</v>
      </c>
      <c r="G354" s="117">
        <v>2863</v>
      </c>
      <c r="H354" s="117">
        <v>2572</v>
      </c>
      <c r="I354" s="117">
        <v>5359</v>
      </c>
      <c r="J354" s="117">
        <v>5740</v>
      </c>
      <c r="K354" s="117">
        <v>4244</v>
      </c>
      <c r="L354" s="117">
        <v>10686</v>
      </c>
      <c r="M354" s="117">
        <v>6642</v>
      </c>
      <c r="N354" s="117">
        <v>8018</v>
      </c>
      <c r="O354" s="117">
        <v>3776</v>
      </c>
      <c r="P354" s="117">
        <v>5831</v>
      </c>
      <c r="Q354" s="117">
        <v>6246</v>
      </c>
      <c r="R354" s="117">
        <v>11370</v>
      </c>
      <c r="S354" s="117">
        <v>5631</v>
      </c>
      <c r="T354" s="117">
        <v>5447</v>
      </c>
      <c r="U354" s="117">
        <v>8504</v>
      </c>
      <c r="V354" s="117">
        <v>5289</v>
      </c>
      <c r="W354" s="117">
        <v>3934</v>
      </c>
      <c r="X354" s="117">
        <v>3422</v>
      </c>
      <c r="Y354" s="117">
        <v>2798</v>
      </c>
      <c r="Z354" s="117">
        <v>2572</v>
      </c>
      <c r="AA354" s="117">
        <v>22308</v>
      </c>
      <c r="AB354" s="117">
        <v>22468</v>
      </c>
      <c r="AC354" s="117">
        <v>22502</v>
      </c>
      <c r="AD354" s="117">
        <v>67172</v>
      </c>
      <c r="AE354" s="117">
        <v>69857</v>
      </c>
      <c r="AF354"/>
      <c r="AG354"/>
    </row>
    <row r="355" spans="1:33" ht="13.2" x14ac:dyDescent="0.25">
      <c r="A355" s="117" t="s">
        <v>603</v>
      </c>
      <c r="B355" s="117" t="s">
        <v>388</v>
      </c>
      <c r="C355" s="117">
        <f t="shared" si="20"/>
        <v>3641.25</v>
      </c>
      <c r="D355" s="117">
        <f t="shared" si="21"/>
        <v>2802.25</v>
      </c>
      <c r="E355" s="225">
        <f t="shared" si="22"/>
        <v>6823577.7400000002</v>
      </c>
      <c r="F355" s="117">
        <f t="shared" si="23"/>
        <v>11940702.869999999</v>
      </c>
      <c r="G355" s="117">
        <v>2049</v>
      </c>
      <c r="H355" s="117">
        <v>2049</v>
      </c>
      <c r="I355" s="117">
        <v>10725</v>
      </c>
      <c r="J355" s="117">
        <v>14731</v>
      </c>
      <c r="K355" s="117">
        <v>5739</v>
      </c>
      <c r="L355" s="117">
        <v>12824</v>
      </c>
      <c r="M355" s="117">
        <v>3946</v>
      </c>
      <c r="N355" s="117">
        <v>7387</v>
      </c>
      <c r="O355" s="117">
        <v>17378</v>
      </c>
      <c r="P355" s="117">
        <v>15911</v>
      </c>
      <c r="Q355" s="117">
        <v>6786</v>
      </c>
      <c r="R355" s="117">
        <v>5800</v>
      </c>
      <c r="S355" s="117">
        <v>5003</v>
      </c>
      <c r="T355" s="117">
        <v>3867</v>
      </c>
      <c r="U355" s="117">
        <v>2557</v>
      </c>
      <c r="V355" s="117">
        <v>4515</v>
      </c>
      <c r="W355" s="117">
        <v>1879</v>
      </c>
      <c r="X355" s="117">
        <v>778</v>
      </c>
      <c r="Y355" s="117">
        <v>5126</v>
      </c>
      <c r="Z355" s="117">
        <v>2049</v>
      </c>
      <c r="AA355" s="117">
        <v>44423</v>
      </c>
      <c r="AB355" s="117">
        <v>44571</v>
      </c>
      <c r="AC355" s="117">
        <v>44654</v>
      </c>
      <c r="AD355" s="117">
        <v>158283</v>
      </c>
      <c r="AE355" s="117">
        <v>150640</v>
      </c>
      <c r="AF355"/>
      <c r="AG355"/>
    </row>
    <row r="356" spans="1:33" ht="13.2" x14ac:dyDescent="0.25">
      <c r="A356" s="117" t="s">
        <v>604</v>
      </c>
      <c r="B356" s="117" t="s">
        <v>208</v>
      </c>
      <c r="C356" s="117">
        <f t="shared" si="20"/>
        <v>49532</v>
      </c>
      <c r="D356" s="117">
        <f t="shared" si="21"/>
        <v>43212</v>
      </c>
      <c r="E356" s="225">
        <f t="shared" si="22"/>
        <v>19482052.52</v>
      </c>
      <c r="F356" s="117">
        <f t="shared" si="23"/>
        <v>34091998.259999998</v>
      </c>
      <c r="G356" s="117">
        <v>58666</v>
      </c>
      <c r="H356" s="117">
        <v>59222</v>
      </c>
      <c r="I356" s="117">
        <v>53215</v>
      </c>
      <c r="J356" s="117">
        <v>50460</v>
      </c>
      <c r="K356" s="117">
        <v>40734</v>
      </c>
      <c r="L356" s="117">
        <v>38508</v>
      </c>
      <c r="M356" s="117">
        <v>44816</v>
      </c>
      <c r="N356" s="117">
        <v>44802</v>
      </c>
      <c r="O356" s="117">
        <v>50180</v>
      </c>
      <c r="P356" s="117">
        <v>58652</v>
      </c>
      <c r="Q356" s="117">
        <v>33211</v>
      </c>
      <c r="R356" s="117">
        <v>37792</v>
      </c>
      <c r="S356" s="117">
        <v>36542</v>
      </c>
      <c r="T356" s="117">
        <v>25666</v>
      </c>
      <c r="U356" s="117">
        <v>36805</v>
      </c>
      <c r="V356" s="117">
        <v>19181</v>
      </c>
      <c r="W356" s="117">
        <v>84054</v>
      </c>
      <c r="X356" s="117">
        <v>68779</v>
      </c>
      <c r="Y356" s="117">
        <v>40727</v>
      </c>
      <c r="Z356" s="117">
        <v>59222</v>
      </c>
      <c r="AA356" s="117">
        <v>125525</v>
      </c>
      <c r="AB356" s="117">
        <v>126158</v>
      </c>
      <c r="AC356" s="117">
        <v>127492</v>
      </c>
      <c r="AD356" s="117">
        <v>400438</v>
      </c>
      <c r="AE356" s="117">
        <v>383464</v>
      </c>
      <c r="AF356"/>
      <c r="AG356"/>
    </row>
    <row r="357" spans="1:33" ht="13.2" x14ac:dyDescent="0.25">
      <c r="B357" s="117" t="s">
        <v>510</v>
      </c>
      <c r="C357" s="117">
        <f t="shared" ref="C357:Y357" si="24">SUM(C2:C356)</f>
        <v>4552430.5</v>
      </c>
      <c r="D357" s="117">
        <f t="shared" si="24"/>
        <v>4047487</v>
      </c>
      <c r="E357" s="225">
        <f t="shared" si="24"/>
        <v>2640977485.9299979</v>
      </c>
      <c r="F357" s="117">
        <f>SUM(F2:F356)</f>
        <v>4621494565.9649992</v>
      </c>
      <c r="G357" s="117">
        <f t="shared" si="24"/>
        <v>3319125</v>
      </c>
      <c r="H357" s="117">
        <f t="shared" si="24"/>
        <v>3055652</v>
      </c>
      <c r="I357" s="117">
        <f t="shared" si="24"/>
        <v>7171188.0000000009</v>
      </c>
      <c r="J357" s="117">
        <f t="shared" si="24"/>
        <v>7894402.9317559535</v>
      </c>
      <c r="K357" s="117">
        <f t="shared" si="24"/>
        <v>6991979.9999999991</v>
      </c>
      <c r="L357" s="117">
        <f t="shared" si="24"/>
        <v>7895087</v>
      </c>
      <c r="M357" s="117">
        <f t="shared" si="24"/>
        <v>6248135</v>
      </c>
      <c r="N357" s="117">
        <f t="shared" si="24"/>
        <v>7354979</v>
      </c>
      <c r="O357" s="117">
        <f t="shared" si="24"/>
        <v>5555223.3649303764</v>
      </c>
      <c r="P357" s="117">
        <f t="shared" si="24"/>
        <v>5781548.1374935536</v>
      </c>
      <c r="Q357" s="117">
        <f t="shared" si="24"/>
        <v>5429693</v>
      </c>
      <c r="R357" s="117">
        <f t="shared" si="24"/>
        <v>5847120</v>
      </c>
      <c r="S357" s="117">
        <f t="shared" si="24"/>
        <v>6065254</v>
      </c>
      <c r="T357" s="117">
        <f t="shared" si="24"/>
        <v>5596380</v>
      </c>
      <c r="U357" s="117">
        <f t="shared" si="24"/>
        <v>4977750</v>
      </c>
      <c r="V357" s="117">
        <f t="shared" si="24"/>
        <v>4561910</v>
      </c>
      <c r="W357" s="117">
        <f t="shared" si="24"/>
        <v>3994211</v>
      </c>
      <c r="X357" s="117">
        <f t="shared" si="24"/>
        <v>3158191</v>
      </c>
      <c r="Y357" s="117">
        <f t="shared" si="24"/>
        <v>3172507</v>
      </c>
      <c r="Z357" s="117">
        <f>SUM(Z2:Z356)</f>
        <v>2873467</v>
      </c>
      <c r="AA357" s="117">
        <f>SUM(AA2:AA356)</f>
        <v>17089690</v>
      </c>
      <c r="AB357" s="117">
        <v>17184010</v>
      </c>
      <c r="AC357" s="117">
        <f>SUM(AC2:AC356)</f>
        <v>17282753</v>
      </c>
      <c r="AD357" s="117">
        <f>SUM(AD2:AD356)</f>
        <v>57434962</v>
      </c>
      <c r="AE357" s="117">
        <f>SUM(AE2:AE356)</f>
        <v>57270498</v>
      </c>
      <c r="AF357"/>
      <c r="AG357"/>
    </row>
    <row r="358" spans="1:33" ht="13.2" x14ac:dyDescent="0.25">
      <c r="AF358"/>
      <c r="AG358"/>
    </row>
    <row r="359" spans="1:33" ht="13.2" x14ac:dyDescent="0.25">
      <c r="AF359"/>
      <c r="AG359"/>
    </row>
    <row r="360" spans="1:33" ht="13.2" x14ac:dyDescent="0.25">
      <c r="AF360"/>
      <c r="AG360"/>
    </row>
    <row r="361" spans="1:33" ht="13.2" x14ac:dyDescent="0.25">
      <c r="AF361"/>
      <c r="AG361"/>
    </row>
    <row r="362" spans="1:33" x14ac:dyDescent="0.2">
      <c r="A362" s="117" t="s">
        <v>599</v>
      </c>
      <c r="B362" s="117" t="s">
        <v>402</v>
      </c>
      <c r="C362" s="117">
        <f t="shared" ref="C362:D364" si="25">SUM(I362,K362,M362,O362,Q362,S362,U362,W362)/8</f>
        <v>2103.5</v>
      </c>
      <c r="D362" s="117">
        <f t="shared" si="25"/>
        <v>2237.75</v>
      </c>
      <c r="E362" s="117">
        <v>830</v>
      </c>
      <c r="F362" s="117">
        <f>AB362*$AF$3</f>
        <v>3514503.9149999996</v>
      </c>
      <c r="G362" s="117" t="s">
        <v>843</v>
      </c>
      <c r="H362" s="117" t="s">
        <v>843</v>
      </c>
      <c r="I362" s="117">
        <v>157</v>
      </c>
      <c r="J362" s="117">
        <v>-18</v>
      </c>
      <c r="K362" s="117">
        <v>1661</v>
      </c>
      <c r="L362" s="117">
        <v>1571</v>
      </c>
      <c r="M362" s="117">
        <v>2988</v>
      </c>
      <c r="N362" s="117">
        <v>3067</v>
      </c>
      <c r="O362" s="117">
        <v>2533</v>
      </c>
      <c r="P362" s="117">
        <v>2632</v>
      </c>
      <c r="Q362" s="117">
        <v>2900</v>
      </c>
      <c r="R362" s="117">
        <v>4151</v>
      </c>
      <c r="S362" s="117">
        <v>2752</v>
      </c>
      <c r="T362" s="117">
        <v>2948</v>
      </c>
      <c r="U362" s="117">
        <v>2023</v>
      </c>
      <c r="V362" s="117">
        <v>1709</v>
      </c>
      <c r="W362" s="117">
        <v>1814</v>
      </c>
      <c r="X362" s="117">
        <v>1842</v>
      </c>
      <c r="Y362" s="117">
        <v>0</v>
      </c>
      <c r="Z362" s="117" t="s">
        <v>843</v>
      </c>
      <c r="AA362" s="117">
        <v>13070</v>
      </c>
      <c r="AB362" s="117">
        <v>13143</v>
      </c>
      <c r="AC362" s="117">
        <v>13307</v>
      </c>
      <c r="AD362" s="117">
        <v>12933</v>
      </c>
      <c r="AE362" s="117">
        <v>17361</v>
      </c>
    </row>
    <row r="363" spans="1:33" ht="13.2" x14ac:dyDescent="0.25">
      <c r="A363" s="117" t="s">
        <v>599</v>
      </c>
      <c r="B363" s="117" t="s">
        <v>458</v>
      </c>
      <c r="C363" s="117">
        <f t="shared" si="25"/>
        <v>16793.125</v>
      </c>
      <c r="D363" s="117">
        <f t="shared" si="25"/>
        <v>16947.625</v>
      </c>
      <c r="E363" s="117">
        <v>3048</v>
      </c>
      <c r="F363" s="117">
        <f>AB363*$AF$3</f>
        <v>7214052.0899999989</v>
      </c>
      <c r="G363" s="117" t="s">
        <v>843</v>
      </c>
      <c r="H363" s="117" t="s">
        <v>843</v>
      </c>
      <c r="I363" s="117">
        <v>37977</v>
      </c>
      <c r="J363" s="117">
        <v>37610</v>
      </c>
      <c r="K363" s="117">
        <v>19643</v>
      </c>
      <c r="L363" s="117">
        <v>21290</v>
      </c>
      <c r="M363" s="117">
        <v>13627</v>
      </c>
      <c r="N363" s="117">
        <v>15342</v>
      </c>
      <c r="O363" s="117">
        <v>5145</v>
      </c>
      <c r="P363" s="117">
        <v>4908</v>
      </c>
      <c r="Q363" s="117">
        <v>26996</v>
      </c>
      <c r="R363" s="117">
        <v>29508</v>
      </c>
      <c r="S363" s="117">
        <v>9584</v>
      </c>
      <c r="T363" s="117">
        <v>6682</v>
      </c>
      <c r="U363" s="117">
        <v>10308</v>
      </c>
      <c r="V363" s="117">
        <v>8535</v>
      </c>
      <c r="W363" s="117">
        <v>11065</v>
      </c>
      <c r="X363" s="117">
        <v>11706</v>
      </c>
      <c r="Y363" s="117">
        <v>4011</v>
      </c>
      <c r="Z363" s="117" t="s">
        <v>843</v>
      </c>
      <c r="AA363" s="117">
        <v>26844</v>
      </c>
      <c r="AB363" s="117">
        <v>26978</v>
      </c>
      <c r="AC363" s="117">
        <v>27300</v>
      </c>
      <c r="AD363" s="117">
        <v>56762</v>
      </c>
      <c r="AE363" s="117">
        <v>52436</v>
      </c>
      <c r="AF363"/>
      <c r="AG363"/>
    </row>
    <row r="364" spans="1:33" ht="13.2" x14ac:dyDescent="0.25">
      <c r="A364" s="117" t="s">
        <v>599</v>
      </c>
      <c r="B364" s="117" t="s">
        <v>460</v>
      </c>
      <c r="C364" s="117">
        <f t="shared" si="25"/>
        <v>4159.875</v>
      </c>
      <c r="D364" s="117">
        <f t="shared" si="25"/>
        <v>4394.125</v>
      </c>
      <c r="E364" s="117">
        <v>2073</v>
      </c>
      <c r="F364" s="117">
        <f>AB364*$AF$3</f>
        <v>3913739.5799999996</v>
      </c>
      <c r="G364" s="117" t="s">
        <v>843</v>
      </c>
      <c r="H364" s="117" t="s">
        <v>843</v>
      </c>
      <c r="I364" s="117">
        <v>3492</v>
      </c>
      <c r="J364" s="117">
        <v>3688</v>
      </c>
      <c r="K364" s="117">
        <v>4784</v>
      </c>
      <c r="L364" s="117">
        <v>4408</v>
      </c>
      <c r="M364" s="117">
        <v>4145</v>
      </c>
      <c r="N364" s="117">
        <v>4335</v>
      </c>
      <c r="O364" s="117">
        <v>2889</v>
      </c>
      <c r="P364" s="117">
        <v>3689</v>
      </c>
      <c r="Q364" s="117">
        <v>7021</v>
      </c>
      <c r="R364" s="117">
        <v>9277</v>
      </c>
      <c r="S364" s="117">
        <v>3428</v>
      </c>
      <c r="T364" s="117">
        <v>3219</v>
      </c>
      <c r="U364" s="117">
        <v>3593</v>
      </c>
      <c r="V364" s="117">
        <v>3807</v>
      </c>
      <c r="W364" s="117">
        <v>3927</v>
      </c>
      <c r="X364" s="117">
        <v>2730</v>
      </c>
      <c r="Y364" s="117">
        <v>8005</v>
      </c>
      <c r="Z364" s="117" t="s">
        <v>843</v>
      </c>
      <c r="AA364" s="117">
        <v>14537</v>
      </c>
      <c r="AB364" s="117">
        <v>14636</v>
      </c>
      <c r="AC364" s="117">
        <v>14784</v>
      </c>
      <c r="AD364" s="117">
        <v>36331</v>
      </c>
      <c r="AE364" s="117">
        <v>36606</v>
      </c>
      <c r="AF364"/>
      <c r="AG364"/>
    </row>
    <row r="365" spans="1:33" ht="13.2" x14ac:dyDescent="0.25">
      <c r="A365" s="117" t="s">
        <v>599</v>
      </c>
      <c r="B365" s="117" t="s">
        <v>745</v>
      </c>
      <c r="C365" s="117">
        <f>SUM(C362:C364)</f>
        <v>23056.5</v>
      </c>
      <c r="D365" s="117">
        <f t="shared" ref="D365:F365" si="26">SUM(D362:D364)</f>
        <v>23579.5</v>
      </c>
      <c r="E365" s="117">
        <f t="shared" si="26"/>
        <v>5951</v>
      </c>
      <c r="F365" s="117">
        <f t="shared" si="26"/>
        <v>14642295.584999999</v>
      </c>
      <c r="I365" s="117">
        <f t="shared" ref="I365" si="27">SUM(I362:I364)</f>
        <v>41626</v>
      </c>
      <c r="J365" s="117">
        <f t="shared" ref="J365" si="28">SUM(J362:J364)</f>
        <v>41280</v>
      </c>
      <c r="K365" s="117">
        <f t="shared" ref="K365" si="29">SUM(K362:K364)</f>
        <v>26088</v>
      </c>
      <c r="L365" s="117">
        <f t="shared" ref="L365" si="30">SUM(L362:L364)</f>
        <v>27269</v>
      </c>
      <c r="M365" s="117">
        <f t="shared" ref="M365" si="31">SUM(M362:M364)</f>
        <v>20760</v>
      </c>
      <c r="N365" s="117">
        <f t="shared" ref="N365" si="32">SUM(N362:N364)</f>
        <v>22744</v>
      </c>
      <c r="O365" s="117">
        <f t="shared" ref="O365" si="33">SUM(O362:O364)</f>
        <v>10567</v>
      </c>
      <c r="P365" s="117">
        <f t="shared" ref="P365" si="34">SUM(P362:P364)</f>
        <v>11229</v>
      </c>
      <c r="Q365" s="117">
        <f t="shared" ref="Q365" si="35">SUM(Q362:Q364)</f>
        <v>36917</v>
      </c>
      <c r="R365" s="117">
        <f t="shared" ref="R365" si="36">SUM(R362:R364)</f>
        <v>42936</v>
      </c>
      <c r="S365" s="117">
        <f t="shared" ref="S365" si="37">SUM(S362:S364)</f>
        <v>15764</v>
      </c>
      <c r="T365" s="117">
        <f t="shared" ref="T365" si="38">SUM(T362:T364)</f>
        <v>12849</v>
      </c>
      <c r="U365" s="117">
        <f t="shared" ref="U365" si="39">SUM(U362:U364)</f>
        <v>15924</v>
      </c>
      <c r="V365" s="117">
        <f t="shared" ref="V365" si="40">SUM(V362:V364)</f>
        <v>14051</v>
      </c>
      <c r="W365" s="117">
        <f t="shared" ref="W365" si="41">SUM(W362:W364)</f>
        <v>16806</v>
      </c>
      <c r="X365" s="117">
        <f t="shared" ref="X365" si="42">SUM(X362:X364)</f>
        <v>16278</v>
      </c>
      <c r="Y365" s="117">
        <f t="shared" ref="Y365" si="43">SUM(Y362:Y364)</f>
        <v>12016</v>
      </c>
      <c r="Z365" s="117">
        <f t="shared" ref="Z365" si="44">SUM(Z362:Z364)</f>
        <v>0</v>
      </c>
      <c r="AA365" s="117">
        <f t="shared" ref="AA365" si="45">SUM(AA362:AA364)</f>
        <v>54451</v>
      </c>
      <c r="AB365" s="117">
        <f t="shared" ref="AB365" si="46">SUM(AB362:AB364)</f>
        <v>54757</v>
      </c>
      <c r="AC365" s="117">
        <v>55391</v>
      </c>
      <c r="AD365" s="117">
        <v>106026</v>
      </c>
      <c r="AE365" s="117">
        <v>106403</v>
      </c>
      <c r="AF365"/>
      <c r="AG365"/>
    </row>
    <row r="367" spans="1:33" ht="13.2" x14ac:dyDescent="0.25">
      <c r="A367" s="117" t="s">
        <v>608</v>
      </c>
      <c r="B367" s="117" t="s">
        <v>479</v>
      </c>
      <c r="C367" s="117">
        <f t="shared" ref="C367:D369" si="47">SUM(I367,K367,M367,O367,Q367,S367,U367,W367)/8</f>
        <v>704.125</v>
      </c>
      <c r="D367" s="117">
        <f t="shared" si="47"/>
        <v>990.125</v>
      </c>
      <c r="E367" s="117">
        <v>1385</v>
      </c>
      <c r="F367" s="117">
        <f>AB367*$AF$3</f>
        <v>4062684.1649999996</v>
      </c>
      <c r="G367" s="117" t="s">
        <v>843</v>
      </c>
      <c r="H367" s="117" t="s">
        <v>843</v>
      </c>
      <c r="I367" s="117">
        <v>557</v>
      </c>
      <c r="J367" s="117">
        <v>557</v>
      </c>
      <c r="K367" s="117">
        <v>212</v>
      </c>
      <c r="L367" s="117">
        <v>0</v>
      </c>
      <c r="M367" s="117">
        <v>2456</v>
      </c>
      <c r="N367" s="117">
        <v>4629</v>
      </c>
      <c r="O367" s="117">
        <v>781</v>
      </c>
      <c r="P367" s="117">
        <v>980</v>
      </c>
      <c r="Q367" s="117">
        <v>1390</v>
      </c>
      <c r="R367" s="117">
        <v>1637</v>
      </c>
      <c r="S367" s="117">
        <v>150</v>
      </c>
      <c r="T367" s="117">
        <v>11</v>
      </c>
      <c r="U367" s="117">
        <v>0</v>
      </c>
      <c r="V367" s="117">
        <v>0</v>
      </c>
      <c r="W367" s="117">
        <v>87</v>
      </c>
      <c r="X367" s="117">
        <v>107</v>
      </c>
      <c r="Y367" s="117">
        <v>862</v>
      </c>
      <c r="Z367" s="117" t="s">
        <v>843</v>
      </c>
      <c r="AA367" s="117">
        <v>15315</v>
      </c>
      <c r="AB367" s="117">
        <v>15193</v>
      </c>
      <c r="AC367" s="117">
        <v>15187</v>
      </c>
      <c r="AD367" s="117">
        <v>28327</v>
      </c>
      <c r="AE367" s="117">
        <v>27910</v>
      </c>
      <c r="AF367"/>
      <c r="AG367"/>
    </row>
    <row r="368" spans="1:33" ht="13.2" x14ac:dyDescent="0.25">
      <c r="A368" s="117" t="s">
        <v>608</v>
      </c>
      <c r="B368" s="117" t="s">
        <v>480</v>
      </c>
      <c r="C368" s="117">
        <f t="shared" si="47"/>
        <v>30.25</v>
      </c>
      <c r="D368" s="117">
        <f t="shared" si="47"/>
        <v>18.125</v>
      </c>
      <c r="E368" s="117">
        <v>1851</v>
      </c>
      <c r="F368" s="117">
        <f>AB368*$AF$3</f>
        <v>2100466.2749999999</v>
      </c>
      <c r="G368" s="117" t="s">
        <v>843</v>
      </c>
      <c r="H368" s="117" t="s">
        <v>843</v>
      </c>
      <c r="I368" s="117">
        <v>36</v>
      </c>
      <c r="J368" s="117">
        <v>12</v>
      </c>
      <c r="K368" s="117">
        <v>5</v>
      </c>
      <c r="L368" s="117">
        <v>5</v>
      </c>
      <c r="M368" s="117">
        <v>13</v>
      </c>
      <c r="N368" s="117">
        <v>49</v>
      </c>
      <c r="O368" s="117">
        <v>9</v>
      </c>
      <c r="P368" s="117">
        <v>9</v>
      </c>
      <c r="Q368" s="117">
        <v>5</v>
      </c>
      <c r="R368" s="117">
        <v>6</v>
      </c>
      <c r="S368" s="117">
        <v>5</v>
      </c>
      <c r="T368" s="117">
        <v>9</v>
      </c>
      <c r="U368" s="117">
        <v>169</v>
      </c>
      <c r="V368" s="117">
        <v>55</v>
      </c>
      <c r="W368" s="117">
        <v>0</v>
      </c>
      <c r="X368" s="117">
        <v>0</v>
      </c>
      <c r="Y368" s="117">
        <v>0</v>
      </c>
      <c r="Z368" s="117" t="s">
        <v>843</v>
      </c>
      <c r="AA368" s="117">
        <v>7860</v>
      </c>
      <c r="AB368" s="117">
        <v>7855</v>
      </c>
      <c r="AC368" s="117">
        <v>7769</v>
      </c>
      <c r="AD368" s="117">
        <v>17739</v>
      </c>
      <c r="AE368" s="117">
        <v>10382</v>
      </c>
      <c r="AF368"/>
      <c r="AG368"/>
    </row>
    <row r="369" spans="1:33" ht="13.2" x14ac:dyDescent="0.25">
      <c r="A369" s="117" t="s">
        <v>608</v>
      </c>
      <c r="B369" s="117" t="s">
        <v>484</v>
      </c>
      <c r="C369" s="117">
        <f t="shared" si="47"/>
        <v>8.875</v>
      </c>
      <c r="D369" s="117">
        <f t="shared" si="47"/>
        <v>8.875</v>
      </c>
      <c r="E369" s="117">
        <v>1717</v>
      </c>
      <c r="F369" s="117">
        <f>AB369*$AF$3</f>
        <v>3454070.3849999998</v>
      </c>
      <c r="G369" s="117" t="s">
        <v>843</v>
      </c>
      <c r="H369" s="117" t="s">
        <v>843</v>
      </c>
      <c r="I369" s="117">
        <v>59</v>
      </c>
      <c r="J369" s="117">
        <v>59</v>
      </c>
      <c r="K369" s="117">
        <v>12</v>
      </c>
      <c r="L369" s="117">
        <v>12</v>
      </c>
      <c r="M369" s="117">
        <v>0</v>
      </c>
      <c r="N369" s="117">
        <v>0</v>
      </c>
      <c r="O369" s="117">
        <v>0</v>
      </c>
      <c r="P369" s="117">
        <v>0</v>
      </c>
      <c r="Q369" s="117">
        <v>0</v>
      </c>
      <c r="R369" s="117">
        <v>0</v>
      </c>
      <c r="S369" s="117">
        <v>0</v>
      </c>
      <c r="T369" s="117">
        <v>0</v>
      </c>
      <c r="U369" s="117">
        <v>0</v>
      </c>
      <c r="V369" s="117">
        <v>0</v>
      </c>
      <c r="W369" s="117">
        <v>0</v>
      </c>
      <c r="X369" s="117">
        <v>0</v>
      </c>
      <c r="Y369" s="117">
        <v>0</v>
      </c>
      <c r="Z369" s="117" t="s">
        <v>843</v>
      </c>
      <c r="AA369" s="117">
        <v>12950</v>
      </c>
      <c r="AB369" s="117">
        <v>12917</v>
      </c>
      <c r="AC369" s="117">
        <v>12766</v>
      </c>
      <c r="AD369" s="117">
        <v>27758</v>
      </c>
      <c r="AE369" s="117">
        <v>29109</v>
      </c>
      <c r="AF369"/>
      <c r="AG369"/>
    </row>
    <row r="370" spans="1:33" ht="12.75" customHeight="1" x14ac:dyDescent="0.2">
      <c r="A370" s="117" t="s">
        <v>608</v>
      </c>
      <c r="B370" s="117" t="s">
        <v>746</v>
      </c>
      <c r="C370" s="117">
        <f>SUM(C367:C369)</f>
        <v>743.25</v>
      </c>
      <c r="D370" s="117">
        <f t="shared" ref="D370:F370" si="48">SUM(D367:D369)</f>
        <v>1017.125</v>
      </c>
      <c r="E370" s="117">
        <f t="shared" si="48"/>
        <v>4953</v>
      </c>
      <c r="F370" s="117">
        <f t="shared" si="48"/>
        <v>9617220.8249999993</v>
      </c>
      <c r="I370" s="117">
        <f t="shared" ref="I370" si="49">SUM(I367:I369)</f>
        <v>652</v>
      </c>
      <c r="J370" s="117">
        <f t="shared" ref="J370" si="50">SUM(J367:J369)</f>
        <v>628</v>
      </c>
      <c r="K370" s="117">
        <f t="shared" ref="K370" si="51">SUM(K367:K369)</f>
        <v>229</v>
      </c>
      <c r="L370" s="117">
        <f t="shared" ref="L370" si="52">SUM(L367:L369)</f>
        <v>17</v>
      </c>
      <c r="M370" s="117">
        <f t="shared" ref="M370" si="53">SUM(M367:M369)</f>
        <v>2469</v>
      </c>
      <c r="N370" s="117">
        <f t="shared" ref="N370" si="54">SUM(N367:N369)</f>
        <v>4678</v>
      </c>
      <c r="O370" s="117">
        <f t="shared" ref="O370" si="55">SUM(O367:O369)</f>
        <v>790</v>
      </c>
      <c r="P370" s="117">
        <f t="shared" ref="P370" si="56">SUM(P367:P369)</f>
        <v>989</v>
      </c>
      <c r="Q370" s="117">
        <f t="shared" ref="Q370" si="57">SUM(Q367:Q369)</f>
        <v>1395</v>
      </c>
      <c r="R370" s="117">
        <f t="shared" ref="R370" si="58">SUM(R367:R369)</f>
        <v>1643</v>
      </c>
      <c r="S370" s="117">
        <f t="shared" ref="S370" si="59">SUM(S367:S369)</f>
        <v>155</v>
      </c>
      <c r="T370" s="117">
        <f t="shared" ref="T370" si="60">SUM(T367:T369)</f>
        <v>20</v>
      </c>
      <c r="U370" s="117">
        <f t="shared" ref="U370" si="61">SUM(U367:U369)</f>
        <v>169</v>
      </c>
      <c r="V370" s="117">
        <f t="shared" ref="V370" si="62">SUM(V367:V369)</f>
        <v>55</v>
      </c>
      <c r="W370" s="117">
        <f t="shared" ref="W370" si="63">SUM(W367:W369)</f>
        <v>87</v>
      </c>
      <c r="X370" s="117">
        <f t="shared" ref="X370" si="64">SUM(X367:X369)</f>
        <v>107</v>
      </c>
      <c r="Y370" s="117">
        <f t="shared" ref="Y370" si="65">SUM(Y367:Y369)</f>
        <v>862</v>
      </c>
      <c r="Z370" s="117">
        <f t="shared" ref="Z370" si="66">SUM(Z367:Z369)</f>
        <v>0</v>
      </c>
      <c r="AA370" s="117">
        <f t="shared" ref="AA370" si="67">SUM(AA367:AA369)</f>
        <v>36125</v>
      </c>
      <c r="AB370" s="117">
        <f t="shared" ref="AB370" si="68">SUM(AB367:AB369)</f>
        <v>35965</v>
      </c>
      <c r="AC370" s="117">
        <v>35722</v>
      </c>
      <c r="AD370" s="117">
        <v>73824</v>
      </c>
      <c r="AE370" s="117">
        <v>67401</v>
      </c>
    </row>
    <row r="372" spans="1:33" ht="13.2" x14ac:dyDescent="0.25">
      <c r="A372" s="117" t="s">
        <v>600</v>
      </c>
      <c r="B372" s="117" t="s">
        <v>504</v>
      </c>
      <c r="C372" s="117">
        <f>SUM(I372,K372,M372,O372,Q372,S372,U372,W372)/8</f>
        <v>384.625</v>
      </c>
      <c r="D372" s="117">
        <f>SUM(J372,L372,N372,P372,R372,T372,V372,X372)/8</f>
        <v>531.25</v>
      </c>
      <c r="E372" s="117">
        <v>398</v>
      </c>
      <c r="F372" s="117">
        <f>AB372*$AF$3</f>
        <v>1569132.5399999998</v>
      </c>
      <c r="G372" s="117" t="s">
        <v>843</v>
      </c>
      <c r="H372" s="117" t="s">
        <v>843</v>
      </c>
      <c r="I372" s="117">
        <v>106</v>
      </c>
      <c r="J372" s="117">
        <v>618</v>
      </c>
      <c r="K372" s="117">
        <v>1199</v>
      </c>
      <c r="L372" s="117">
        <v>680</v>
      </c>
      <c r="M372" s="117">
        <v>174</v>
      </c>
      <c r="N372" s="117">
        <v>870</v>
      </c>
      <c r="O372" s="117">
        <v>475</v>
      </c>
      <c r="P372" s="117">
        <v>587</v>
      </c>
      <c r="Q372" s="117">
        <v>174</v>
      </c>
      <c r="R372" s="117">
        <v>365</v>
      </c>
      <c r="S372" s="117">
        <v>171</v>
      </c>
      <c r="T372" s="117">
        <v>360</v>
      </c>
      <c r="U372" s="117">
        <v>778</v>
      </c>
      <c r="V372" s="117">
        <v>540</v>
      </c>
      <c r="W372" s="117">
        <v>0</v>
      </c>
      <c r="X372" s="117">
        <v>230</v>
      </c>
      <c r="Y372" s="117">
        <v>0</v>
      </c>
      <c r="Z372" s="117" t="s">
        <v>843</v>
      </c>
      <c r="AA372" s="117">
        <v>5666</v>
      </c>
      <c r="AB372" s="117">
        <v>5868</v>
      </c>
      <c r="AC372" s="117">
        <v>6161</v>
      </c>
      <c r="AD372" s="117">
        <v>8766</v>
      </c>
      <c r="AE372" s="117">
        <v>8912</v>
      </c>
      <c r="AF372"/>
      <c r="AG372"/>
    </row>
    <row r="373" spans="1:33" ht="13.2" x14ac:dyDescent="0.25">
      <c r="A373" s="117" t="s">
        <v>600</v>
      </c>
      <c r="B373" s="117" t="s">
        <v>302</v>
      </c>
      <c r="C373" s="117">
        <f>SUM(I373,K373,M373,O373,Q373,S373,U373,W373)/8</f>
        <v>70228.75</v>
      </c>
      <c r="D373" s="117">
        <f>SUM(J373,L373,N373,P373,R373,T373,V373,X373)/8</f>
        <v>62907.875</v>
      </c>
      <c r="E373" s="117">
        <v>25051</v>
      </c>
      <c r="F373" s="117">
        <f>AB373*$AF$3</f>
        <v>39389291.309999995</v>
      </c>
      <c r="I373" s="117">
        <v>116650</v>
      </c>
      <c r="J373" s="117">
        <v>87946</v>
      </c>
      <c r="K373" s="117">
        <v>86119</v>
      </c>
      <c r="L373" s="117">
        <v>64508</v>
      </c>
      <c r="M373" s="117">
        <v>75219</v>
      </c>
      <c r="N373" s="117">
        <v>101200</v>
      </c>
      <c r="O373" s="117">
        <v>61725</v>
      </c>
      <c r="P373" s="117">
        <v>59986</v>
      </c>
      <c r="Q373" s="117">
        <v>36900</v>
      </c>
      <c r="R373" s="117">
        <v>41506</v>
      </c>
      <c r="S373" s="117">
        <v>50162</v>
      </c>
      <c r="T373" s="117">
        <v>43057</v>
      </c>
      <c r="U373" s="117">
        <v>42788</v>
      </c>
      <c r="V373" s="117">
        <v>35221</v>
      </c>
      <c r="W373" s="117">
        <v>92267</v>
      </c>
      <c r="X373" s="117">
        <v>69839</v>
      </c>
      <c r="Y373" s="117">
        <v>62035</v>
      </c>
      <c r="Z373" s="117" t="s">
        <v>843</v>
      </c>
      <c r="AA373" s="117">
        <v>145989</v>
      </c>
      <c r="AB373" s="117">
        <v>147302</v>
      </c>
      <c r="AC373" s="117">
        <v>148062</v>
      </c>
      <c r="AD373" s="117">
        <v>487930</v>
      </c>
      <c r="AE373" s="117">
        <v>482944</v>
      </c>
      <c r="AF373"/>
      <c r="AG373"/>
    </row>
    <row r="374" spans="1:33" x14ac:dyDescent="0.2">
      <c r="A374" s="117" t="s">
        <v>600</v>
      </c>
      <c r="B374" s="117" t="s">
        <v>302</v>
      </c>
      <c r="C374" s="117">
        <f>SUM(C372:C373)</f>
        <v>70613.375</v>
      </c>
      <c r="D374" s="117">
        <f>SUM(D372:D373)</f>
        <v>63439.125</v>
      </c>
      <c r="E374" s="117">
        <f>SUM(E372:E373)</f>
        <v>25449</v>
      </c>
      <c r="F374" s="117">
        <f>SUM(F372:F373)</f>
        <v>40958423.849999994</v>
      </c>
      <c r="I374" s="117">
        <f>SUM(I372:I373)</f>
        <v>116756</v>
      </c>
      <c r="J374" s="117">
        <f t="shared" ref="J374:AB374" si="69">SUM(J372:J373)</f>
        <v>88564</v>
      </c>
      <c r="K374" s="117">
        <f t="shared" si="69"/>
        <v>87318</v>
      </c>
      <c r="L374" s="117">
        <f t="shared" si="69"/>
        <v>65188</v>
      </c>
      <c r="M374" s="117">
        <f t="shared" si="69"/>
        <v>75393</v>
      </c>
      <c r="N374" s="117">
        <f t="shared" si="69"/>
        <v>102070</v>
      </c>
      <c r="O374" s="117">
        <f t="shared" si="69"/>
        <v>62200</v>
      </c>
      <c r="P374" s="117">
        <f t="shared" si="69"/>
        <v>60573</v>
      </c>
      <c r="Q374" s="117">
        <f t="shared" si="69"/>
        <v>37074</v>
      </c>
      <c r="R374" s="117">
        <f t="shared" si="69"/>
        <v>41871</v>
      </c>
      <c r="S374" s="117">
        <f t="shared" si="69"/>
        <v>50333</v>
      </c>
      <c r="T374" s="117">
        <f t="shared" si="69"/>
        <v>43417</v>
      </c>
      <c r="U374" s="117">
        <f t="shared" si="69"/>
        <v>43566</v>
      </c>
      <c r="V374" s="117">
        <f t="shared" si="69"/>
        <v>35761</v>
      </c>
      <c r="W374" s="117">
        <f t="shared" si="69"/>
        <v>92267</v>
      </c>
      <c r="X374" s="117">
        <f t="shared" si="69"/>
        <v>70069</v>
      </c>
      <c r="Y374" s="117">
        <f t="shared" si="69"/>
        <v>62035</v>
      </c>
      <c r="Z374" s="117">
        <f t="shared" si="69"/>
        <v>0</v>
      </c>
      <c r="AA374" s="117">
        <f t="shared" si="69"/>
        <v>151655</v>
      </c>
      <c r="AB374" s="117">
        <f t="shared" si="69"/>
        <v>153170</v>
      </c>
      <c r="AC374" s="117">
        <v>154223</v>
      </c>
      <c r="AD374" s="117">
        <v>496696</v>
      </c>
      <c r="AE374" s="117">
        <v>491856</v>
      </c>
    </row>
    <row r="376" spans="1:33" ht="13.2" x14ac:dyDescent="0.25">
      <c r="A376" s="117" t="s">
        <v>607</v>
      </c>
      <c r="B376" s="117" t="s">
        <v>145</v>
      </c>
      <c r="C376" s="117">
        <f t="shared" ref="C376:D379" si="70">SUM(I376,K376,M376,O376,Q376,S376,U376,W376)/8</f>
        <v>816.625</v>
      </c>
      <c r="D376" s="117">
        <f t="shared" si="70"/>
        <v>1456.25</v>
      </c>
      <c r="E376" s="117">
        <v>2479</v>
      </c>
      <c r="F376" s="117">
        <f>AB376*$AF$3</f>
        <v>2691431.3249999997</v>
      </c>
      <c r="G376" s="117" t="s">
        <v>843</v>
      </c>
      <c r="H376" s="117" t="s">
        <v>843</v>
      </c>
      <c r="I376" s="117">
        <v>2396</v>
      </c>
      <c r="J376" s="117">
        <v>3242</v>
      </c>
      <c r="K376" s="117">
        <v>875</v>
      </c>
      <c r="L376" s="117">
        <v>3407</v>
      </c>
      <c r="M376" s="117">
        <v>965</v>
      </c>
      <c r="N376" s="117">
        <v>1454</v>
      </c>
      <c r="O376" s="117">
        <v>773</v>
      </c>
      <c r="P376" s="117">
        <v>1138</v>
      </c>
      <c r="Q376" s="117">
        <v>685</v>
      </c>
      <c r="R376" s="117">
        <v>824</v>
      </c>
      <c r="S376" s="117">
        <v>326</v>
      </c>
      <c r="T376" s="117">
        <v>986</v>
      </c>
      <c r="U376" s="117">
        <v>293</v>
      </c>
      <c r="V376" s="117">
        <v>404</v>
      </c>
      <c r="W376" s="117">
        <v>220</v>
      </c>
      <c r="X376" s="117">
        <v>195</v>
      </c>
      <c r="Y376" s="117">
        <v>116</v>
      </c>
      <c r="Z376" s="117" t="s">
        <v>843</v>
      </c>
      <c r="AA376" s="117">
        <v>10083</v>
      </c>
      <c r="AB376" s="117">
        <v>10065</v>
      </c>
      <c r="AC376" s="117">
        <v>10030</v>
      </c>
      <c r="AD376" s="117">
        <v>30725</v>
      </c>
      <c r="AE376" s="117">
        <v>29995</v>
      </c>
      <c r="AF376"/>
      <c r="AG376"/>
    </row>
    <row r="377" spans="1:33" ht="13.2" x14ac:dyDescent="0.25">
      <c r="A377" s="117" t="s">
        <v>607</v>
      </c>
      <c r="B377" s="117" t="s">
        <v>163</v>
      </c>
      <c r="C377" s="117">
        <f t="shared" si="70"/>
        <v>119.625</v>
      </c>
      <c r="D377" s="117">
        <f t="shared" si="70"/>
        <v>162.75</v>
      </c>
      <c r="E377" s="117">
        <v>1811</v>
      </c>
      <c r="F377" s="117">
        <f>AB377*$AF$3</f>
        <v>3624674.7749999994</v>
      </c>
      <c r="G377" s="117" t="s">
        <v>843</v>
      </c>
      <c r="H377" s="117" t="s">
        <v>843</v>
      </c>
      <c r="I377" s="117">
        <v>268</v>
      </c>
      <c r="J377" s="117">
        <v>181</v>
      </c>
      <c r="K377" s="117">
        <v>124</v>
      </c>
      <c r="L377" s="117">
        <v>104</v>
      </c>
      <c r="M377" s="117">
        <v>0</v>
      </c>
      <c r="N377" s="117">
        <v>181</v>
      </c>
      <c r="O377" s="117">
        <v>103</v>
      </c>
      <c r="P377" s="117">
        <v>181</v>
      </c>
      <c r="Q377" s="117">
        <v>0</v>
      </c>
      <c r="R377" s="117">
        <v>94</v>
      </c>
      <c r="S377" s="117">
        <v>276</v>
      </c>
      <c r="T377" s="117">
        <v>291</v>
      </c>
      <c r="U377" s="117">
        <v>91</v>
      </c>
      <c r="V377" s="117">
        <v>181</v>
      </c>
      <c r="W377" s="117">
        <v>95</v>
      </c>
      <c r="X377" s="117">
        <v>89</v>
      </c>
      <c r="Y377" s="117">
        <v>0</v>
      </c>
      <c r="Z377" s="117" t="s">
        <v>843</v>
      </c>
      <c r="AA377" s="117">
        <v>13596</v>
      </c>
      <c r="AB377" s="117">
        <v>13555</v>
      </c>
      <c r="AC377" s="117">
        <v>13509</v>
      </c>
      <c r="AD377" s="117">
        <v>20211</v>
      </c>
      <c r="AE377" s="117">
        <v>20242</v>
      </c>
      <c r="AF377"/>
      <c r="AG377"/>
    </row>
    <row r="378" spans="1:33" ht="13.2" x14ac:dyDescent="0.25">
      <c r="A378" s="117" t="s">
        <v>607</v>
      </c>
      <c r="B378" s="117" t="s">
        <v>143</v>
      </c>
      <c r="C378" s="117">
        <f t="shared" si="70"/>
        <v>442.5</v>
      </c>
      <c r="D378" s="117">
        <f t="shared" si="70"/>
        <v>688.375</v>
      </c>
      <c r="E378" s="117">
        <v>1896</v>
      </c>
      <c r="F378" s="117">
        <f>AB378*$AF$3</f>
        <v>2801869.59</v>
      </c>
      <c r="G378" s="117" t="s">
        <v>843</v>
      </c>
      <c r="H378" s="117" t="s">
        <v>843</v>
      </c>
      <c r="I378" s="117">
        <v>725</v>
      </c>
      <c r="J378" s="117">
        <v>515</v>
      </c>
      <c r="K378" s="117">
        <v>818</v>
      </c>
      <c r="L378" s="117">
        <v>1978</v>
      </c>
      <c r="M378" s="117">
        <v>326</v>
      </c>
      <c r="N378" s="117">
        <v>498</v>
      </c>
      <c r="O378" s="117">
        <v>324</v>
      </c>
      <c r="P378" s="117">
        <v>516</v>
      </c>
      <c r="Q378" s="117">
        <v>465</v>
      </c>
      <c r="R378" s="117">
        <v>674</v>
      </c>
      <c r="S378" s="117">
        <v>355</v>
      </c>
      <c r="T378" s="117">
        <v>416</v>
      </c>
      <c r="U378" s="117">
        <v>303</v>
      </c>
      <c r="V378" s="117">
        <v>456</v>
      </c>
      <c r="W378" s="117">
        <v>224</v>
      </c>
      <c r="X378" s="117">
        <v>454</v>
      </c>
      <c r="Y378" s="117">
        <v>22</v>
      </c>
      <c r="Z378" s="117" t="s">
        <v>843</v>
      </c>
      <c r="AA378" s="117">
        <v>10480</v>
      </c>
      <c r="AB378" s="117">
        <v>10478</v>
      </c>
      <c r="AC378" s="117">
        <v>10481</v>
      </c>
      <c r="AD378" s="117">
        <v>18915</v>
      </c>
      <c r="AE378" s="117">
        <v>18552</v>
      </c>
      <c r="AF378"/>
      <c r="AG378"/>
    </row>
    <row r="379" spans="1:33" ht="13.2" customHeight="1" x14ac:dyDescent="0.25">
      <c r="A379" s="117" t="s">
        <v>607</v>
      </c>
      <c r="B379" s="117" t="s">
        <v>147</v>
      </c>
      <c r="C379" s="117">
        <f t="shared" si="70"/>
        <v>1082.75</v>
      </c>
      <c r="D379" s="117">
        <f t="shared" si="70"/>
        <v>1786.625</v>
      </c>
      <c r="E379" s="117">
        <v>3486</v>
      </c>
      <c r="F379" s="117">
        <f>AB379*$AF$3</f>
        <v>4160286.9899999998</v>
      </c>
      <c r="G379" s="117" t="s">
        <v>843</v>
      </c>
      <c r="H379" s="117" t="s">
        <v>843</v>
      </c>
      <c r="I379" s="117">
        <v>1545</v>
      </c>
      <c r="J379" s="117">
        <v>2114</v>
      </c>
      <c r="K379" s="117">
        <v>1052</v>
      </c>
      <c r="L379" s="117">
        <v>6376</v>
      </c>
      <c r="M379" s="117">
        <v>1334</v>
      </c>
      <c r="N379" s="117">
        <v>1974</v>
      </c>
      <c r="O379" s="117">
        <v>1922</v>
      </c>
      <c r="P379" s="117">
        <v>1070</v>
      </c>
      <c r="Q379" s="117">
        <v>1244</v>
      </c>
      <c r="R379" s="117">
        <v>659</v>
      </c>
      <c r="S379" s="117">
        <v>338</v>
      </c>
      <c r="T379" s="117">
        <v>746</v>
      </c>
      <c r="U379" s="117">
        <v>745</v>
      </c>
      <c r="V379" s="117">
        <v>772</v>
      </c>
      <c r="W379" s="117">
        <v>482</v>
      </c>
      <c r="X379" s="117">
        <v>582</v>
      </c>
      <c r="Y379" s="117">
        <v>814</v>
      </c>
      <c r="Z379" s="117" t="s">
        <v>843</v>
      </c>
      <c r="AA379" s="117">
        <v>15656</v>
      </c>
      <c r="AB379" s="117">
        <v>15558</v>
      </c>
      <c r="AC379" s="117">
        <v>15414</v>
      </c>
      <c r="AD379" s="117">
        <v>72719</v>
      </c>
      <c r="AE379" s="117">
        <v>73250</v>
      </c>
      <c r="AF379"/>
      <c r="AG379"/>
    </row>
    <row r="380" spans="1:33" x14ac:dyDescent="0.2">
      <c r="A380" s="117" t="s">
        <v>607</v>
      </c>
      <c r="B380" s="117" t="s">
        <v>747</v>
      </c>
      <c r="C380" s="117">
        <f>SUM(C376:C379)</f>
        <v>2461.5</v>
      </c>
      <c r="D380" s="117">
        <f>SUM(D376:D379)</f>
        <v>4094</v>
      </c>
      <c r="E380" s="117">
        <f t="shared" ref="E380:F380" si="71">SUM(E376:E379)</f>
        <v>9672</v>
      </c>
      <c r="F380" s="117">
        <f t="shared" si="71"/>
        <v>13278262.68</v>
      </c>
      <c r="I380" s="117">
        <f t="shared" ref="I380" si="72">SUM(I376:I379)</f>
        <v>4934</v>
      </c>
      <c r="J380" s="117">
        <f t="shared" ref="J380" si="73">SUM(J376:J379)</f>
        <v>6052</v>
      </c>
      <c r="K380" s="117">
        <f t="shared" ref="K380" si="74">SUM(K376:K379)</f>
        <v>2869</v>
      </c>
      <c r="L380" s="117">
        <f t="shared" ref="L380" si="75">SUM(L376:L379)</f>
        <v>11865</v>
      </c>
      <c r="M380" s="117">
        <f t="shared" ref="M380" si="76">SUM(M376:M379)</f>
        <v>2625</v>
      </c>
      <c r="N380" s="117">
        <f t="shared" ref="N380" si="77">SUM(N376:N379)</f>
        <v>4107</v>
      </c>
      <c r="O380" s="117">
        <f t="shared" ref="O380" si="78">SUM(O376:O379)</f>
        <v>3122</v>
      </c>
      <c r="P380" s="117">
        <f t="shared" ref="P380" si="79">SUM(P376:P379)</f>
        <v>2905</v>
      </c>
      <c r="Q380" s="117">
        <f t="shared" ref="Q380" si="80">SUM(Q376:Q379)</f>
        <v>2394</v>
      </c>
      <c r="R380" s="117">
        <f t="shared" ref="R380" si="81">SUM(R376:R379)</f>
        <v>2251</v>
      </c>
      <c r="S380" s="117">
        <f t="shared" ref="S380" si="82">SUM(S376:S379)</f>
        <v>1295</v>
      </c>
      <c r="T380" s="117">
        <f t="shared" ref="T380" si="83">SUM(T376:T379)</f>
        <v>2439</v>
      </c>
      <c r="U380" s="117">
        <f t="shared" ref="U380" si="84">SUM(U376:U379)</f>
        <v>1432</v>
      </c>
      <c r="V380" s="117">
        <f t="shared" ref="V380" si="85">SUM(V376:V379)</f>
        <v>1813</v>
      </c>
      <c r="W380" s="117">
        <f t="shared" ref="W380" si="86">SUM(W376:W379)</f>
        <v>1021</v>
      </c>
      <c r="X380" s="117">
        <f t="shared" ref="X380" si="87">SUM(X376:X379)</f>
        <v>1320</v>
      </c>
      <c r="Y380" s="117">
        <f t="shared" ref="Y380" si="88">SUM(Y376:Y379)</f>
        <v>952</v>
      </c>
      <c r="Z380" s="117">
        <f t="shared" ref="Z380" si="89">SUM(Z376:Z379)</f>
        <v>0</v>
      </c>
      <c r="AA380" s="117">
        <f t="shared" ref="AA380" si="90">SUM(AA376:AA379)</f>
        <v>49815</v>
      </c>
      <c r="AB380" s="117">
        <f t="shared" ref="AB380" si="91">SUM(AB376:AB379)</f>
        <v>49656</v>
      </c>
      <c r="AC380" s="117">
        <v>25895</v>
      </c>
      <c r="AD380" s="117">
        <v>91634</v>
      </c>
      <c r="AE380" s="117">
        <v>91802</v>
      </c>
    </row>
    <row r="382" spans="1:33" x14ac:dyDescent="0.2">
      <c r="A382" s="117" t="s">
        <v>603</v>
      </c>
      <c r="B382" s="117" t="s">
        <v>336</v>
      </c>
      <c r="C382" s="117">
        <f t="shared" ref="C382:D386" si="92">SUM(I382,K382,M382,O382,Q382,S382,U382,W382)/8</f>
        <v>3659.5</v>
      </c>
      <c r="D382" s="117">
        <f t="shared" si="92"/>
        <v>4501.875</v>
      </c>
      <c r="E382" s="117">
        <v>1678</v>
      </c>
      <c r="F382" s="117">
        <f>AB382*$AF$3</f>
        <v>7783357.334999999</v>
      </c>
      <c r="G382" s="117" t="s">
        <v>843</v>
      </c>
      <c r="H382" s="117" t="s">
        <v>843</v>
      </c>
      <c r="I382" s="117">
        <v>9062</v>
      </c>
      <c r="J382" s="117">
        <v>9510</v>
      </c>
      <c r="K382" s="117">
        <v>4621</v>
      </c>
      <c r="L382" s="117">
        <v>7855</v>
      </c>
      <c r="M382" s="117">
        <v>4506</v>
      </c>
      <c r="N382" s="117">
        <v>6177</v>
      </c>
      <c r="O382" s="117">
        <v>1563</v>
      </c>
      <c r="P382" s="117">
        <v>3334</v>
      </c>
      <c r="Q382" s="117">
        <v>2693</v>
      </c>
      <c r="R382" s="117">
        <v>3057</v>
      </c>
      <c r="S382" s="117">
        <v>3312</v>
      </c>
      <c r="T382" s="117">
        <v>2832</v>
      </c>
      <c r="U382" s="117">
        <v>1545</v>
      </c>
      <c r="V382" s="117">
        <v>1786</v>
      </c>
      <c r="W382" s="117">
        <v>1974</v>
      </c>
      <c r="X382" s="117">
        <v>1464</v>
      </c>
      <c r="Y382" s="117">
        <v>7918</v>
      </c>
      <c r="Z382" s="117" t="s">
        <v>843</v>
      </c>
      <c r="AA382" s="117">
        <v>29122</v>
      </c>
      <c r="AB382" s="117">
        <v>29107</v>
      </c>
      <c r="AC382" s="117">
        <v>29309</v>
      </c>
      <c r="AD382" s="117">
        <v>47202</v>
      </c>
      <c r="AE382" s="117">
        <v>52951</v>
      </c>
    </row>
    <row r="383" spans="1:33" x14ac:dyDescent="0.2">
      <c r="A383" s="117" t="s">
        <v>603</v>
      </c>
      <c r="B383" s="117" t="s">
        <v>340</v>
      </c>
      <c r="C383" s="117">
        <f t="shared" si="92"/>
        <v>868.375</v>
      </c>
      <c r="D383" s="117">
        <f t="shared" si="92"/>
        <v>863.125</v>
      </c>
      <c r="E383" s="117">
        <v>840</v>
      </c>
      <c r="F383" s="117">
        <f>AB383*$AF$3</f>
        <v>3430271.34</v>
      </c>
      <c r="G383" s="117" t="s">
        <v>843</v>
      </c>
      <c r="H383" s="117" t="s">
        <v>843</v>
      </c>
      <c r="I383" s="117">
        <v>1016</v>
      </c>
      <c r="J383" s="117">
        <v>1182</v>
      </c>
      <c r="K383" s="117">
        <v>1521</v>
      </c>
      <c r="L383" s="117">
        <v>1973</v>
      </c>
      <c r="M383" s="117">
        <v>673</v>
      </c>
      <c r="N383" s="117">
        <v>770</v>
      </c>
      <c r="O383" s="117">
        <v>2188</v>
      </c>
      <c r="P383" s="117">
        <v>1513</v>
      </c>
      <c r="Q383" s="117">
        <v>113</v>
      </c>
      <c r="R383" s="117">
        <v>164</v>
      </c>
      <c r="S383" s="117">
        <v>391</v>
      </c>
      <c r="T383" s="117">
        <v>306</v>
      </c>
      <c r="U383" s="117">
        <v>893</v>
      </c>
      <c r="V383" s="117">
        <v>859</v>
      </c>
      <c r="W383" s="117">
        <v>152</v>
      </c>
      <c r="X383" s="117">
        <v>138</v>
      </c>
      <c r="Y383" s="117">
        <v>35</v>
      </c>
      <c r="Z383" s="117" t="s">
        <v>843</v>
      </c>
      <c r="AA383" s="117">
        <v>12797</v>
      </c>
      <c r="AB383" s="117">
        <v>12828</v>
      </c>
      <c r="AC383" s="117">
        <v>12923</v>
      </c>
      <c r="AD383" s="117">
        <v>15563</v>
      </c>
      <c r="AE383" s="117">
        <v>16266</v>
      </c>
    </row>
    <row r="384" spans="1:33" x14ac:dyDescent="0.2">
      <c r="A384" s="117" t="s">
        <v>603</v>
      </c>
      <c r="B384" s="117" t="s">
        <v>353</v>
      </c>
      <c r="C384" s="117">
        <f t="shared" si="92"/>
        <v>1275</v>
      </c>
      <c r="D384" s="117">
        <f t="shared" si="92"/>
        <v>1326.375</v>
      </c>
      <c r="E384" s="117">
        <v>724</v>
      </c>
      <c r="F384" s="117">
        <f>AB384*$AF$3</f>
        <v>2967928.0949999997</v>
      </c>
      <c r="G384" s="117" t="s">
        <v>843</v>
      </c>
      <c r="H384" s="117" t="s">
        <v>843</v>
      </c>
      <c r="I384" s="117">
        <v>1011</v>
      </c>
      <c r="J384" s="117">
        <v>630</v>
      </c>
      <c r="K384" s="117">
        <v>831</v>
      </c>
      <c r="L384" s="117">
        <v>2272</v>
      </c>
      <c r="M384" s="117">
        <v>1126</v>
      </c>
      <c r="N384" s="117">
        <v>1411</v>
      </c>
      <c r="O384" s="117">
        <v>2154</v>
      </c>
      <c r="P384" s="117">
        <v>1856</v>
      </c>
      <c r="Q384" s="117">
        <v>676</v>
      </c>
      <c r="R384" s="117">
        <v>854</v>
      </c>
      <c r="S384" s="117">
        <v>2732</v>
      </c>
      <c r="T384" s="117">
        <v>2492</v>
      </c>
      <c r="U384" s="117">
        <v>1061</v>
      </c>
      <c r="V384" s="117">
        <v>646</v>
      </c>
      <c r="W384" s="117">
        <v>609</v>
      </c>
      <c r="X384" s="117">
        <v>450</v>
      </c>
      <c r="Y384" s="117">
        <v>328</v>
      </c>
      <c r="Z384" s="117" t="s">
        <v>843</v>
      </c>
      <c r="AA384" s="117">
        <v>10954</v>
      </c>
      <c r="AB384" s="117">
        <v>11099</v>
      </c>
      <c r="AC384" s="117">
        <v>11271</v>
      </c>
      <c r="AD384" s="117">
        <v>13744</v>
      </c>
      <c r="AE384" s="117">
        <v>16472</v>
      </c>
    </row>
    <row r="385" spans="1:33" x14ac:dyDescent="0.2">
      <c r="A385" s="117" t="s">
        <v>603</v>
      </c>
      <c r="B385" s="117" t="s">
        <v>368</v>
      </c>
      <c r="C385" s="117">
        <f t="shared" si="92"/>
        <v>4996.5</v>
      </c>
      <c r="D385" s="117">
        <f t="shared" si="92"/>
        <v>5387.375</v>
      </c>
      <c r="E385" s="117">
        <v>2611</v>
      </c>
      <c r="F385" s="117">
        <f>AB385*$AF$3</f>
        <v>6497139.2849999992</v>
      </c>
      <c r="G385" s="117" t="s">
        <v>843</v>
      </c>
      <c r="H385" s="117" t="s">
        <v>843</v>
      </c>
      <c r="I385" s="117">
        <v>2184</v>
      </c>
      <c r="J385" s="117">
        <v>3876</v>
      </c>
      <c r="K385" s="117">
        <v>9047</v>
      </c>
      <c r="L385" s="117">
        <v>10002</v>
      </c>
      <c r="M385" s="117">
        <v>4725</v>
      </c>
      <c r="N385" s="117">
        <v>5055</v>
      </c>
      <c r="O385" s="117">
        <v>7081</v>
      </c>
      <c r="P385" s="117">
        <v>7474</v>
      </c>
      <c r="Q385" s="117">
        <v>3165</v>
      </c>
      <c r="R385" s="117">
        <v>2927</v>
      </c>
      <c r="S385" s="117">
        <v>4878</v>
      </c>
      <c r="T385" s="117">
        <v>4892</v>
      </c>
      <c r="U385" s="117">
        <v>6023</v>
      </c>
      <c r="V385" s="117">
        <v>6025</v>
      </c>
      <c r="W385" s="117">
        <v>2869</v>
      </c>
      <c r="X385" s="117">
        <v>2848</v>
      </c>
      <c r="Y385" s="117">
        <v>3376</v>
      </c>
      <c r="Z385" s="117" t="s">
        <v>843</v>
      </c>
      <c r="AA385" s="117">
        <v>24021</v>
      </c>
      <c r="AB385" s="117">
        <v>24297</v>
      </c>
      <c r="AC385" s="117">
        <v>24364</v>
      </c>
      <c r="AD385" s="117">
        <v>51236</v>
      </c>
      <c r="AE385" s="117">
        <v>52275</v>
      </c>
    </row>
    <row r="386" spans="1:33" x14ac:dyDescent="0.2">
      <c r="A386" s="117" t="s">
        <v>603</v>
      </c>
      <c r="B386" s="117" t="s">
        <v>376</v>
      </c>
      <c r="C386" s="117">
        <f t="shared" si="92"/>
        <v>1573.25</v>
      </c>
      <c r="D386" s="117">
        <f t="shared" si="92"/>
        <v>1538.75</v>
      </c>
      <c r="E386" s="117">
        <v>643</v>
      </c>
      <c r="F386" s="117">
        <f>AB386*$AF$3</f>
        <v>2352629.19</v>
      </c>
      <c r="G386" s="117" t="s">
        <v>843</v>
      </c>
      <c r="H386" s="117" t="s">
        <v>843</v>
      </c>
      <c r="I386" s="117">
        <v>5627</v>
      </c>
      <c r="J386" s="117">
        <v>5248</v>
      </c>
      <c r="K386" s="117">
        <v>2126</v>
      </c>
      <c r="L386" s="117">
        <v>2082</v>
      </c>
      <c r="M386" s="117">
        <v>433</v>
      </c>
      <c r="N386" s="117">
        <v>443</v>
      </c>
      <c r="O386" s="117">
        <v>410</v>
      </c>
      <c r="P386" s="117">
        <v>703</v>
      </c>
      <c r="Q386" s="117">
        <v>1461</v>
      </c>
      <c r="R386" s="117">
        <v>1786</v>
      </c>
      <c r="S386" s="117">
        <v>1069</v>
      </c>
      <c r="T386" s="117">
        <v>1016</v>
      </c>
      <c r="U386" s="117">
        <v>1050</v>
      </c>
      <c r="V386" s="117">
        <v>617</v>
      </c>
      <c r="W386" s="117">
        <v>410</v>
      </c>
      <c r="X386" s="117">
        <v>415</v>
      </c>
      <c r="Y386" s="117">
        <v>2721</v>
      </c>
      <c r="Z386" s="117" t="s">
        <v>843</v>
      </c>
      <c r="AA386" s="117">
        <v>8783</v>
      </c>
      <c r="AB386" s="117">
        <v>8798</v>
      </c>
      <c r="AC386" s="117">
        <v>8775</v>
      </c>
      <c r="AD386" s="117">
        <v>17042</v>
      </c>
      <c r="AE386" s="117">
        <v>16561</v>
      </c>
    </row>
    <row r="387" spans="1:33" x14ac:dyDescent="0.2">
      <c r="A387" s="117" t="s">
        <v>603</v>
      </c>
      <c r="B387" s="117" t="s">
        <v>748</v>
      </c>
      <c r="C387" s="117">
        <f>SUM(C382:C386)</f>
        <v>12372.625</v>
      </c>
      <c r="D387" s="117">
        <f t="shared" ref="D387:F387" si="93">SUM(D382:D386)</f>
        <v>13617.5</v>
      </c>
      <c r="E387" s="117">
        <f t="shared" si="93"/>
        <v>6496</v>
      </c>
      <c r="F387" s="117">
        <f t="shared" si="93"/>
        <v>23031325.245000001</v>
      </c>
      <c r="I387" s="117">
        <f t="shared" ref="I387" si="94">SUM(I382:I386)</f>
        <v>18900</v>
      </c>
      <c r="J387" s="117">
        <f t="shared" ref="J387" si="95">SUM(J382:J386)</f>
        <v>20446</v>
      </c>
      <c r="K387" s="117">
        <f t="shared" ref="K387" si="96">SUM(K382:K386)</f>
        <v>18146</v>
      </c>
      <c r="L387" s="117">
        <f t="shared" ref="L387" si="97">SUM(L382:L386)</f>
        <v>24184</v>
      </c>
      <c r="M387" s="117">
        <f t="shared" ref="M387" si="98">SUM(M382:M386)</f>
        <v>11463</v>
      </c>
      <c r="N387" s="117">
        <f t="shared" ref="N387" si="99">SUM(N382:N386)</f>
        <v>13856</v>
      </c>
      <c r="O387" s="117">
        <f t="shared" ref="O387" si="100">SUM(O382:O386)</f>
        <v>13396</v>
      </c>
      <c r="P387" s="117">
        <f t="shared" ref="P387" si="101">SUM(P382:P386)</f>
        <v>14880</v>
      </c>
      <c r="Q387" s="117">
        <f t="shared" ref="Q387" si="102">SUM(Q382:Q386)</f>
        <v>8108</v>
      </c>
      <c r="R387" s="117">
        <f t="shared" ref="R387" si="103">SUM(R382:R386)</f>
        <v>8788</v>
      </c>
      <c r="S387" s="117">
        <f t="shared" ref="S387" si="104">SUM(S382:S386)</f>
        <v>12382</v>
      </c>
      <c r="T387" s="117">
        <f t="shared" ref="T387" si="105">SUM(T382:T386)</f>
        <v>11538</v>
      </c>
      <c r="U387" s="117">
        <f t="shared" ref="U387" si="106">SUM(U382:U386)</f>
        <v>10572</v>
      </c>
      <c r="V387" s="117">
        <f t="shared" ref="V387" si="107">SUM(V382:V386)</f>
        <v>9933</v>
      </c>
      <c r="W387" s="117">
        <f t="shared" ref="W387" si="108">SUM(W382:W386)</f>
        <v>6014</v>
      </c>
      <c r="X387" s="117">
        <f t="shared" ref="X387" si="109">SUM(X382:X386)</f>
        <v>5315</v>
      </c>
      <c r="Y387" s="117">
        <f t="shared" ref="Y387" si="110">SUM(Y382:Y386)</f>
        <v>14378</v>
      </c>
      <c r="Z387" s="117">
        <f t="shared" ref="Z387" si="111">SUM(Z382:Z386)</f>
        <v>0</v>
      </c>
      <c r="AA387" s="117">
        <f t="shared" ref="AA387" si="112">SUM(AA382:AA386)</f>
        <v>85677</v>
      </c>
      <c r="AB387" s="117">
        <f t="shared" ref="AB387" si="113">SUM(AB382:AB386)</f>
        <v>86129</v>
      </c>
      <c r="AC387" s="117">
        <v>44410</v>
      </c>
      <c r="AD387" s="117">
        <v>82022</v>
      </c>
      <c r="AE387" s="117">
        <v>85308</v>
      </c>
    </row>
    <row r="389" spans="1:33" x14ac:dyDescent="0.2">
      <c r="A389" s="117" t="s">
        <v>607</v>
      </c>
      <c r="B389" s="117" t="s">
        <v>148</v>
      </c>
      <c r="C389" s="117">
        <f t="shared" ref="C389:D391" si="114">SUM(I389,K389,M389,O389,Q389,S389,U389,W389)/8</f>
        <v>19695.375</v>
      </c>
      <c r="D389" s="117">
        <f t="shared" si="114"/>
        <v>22350.25</v>
      </c>
      <c r="E389" s="117">
        <v>32570</v>
      </c>
      <c r="F389" s="117">
        <f>AB389*$AF$3</f>
        <v>54256474.499999993</v>
      </c>
      <c r="G389" s="117" t="s">
        <v>844</v>
      </c>
      <c r="H389" s="117" t="s">
        <v>844</v>
      </c>
      <c r="I389" s="117">
        <v>13748</v>
      </c>
      <c r="J389" s="117">
        <v>55031</v>
      </c>
      <c r="K389" s="117">
        <v>3700</v>
      </c>
      <c r="L389" s="117">
        <v>1070</v>
      </c>
      <c r="M389" s="117">
        <v>10112</v>
      </c>
      <c r="N389" s="117">
        <v>36757</v>
      </c>
      <c r="O389" s="117">
        <v>17523</v>
      </c>
      <c r="P389" s="117">
        <v>35469</v>
      </c>
      <c r="Q389" s="117">
        <v>56792</v>
      </c>
      <c r="R389" s="117">
        <v>20956</v>
      </c>
      <c r="S389" s="117">
        <v>34790</v>
      </c>
      <c r="T389" s="117">
        <v>11221</v>
      </c>
      <c r="U389" s="117">
        <v>8962</v>
      </c>
      <c r="V389" s="117">
        <v>13915</v>
      </c>
      <c r="W389" s="117">
        <v>11936</v>
      </c>
      <c r="X389" s="117">
        <v>4383</v>
      </c>
      <c r="Y389" s="117">
        <v>2315</v>
      </c>
      <c r="Z389" s="117" t="s">
        <v>843</v>
      </c>
      <c r="AA389" s="117">
        <v>201535</v>
      </c>
      <c r="AB389" s="117">
        <v>202900</v>
      </c>
      <c r="AC389" s="117">
        <v>203848</v>
      </c>
      <c r="AD389" s="117">
        <v>906812</v>
      </c>
      <c r="AE389" s="117">
        <v>865386</v>
      </c>
    </row>
    <row r="390" spans="1:33" x14ac:dyDescent="0.2">
      <c r="A390" s="117" t="s">
        <v>607</v>
      </c>
      <c r="B390" s="117" t="s">
        <v>160</v>
      </c>
      <c r="C390" s="117">
        <f t="shared" si="114"/>
        <v>1125.875</v>
      </c>
      <c r="D390" s="117">
        <f t="shared" si="114"/>
        <v>3059.25</v>
      </c>
      <c r="E390" s="117">
        <v>831</v>
      </c>
      <c r="F390" s="117">
        <f>AB390*$AF$3</f>
        <v>1948847.64</v>
      </c>
      <c r="G390" s="117" t="s">
        <v>843</v>
      </c>
      <c r="H390" s="117" t="s">
        <v>843</v>
      </c>
      <c r="I390" s="117">
        <v>1216</v>
      </c>
      <c r="J390" s="117">
        <v>2150</v>
      </c>
      <c r="K390" s="117">
        <v>1438</v>
      </c>
      <c r="L390" s="117">
        <v>1483</v>
      </c>
      <c r="M390" s="117">
        <v>2893</v>
      </c>
      <c r="N390" s="117">
        <v>16529</v>
      </c>
      <c r="O390" s="117">
        <v>609</v>
      </c>
      <c r="P390" s="117">
        <v>781</v>
      </c>
      <c r="Q390" s="117">
        <v>123</v>
      </c>
      <c r="R390" s="117">
        <v>223</v>
      </c>
      <c r="S390" s="117">
        <v>162</v>
      </c>
      <c r="T390" s="117">
        <v>2750</v>
      </c>
      <c r="U390" s="117">
        <v>354</v>
      </c>
      <c r="V390" s="117">
        <v>133</v>
      </c>
      <c r="W390" s="117">
        <v>2212</v>
      </c>
      <c r="X390" s="117">
        <v>425</v>
      </c>
      <c r="Y390" s="117">
        <v>431</v>
      </c>
      <c r="Z390" s="117" t="s">
        <v>843</v>
      </c>
      <c r="AA390" s="117">
        <v>7283</v>
      </c>
      <c r="AB390" s="117">
        <v>7288</v>
      </c>
      <c r="AC390" s="117">
        <v>7302</v>
      </c>
      <c r="AD390" s="117">
        <v>19602</v>
      </c>
      <c r="AE390" s="117">
        <v>20664</v>
      </c>
    </row>
    <row r="391" spans="1:33" x14ac:dyDescent="0.2">
      <c r="A391" s="117" t="s">
        <v>607</v>
      </c>
      <c r="B391" s="117" t="s">
        <v>150</v>
      </c>
      <c r="C391" s="117">
        <f t="shared" si="114"/>
        <v>4093</v>
      </c>
      <c r="D391" s="117">
        <f t="shared" si="114"/>
        <v>4232.5</v>
      </c>
      <c r="E391" s="117">
        <v>3930</v>
      </c>
      <c r="F391" s="117">
        <f>AB391*$AF$3</f>
        <v>5314139.5649999995</v>
      </c>
      <c r="G391" s="117" t="s">
        <v>843</v>
      </c>
      <c r="H391" s="117" t="s">
        <v>843</v>
      </c>
      <c r="I391" s="117">
        <v>5653</v>
      </c>
      <c r="J391" s="117">
        <v>5228</v>
      </c>
      <c r="K391" s="117">
        <v>1042</v>
      </c>
      <c r="L391" s="117">
        <v>1511</v>
      </c>
      <c r="M391" s="117">
        <v>3336</v>
      </c>
      <c r="N391" s="117">
        <v>3460</v>
      </c>
      <c r="O391" s="117">
        <v>2247</v>
      </c>
      <c r="P391" s="117">
        <v>2434</v>
      </c>
      <c r="Q391" s="117">
        <v>2850</v>
      </c>
      <c r="R391" s="117">
        <v>2819</v>
      </c>
      <c r="S391" s="117">
        <v>13830</v>
      </c>
      <c r="T391" s="117">
        <v>13830</v>
      </c>
      <c r="U391" s="117">
        <v>2973</v>
      </c>
      <c r="V391" s="117">
        <v>3763</v>
      </c>
      <c r="W391" s="117">
        <v>813</v>
      </c>
      <c r="X391" s="117">
        <v>815</v>
      </c>
      <c r="Y391" s="117">
        <v>2722</v>
      </c>
      <c r="Z391" s="117" t="s">
        <v>843</v>
      </c>
      <c r="AA391" s="117">
        <v>19581</v>
      </c>
      <c r="AB391" s="117">
        <v>19873</v>
      </c>
      <c r="AC391" s="117">
        <v>20204</v>
      </c>
      <c r="AD391" s="117">
        <v>70517</v>
      </c>
      <c r="AE391" s="117">
        <v>75819</v>
      </c>
    </row>
    <row r="392" spans="1:33" x14ac:dyDescent="0.2">
      <c r="A392" s="117" t="s">
        <v>607</v>
      </c>
      <c r="B392" s="117" t="s">
        <v>148</v>
      </c>
      <c r="C392" s="117">
        <f>SUM(C389:C391)</f>
        <v>24914.25</v>
      </c>
      <c r="D392" s="117">
        <f t="shared" ref="D392:F392" si="115">SUM(D389:D391)</f>
        <v>29642</v>
      </c>
      <c r="E392" s="117">
        <f t="shared" si="115"/>
        <v>37331</v>
      </c>
      <c r="F392" s="117">
        <f t="shared" si="115"/>
        <v>61519461.704999991</v>
      </c>
      <c r="I392" s="117">
        <f t="shared" ref="I392" si="116">SUM(I389:I391)</f>
        <v>20617</v>
      </c>
      <c r="J392" s="117">
        <f t="shared" ref="J392" si="117">SUM(J389:J391)</f>
        <v>62409</v>
      </c>
      <c r="K392" s="117">
        <f t="shared" ref="K392" si="118">SUM(K389:K391)</f>
        <v>6180</v>
      </c>
      <c r="L392" s="117">
        <f t="shared" ref="L392" si="119">SUM(L389:L391)</f>
        <v>4064</v>
      </c>
      <c r="M392" s="117">
        <f t="shared" ref="M392" si="120">SUM(M389:M391)</f>
        <v>16341</v>
      </c>
      <c r="N392" s="117">
        <f t="shared" ref="N392" si="121">SUM(N389:N391)</f>
        <v>56746</v>
      </c>
      <c r="O392" s="117">
        <f t="shared" ref="O392" si="122">SUM(O389:O391)</f>
        <v>20379</v>
      </c>
      <c r="P392" s="117">
        <f t="shared" ref="P392" si="123">SUM(P389:P391)</f>
        <v>38684</v>
      </c>
      <c r="Q392" s="117">
        <f t="shared" ref="Q392" si="124">SUM(Q389:Q391)</f>
        <v>59765</v>
      </c>
      <c r="R392" s="117">
        <f t="shared" ref="R392" si="125">SUM(R389:R391)</f>
        <v>23998</v>
      </c>
      <c r="S392" s="117">
        <f t="shared" ref="S392" si="126">SUM(S389:S391)</f>
        <v>48782</v>
      </c>
      <c r="T392" s="117">
        <f t="shared" ref="T392" si="127">SUM(T389:T391)</f>
        <v>27801</v>
      </c>
      <c r="U392" s="117">
        <f t="shared" ref="U392" si="128">SUM(U389:U391)</f>
        <v>12289</v>
      </c>
      <c r="V392" s="117">
        <f t="shared" ref="V392" si="129">SUM(V389:V391)</f>
        <v>17811</v>
      </c>
      <c r="W392" s="117">
        <f t="shared" ref="W392" si="130">SUM(W389:W391)</f>
        <v>14961</v>
      </c>
      <c r="X392" s="117">
        <f t="shared" ref="X392" si="131">SUM(X389:X391)</f>
        <v>5623</v>
      </c>
      <c r="Y392" s="117">
        <f t="shared" ref="Y392" si="132">SUM(Y389:Y391)</f>
        <v>5468</v>
      </c>
      <c r="Z392" s="117">
        <f t="shared" ref="Z392" si="133">SUM(Z389:Z391)</f>
        <v>0</v>
      </c>
      <c r="AA392" s="117">
        <f t="shared" ref="AA392" si="134">SUM(AA389:AA391)</f>
        <v>228399</v>
      </c>
      <c r="AB392" s="117">
        <f t="shared" ref="AB392" si="135">SUM(AB389:AB391)</f>
        <v>230061</v>
      </c>
      <c r="AC392" s="117">
        <v>231354</v>
      </c>
      <c r="AD392" s="117">
        <v>996931</v>
      </c>
      <c r="AE392" s="117">
        <v>961869</v>
      </c>
    </row>
    <row r="394" spans="1:33" x14ac:dyDescent="0.2">
      <c r="A394" s="117" t="s">
        <v>602</v>
      </c>
      <c r="B394" s="117" t="s">
        <v>168</v>
      </c>
      <c r="C394" s="117">
        <f t="shared" ref="C394:D396" si="136">SUM(I394,K394,M394,O394,Q394,S394,U394,W394)/8</f>
        <v>1519.625</v>
      </c>
      <c r="D394" s="117">
        <f t="shared" si="136"/>
        <v>1426.625</v>
      </c>
      <c r="E394" s="117">
        <v>2834</v>
      </c>
      <c r="F394" s="117">
        <f>AB394*$AF$3</f>
        <v>6360762.7349999994</v>
      </c>
      <c r="G394" s="117" t="s">
        <v>843</v>
      </c>
      <c r="H394" s="117" t="s">
        <v>843</v>
      </c>
      <c r="I394" s="117">
        <v>1469</v>
      </c>
      <c r="J394" s="117">
        <v>1369</v>
      </c>
      <c r="K394" s="117">
        <v>2055</v>
      </c>
      <c r="L394" s="117">
        <v>1908</v>
      </c>
      <c r="M394" s="117">
        <v>2780</v>
      </c>
      <c r="N394" s="117">
        <v>3251</v>
      </c>
      <c r="O394" s="117">
        <v>1063</v>
      </c>
      <c r="P394" s="117">
        <v>1191</v>
      </c>
      <c r="Q394" s="117">
        <v>1514</v>
      </c>
      <c r="R394" s="117">
        <v>1583</v>
      </c>
      <c r="S394" s="117">
        <v>174</v>
      </c>
      <c r="T394" s="117">
        <v>203</v>
      </c>
      <c r="U394" s="117">
        <v>422</v>
      </c>
      <c r="V394" s="117">
        <v>260</v>
      </c>
      <c r="W394" s="117">
        <v>2680</v>
      </c>
      <c r="X394" s="117">
        <v>1648</v>
      </c>
      <c r="Y394" s="117">
        <v>273</v>
      </c>
      <c r="Z394" s="117" t="s">
        <v>843</v>
      </c>
      <c r="AA394" s="117">
        <v>23904</v>
      </c>
      <c r="AB394" s="117">
        <v>23787</v>
      </c>
      <c r="AC394" s="117">
        <v>23825</v>
      </c>
      <c r="AD394" s="117">
        <v>60199</v>
      </c>
      <c r="AE394" s="117">
        <v>68900</v>
      </c>
    </row>
    <row r="395" spans="1:33" x14ac:dyDescent="0.2">
      <c r="A395" s="117" t="s">
        <v>602</v>
      </c>
      <c r="B395" s="117" t="s">
        <v>169</v>
      </c>
      <c r="C395" s="117">
        <f t="shared" si="136"/>
        <v>220.125</v>
      </c>
      <c r="D395" s="117">
        <f t="shared" si="136"/>
        <v>238.25</v>
      </c>
      <c r="E395" s="117">
        <v>1270</v>
      </c>
      <c r="F395" s="117">
        <f>AB395*$AF$3</f>
        <v>2318401.3499999996</v>
      </c>
      <c r="G395" s="117" t="s">
        <v>843</v>
      </c>
      <c r="H395" s="117" t="s">
        <v>843</v>
      </c>
      <c r="I395" s="117">
        <v>3</v>
      </c>
      <c r="J395" s="117">
        <v>1</v>
      </c>
      <c r="K395" s="117">
        <v>38</v>
      </c>
      <c r="L395" s="117">
        <v>0</v>
      </c>
      <c r="M395" s="117">
        <v>256</v>
      </c>
      <c r="N395" s="117">
        <v>2</v>
      </c>
      <c r="O395" s="117">
        <v>159</v>
      </c>
      <c r="P395" s="117">
        <v>23</v>
      </c>
      <c r="Q395" s="117">
        <v>114</v>
      </c>
      <c r="R395" s="117">
        <v>213</v>
      </c>
      <c r="S395" s="117">
        <v>345</v>
      </c>
      <c r="T395" s="117">
        <v>40</v>
      </c>
      <c r="U395" s="117">
        <v>221</v>
      </c>
      <c r="V395" s="117">
        <v>890</v>
      </c>
      <c r="W395" s="117">
        <v>625</v>
      </c>
      <c r="X395" s="117">
        <v>737</v>
      </c>
      <c r="Y395" s="117">
        <v>0</v>
      </c>
      <c r="Z395" s="117" t="s">
        <v>843</v>
      </c>
      <c r="AA395" s="117">
        <v>8735</v>
      </c>
      <c r="AB395" s="117">
        <v>8670</v>
      </c>
      <c r="AC395" s="117">
        <v>8563</v>
      </c>
      <c r="AD395" s="117">
        <v>16012</v>
      </c>
      <c r="AE395" s="117">
        <v>16665</v>
      </c>
    </row>
    <row r="396" spans="1:33" x14ac:dyDescent="0.2">
      <c r="A396" s="117" t="s">
        <v>602</v>
      </c>
      <c r="B396" s="117" t="s">
        <v>500</v>
      </c>
      <c r="C396" s="117">
        <f t="shared" si="136"/>
        <v>446.375</v>
      </c>
      <c r="D396" s="117">
        <f t="shared" si="136"/>
        <v>899</v>
      </c>
      <c r="E396" s="117">
        <v>2504</v>
      </c>
      <c r="F396" s="117">
        <f>AB396*$AF$3</f>
        <v>3431608.3649999998</v>
      </c>
      <c r="G396" s="117" t="s">
        <v>843</v>
      </c>
      <c r="H396" s="117" t="s">
        <v>843</v>
      </c>
      <c r="I396" s="117">
        <v>251</v>
      </c>
      <c r="J396" s="117">
        <v>247</v>
      </c>
      <c r="K396" s="117">
        <v>811</v>
      </c>
      <c r="L396" s="117">
        <v>3936</v>
      </c>
      <c r="M396" s="117">
        <v>100</v>
      </c>
      <c r="N396" s="117">
        <v>178</v>
      </c>
      <c r="O396" s="117">
        <v>1979</v>
      </c>
      <c r="P396" s="117">
        <v>2241</v>
      </c>
      <c r="Q396" s="117">
        <v>323</v>
      </c>
      <c r="R396" s="117">
        <v>387</v>
      </c>
      <c r="S396" s="117">
        <v>-21</v>
      </c>
      <c r="T396" s="117">
        <v>73</v>
      </c>
      <c r="U396" s="117">
        <v>30</v>
      </c>
      <c r="V396" s="117">
        <v>36</v>
      </c>
      <c r="W396" s="117">
        <v>98</v>
      </c>
      <c r="X396" s="117">
        <v>94</v>
      </c>
      <c r="Y396" s="117">
        <v>-2</v>
      </c>
      <c r="Z396" s="117" t="s">
        <v>843</v>
      </c>
      <c r="AA396" s="117">
        <v>12875</v>
      </c>
      <c r="AB396" s="117">
        <v>12833</v>
      </c>
      <c r="AC396" s="117">
        <v>12756</v>
      </c>
      <c r="AD396" s="117">
        <v>27725</v>
      </c>
      <c r="AE396" s="117">
        <v>30765</v>
      </c>
    </row>
    <row r="397" spans="1:33" x14ac:dyDescent="0.2">
      <c r="A397" s="117" t="s">
        <v>602</v>
      </c>
      <c r="B397" s="117" t="s">
        <v>751</v>
      </c>
      <c r="C397" s="117">
        <f>SUM(C394:C396)</f>
        <v>2186.125</v>
      </c>
      <c r="D397" s="117">
        <f t="shared" ref="D397:F397" si="137">SUM(D394:D396)</f>
        <v>2563.875</v>
      </c>
      <c r="E397" s="117">
        <f t="shared" si="137"/>
        <v>6608</v>
      </c>
      <c r="F397" s="117">
        <f t="shared" si="137"/>
        <v>12110772.449999999</v>
      </c>
      <c r="I397" s="117">
        <f t="shared" ref="I397" si="138">SUM(I394:I396)</f>
        <v>1723</v>
      </c>
      <c r="J397" s="117">
        <f t="shared" ref="J397" si="139">SUM(J394:J396)</f>
        <v>1617</v>
      </c>
      <c r="K397" s="117">
        <f t="shared" ref="K397" si="140">SUM(K394:K396)</f>
        <v>2904</v>
      </c>
      <c r="L397" s="117">
        <f t="shared" ref="L397" si="141">SUM(L394:L396)</f>
        <v>5844</v>
      </c>
      <c r="M397" s="117">
        <f t="shared" ref="M397" si="142">SUM(M394:M396)</f>
        <v>3136</v>
      </c>
      <c r="N397" s="117">
        <f t="shared" ref="N397" si="143">SUM(N394:N396)</f>
        <v>3431</v>
      </c>
      <c r="O397" s="117">
        <f t="shared" ref="O397" si="144">SUM(O394:O396)</f>
        <v>3201</v>
      </c>
      <c r="P397" s="117">
        <f t="shared" ref="P397" si="145">SUM(P394:P396)</f>
        <v>3455</v>
      </c>
      <c r="Q397" s="117">
        <f t="shared" ref="Q397" si="146">SUM(Q394:Q396)</f>
        <v>1951</v>
      </c>
      <c r="R397" s="117">
        <f t="shared" ref="R397" si="147">SUM(R394:R396)</f>
        <v>2183</v>
      </c>
      <c r="S397" s="117">
        <f t="shared" ref="S397" si="148">SUM(S394:S396)</f>
        <v>498</v>
      </c>
      <c r="T397" s="117">
        <f t="shared" ref="T397" si="149">SUM(T394:T396)</f>
        <v>316</v>
      </c>
      <c r="U397" s="117">
        <f t="shared" ref="U397" si="150">SUM(U394:U396)</f>
        <v>673</v>
      </c>
      <c r="V397" s="117">
        <f t="shared" ref="V397" si="151">SUM(V394:V396)</f>
        <v>1186</v>
      </c>
      <c r="W397" s="117">
        <f t="shared" ref="W397" si="152">SUM(W394:W396)</f>
        <v>3403</v>
      </c>
      <c r="X397" s="117">
        <f t="shared" ref="X397" si="153">SUM(X394:X396)</f>
        <v>2479</v>
      </c>
      <c r="Y397" s="117">
        <f t="shared" ref="Y397" si="154">SUM(Y394:Y396)</f>
        <v>271</v>
      </c>
      <c r="Z397" s="117">
        <f t="shared" ref="Z397" si="155">SUM(Z394:Z396)</f>
        <v>0</v>
      </c>
      <c r="AA397" s="117">
        <f t="shared" ref="AA397" si="156">SUM(AA394:AA396)</f>
        <v>45514</v>
      </c>
      <c r="AB397" s="117">
        <f t="shared" ref="AB397" si="157">SUM(AB394:AB396)</f>
        <v>45290</v>
      </c>
      <c r="AC397" s="117">
        <v>45144</v>
      </c>
      <c r="AD397" s="117">
        <v>103936</v>
      </c>
      <c r="AE397" s="117">
        <v>116330</v>
      </c>
    </row>
    <row r="399" spans="1:33" ht="13.2" x14ac:dyDescent="0.25">
      <c r="A399" s="117" t="s">
        <v>603</v>
      </c>
      <c r="B399" s="117" t="s">
        <v>363</v>
      </c>
      <c r="C399" s="117">
        <f>SUM(I399,K399,M399,O399,Q399,S399,U399,W399)/8</f>
        <v>7532.25</v>
      </c>
      <c r="D399" s="117">
        <f>SUM(J399,L399,N399,P399,R399,T399,V399,X399)/8</f>
        <v>7424.25</v>
      </c>
      <c r="E399" s="117">
        <v>5735</v>
      </c>
      <c r="F399" s="117">
        <f>AB399*$AF$3</f>
        <v>7835768.7149999989</v>
      </c>
      <c r="G399" s="117" t="s">
        <v>843</v>
      </c>
      <c r="H399" s="117" t="s">
        <v>843</v>
      </c>
      <c r="I399" s="117">
        <v>7793</v>
      </c>
      <c r="J399" s="117">
        <v>7982</v>
      </c>
      <c r="K399" s="117">
        <v>12666</v>
      </c>
      <c r="L399" s="117">
        <v>10344</v>
      </c>
      <c r="M399" s="117">
        <v>6299</v>
      </c>
      <c r="N399" s="117">
        <v>5895</v>
      </c>
      <c r="O399" s="117">
        <v>6243</v>
      </c>
      <c r="P399" s="117">
        <v>8834</v>
      </c>
      <c r="Q399" s="117">
        <v>6968</v>
      </c>
      <c r="R399" s="117">
        <v>8246</v>
      </c>
      <c r="S399" s="117">
        <v>7616</v>
      </c>
      <c r="T399" s="117">
        <v>6113</v>
      </c>
      <c r="U399" s="117">
        <v>8585</v>
      </c>
      <c r="V399" s="117">
        <v>7695</v>
      </c>
      <c r="W399" s="117">
        <v>4088</v>
      </c>
      <c r="X399" s="117">
        <v>4285</v>
      </c>
      <c r="Y399" s="117">
        <v>3521</v>
      </c>
      <c r="Z399" s="117" t="s">
        <v>843</v>
      </c>
      <c r="AA399" s="117">
        <v>29206</v>
      </c>
      <c r="AB399" s="117">
        <v>29303</v>
      </c>
      <c r="AC399" s="117">
        <v>29332</v>
      </c>
      <c r="AD399" s="117">
        <v>70899</v>
      </c>
      <c r="AE399" s="117">
        <v>74538</v>
      </c>
      <c r="AF399"/>
      <c r="AG399"/>
    </row>
    <row r="400" spans="1:33" x14ac:dyDescent="0.2">
      <c r="A400" s="117" t="s">
        <v>603</v>
      </c>
      <c r="B400" s="117" t="s">
        <v>343</v>
      </c>
      <c r="C400" s="117">
        <f>SUM(I400,K400,M400,O400,Q400,S400,U400,W400)/8</f>
        <v>1196.875</v>
      </c>
      <c r="D400" s="117">
        <f>SUM(J400,L400,N400,P400,R400,T400,V400,X400)/8</f>
        <v>2027.625</v>
      </c>
      <c r="E400" s="117">
        <v>744</v>
      </c>
      <c r="F400" s="117">
        <f>AB400*$AF$3</f>
        <v>3891010.1549999998</v>
      </c>
      <c r="G400" s="117" t="s">
        <v>843</v>
      </c>
      <c r="H400" s="117" t="s">
        <v>843</v>
      </c>
      <c r="I400" s="117">
        <v>1969</v>
      </c>
      <c r="J400" s="117">
        <v>1985</v>
      </c>
      <c r="K400" s="117">
        <v>1581</v>
      </c>
      <c r="L400" s="117">
        <v>2801</v>
      </c>
      <c r="M400" s="117">
        <v>1826</v>
      </c>
      <c r="N400" s="117">
        <v>4157</v>
      </c>
      <c r="O400" s="117">
        <v>896</v>
      </c>
      <c r="P400" s="117">
        <v>1634</v>
      </c>
      <c r="Q400" s="117">
        <v>421</v>
      </c>
      <c r="R400" s="117">
        <v>2420</v>
      </c>
      <c r="S400" s="117">
        <v>1341</v>
      </c>
      <c r="T400" s="117">
        <v>1941</v>
      </c>
      <c r="U400" s="117">
        <v>1185</v>
      </c>
      <c r="V400" s="117">
        <v>934</v>
      </c>
      <c r="W400" s="117">
        <v>356</v>
      </c>
      <c r="X400" s="117">
        <v>349</v>
      </c>
      <c r="Y400" s="117">
        <v>49</v>
      </c>
      <c r="Z400" s="117" t="s">
        <v>843</v>
      </c>
      <c r="AA400" s="117">
        <v>14598</v>
      </c>
      <c r="AB400" s="117">
        <v>14551</v>
      </c>
      <c r="AC400" s="117">
        <v>14539</v>
      </c>
      <c r="AD400" s="117">
        <v>13579</v>
      </c>
      <c r="AE400" s="117">
        <v>15093</v>
      </c>
    </row>
    <row r="401" spans="1:33" x14ac:dyDescent="0.2">
      <c r="A401" s="117" t="s">
        <v>603</v>
      </c>
      <c r="B401" s="117" t="s">
        <v>750</v>
      </c>
      <c r="C401" s="117">
        <f>SUM(C399:C400)</f>
        <v>8729.125</v>
      </c>
      <c r="D401" s="117">
        <f t="shared" ref="D401:F401" si="158">SUM(D399:D400)</f>
        <v>9451.875</v>
      </c>
      <c r="E401" s="117">
        <f t="shared" si="158"/>
        <v>6479</v>
      </c>
      <c r="F401" s="117">
        <f t="shared" si="158"/>
        <v>11726778.869999999</v>
      </c>
      <c r="I401" s="117">
        <f t="shared" ref="I401" si="159">SUM(I399:I400)</f>
        <v>9762</v>
      </c>
      <c r="J401" s="117">
        <f t="shared" ref="J401" si="160">SUM(J399:J400)</f>
        <v>9967</v>
      </c>
      <c r="K401" s="117">
        <f t="shared" ref="K401" si="161">SUM(K399:K400)</f>
        <v>14247</v>
      </c>
      <c r="L401" s="117">
        <f t="shared" ref="L401" si="162">SUM(L399:L400)</f>
        <v>13145</v>
      </c>
      <c r="M401" s="117">
        <f t="shared" ref="M401" si="163">SUM(M399:M400)</f>
        <v>8125</v>
      </c>
      <c r="N401" s="117">
        <f t="shared" ref="N401" si="164">SUM(N399:N400)</f>
        <v>10052</v>
      </c>
      <c r="O401" s="117">
        <f t="shared" ref="O401" si="165">SUM(O399:O400)</f>
        <v>7139</v>
      </c>
      <c r="P401" s="117">
        <f t="shared" ref="P401" si="166">SUM(P399:P400)</f>
        <v>10468</v>
      </c>
      <c r="Q401" s="117">
        <f t="shared" ref="Q401" si="167">SUM(Q399:Q400)</f>
        <v>7389</v>
      </c>
      <c r="R401" s="117">
        <f t="shared" ref="R401" si="168">SUM(R399:R400)</f>
        <v>10666</v>
      </c>
      <c r="S401" s="117">
        <f t="shared" ref="S401" si="169">SUM(S399:S400)</f>
        <v>8957</v>
      </c>
      <c r="T401" s="117">
        <f t="shared" ref="T401" si="170">SUM(T399:T400)</f>
        <v>8054</v>
      </c>
      <c r="U401" s="117">
        <f t="shared" ref="U401" si="171">SUM(U399:U400)</f>
        <v>9770</v>
      </c>
      <c r="V401" s="117">
        <f t="shared" ref="V401" si="172">SUM(V399:V400)</f>
        <v>8629</v>
      </c>
      <c r="W401" s="117">
        <f t="shared" ref="W401" si="173">SUM(W399:W400)</f>
        <v>4444</v>
      </c>
      <c r="X401" s="117">
        <f t="shared" ref="X401" si="174">SUM(X399:X400)</f>
        <v>4634</v>
      </c>
      <c r="Y401" s="117">
        <f t="shared" ref="Y401" si="175">SUM(Y399:Y400)</f>
        <v>3570</v>
      </c>
      <c r="Z401" s="117">
        <f t="shared" ref="Z401" si="176">SUM(Z399:Z400)</f>
        <v>0</v>
      </c>
      <c r="AA401" s="117">
        <f t="shared" ref="AA401" si="177">SUM(AA399:AA400)</f>
        <v>43804</v>
      </c>
      <c r="AB401" s="117">
        <f t="shared" ref="AB401" si="178">SUM(AB399:AB400)</f>
        <v>43854</v>
      </c>
      <c r="AC401" s="117">
        <v>43871</v>
      </c>
      <c r="AD401" s="117">
        <v>84478</v>
      </c>
      <c r="AE401" s="117">
        <v>89631</v>
      </c>
    </row>
    <row r="403" spans="1:33" x14ac:dyDescent="0.2">
      <c r="A403" s="117" t="s">
        <v>603</v>
      </c>
      <c r="B403" s="117" t="s">
        <v>365</v>
      </c>
      <c r="C403" s="117">
        <f>SUM(I403,K403,M403,O403,Q403,S403,U403,W403)/8</f>
        <v>17411</v>
      </c>
      <c r="D403" s="117">
        <f>SUM(J403,L403,N403,P403,R403,T403,V403,X403)/8</f>
        <v>14457.625</v>
      </c>
      <c r="E403" s="117">
        <v>4638</v>
      </c>
      <c r="F403" s="117">
        <f>AB403*$AF$3</f>
        <v>6969643.919999999</v>
      </c>
      <c r="I403" s="117">
        <v>12990</v>
      </c>
      <c r="J403" s="117">
        <v>12949</v>
      </c>
      <c r="K403" s="117">
        <v>22666</v>
      </c>
      <c r="L403" s="117">
        <v>18507</v>
      </c>
      <c r="M403" s="117">
        <v>15439</v>
      </c>
      <c r="N403" s="117">
        <v>15582</v>
      </c>
      <c r="O403" s="117">
        <v>23741</v>
      </c>
      <c r="P403" s="117">
        <v>15709</v>
      </c>
      <c r="Q403" s="117">
        <v>8756</v>
      </c>
      <c r="R403" s="117">
        <v>9757</v>
      </c>
      <c r="S403" s="117">
        <v>13336</v>
      </c>
      <c r="T403" s="117">
        <v>12063</v>
      </c>
      <c r="U403" s="117">
        <v>11519</v>
      </c>
      <c r="V403" s="117">
        <v>13121</v>
      </c>
      <c r="W403" s="117">
        <v>30841</v>
      </c>
      <c r="X403" s="117">
        <v>17973</v>
      </c>
      <c r="Y403" s="117">
        <v>8421</v>
      </c>
      <c r="Z403" s="117" t="s">
        <v>843</v>
      </c>
      <c r="AA403" s="117">
        <v>25865</v>
      </c>
      <c r="AB403" s="117">
        <v>26064</v>
      </c>
      <c r="AC403" s="117">
        <v>26173</v>
      </c>
      <c r="AD403" s="117">
        <v>113799</v>
      </c>
      <c r="AE403" s="117">
        <v>110039</v>
      </c>
    </row>
    <row r="404" spans="1:33" x14ac:dyDescent="0.2">
      <c r="A404" s="117" t="s">
        <v>603</v>
      </c>
      <c r="B404" s="117" t="s">
        <v>366</v>
      </c>
      <c r="C404" s="117">
        <f>SUM(I404,K404,M404,O404,Q404,S404,U404,W404)/8</f>
        <v>3074.25</v>
      </c>
      <c r="D404" s="117">
        <f>SUM(J404,L404,N404,P404,R404,T404,V404,X404)/8</f>
        <v>2662.75</v>
      </c>
      <c r="E404" s="117">
        <v>1509</v>
      </c>
      <c r="F404" s="117">
        <f>AB404*$AF$3</f>
        <v>4442934.0749999993</v>
      </c>
      <c r="G404" s="117" t="s">
        <v>843</v>
      </c>
      <c r="H404" s="117" t="s">
        <v>843</v>
      </c>
      <c r="I404" s="117">
        <v>3978</v>
      </c>
      <c r="J404" s="117">
        <v>2351</v>
      </c>
      <c r="K404" s="117">
        <v>2869</v>
      </c>
      <c r="L404" s="117">
        <v>2667</v>
      </c>
      <c r="M404" s="117">
        <v>5418</v>
      </c>
      <c r="N404" s="117">
        <v>4547</v>
      </c>
      <c r="O404" s="117">
        <v>5544</v>
      </c>
      <c r="P404" s="117">
        <v>6184</v>
      </c>
      <c r="Q404" s="117">
        <v>2592</v>
      </c>
      <c r="R404" s="117">
        <v>2345</v>
      </c>
      <c r="S404" s="117">
        <v>2266</v>
      </c>
      <c r="T404" s="117">
        <v>1729</v>
      </c>
      <c r="U404" s="117">
        <v>1136</v>
      </c>
      <c r="V404" s="117">
        <v>968</v>
      </c>
      <c r="W404" s="117">
        <v>791</v>
      </c>
      <c r="X404" s="117">
        <v>511</v>
      </c>
      <c r="Y404" s="117">
        <v>2210</v>
      </c>
      <c r="Z404" s="117" t="s">
        <v>843</v>
      </c>
      <c r="AA404" s="117">
        <v>16326</v>
      </c>
      <c r="AB404" s="117">
        <v>16615</v>
      </c>
      <c r="AC404" s="117">
        <v>16688</v>
      </c>
      <c r="AD404" s="117">
        <v>53764</v>
      </c>
      <c r="AE404" s="117">
        <v>55846</v>
      </c>
    </row>
    <row r="405" spans="1:33" x14ac:dyDescent="0.2">
      <c r="A405" s="117" t="s">
        <v>603</v>
      </c>
      <c r="B405" s="117" t="s">
        <v>365</v>
      </c>
      <c r="C405" s="117">
        <f>SUM(C403:C404)</f>
        <v>20485.25</v>
      </c>
      <c r="D405" s="117">
        <f t="shared" ref="D405:F405" si="179">SUM(D403:D404)</f>
        <v>17120.375</v>
      </c>
      <c r="E405" s="117">
        <f t="shared" si="179"/>
        <v>6147</v>
      </c>
      <c r="F405" s="117">
        <f t="shared" si="179"/>
        <v>11412577.994999997</v>
      </c>
      <c r="I405" s="117">
        <f>SUM(I403:I404)</f>
        <v>16968</v>
      </c>
      <c r="J405" s="117">
        <f t="shared" ref="J405:AB405" si="180">SUM(J403:J404)</f>
        <v>15300</v>
      </c>
      <c r="K405" s="117">
        <f t="shared" si="180"/>
        <v>25535</v>
      </c>
      <c r="L405" s="117">
        <f t="shared" si="180"/>
        <v>21174</v>
      </c>
      <c r="M405" s="117">
        <f t="shared" si="180"/>
        <v>20857</v>
      </c>
      <c r="N405" s="117">
        <f t="shared" si="180"/>
        <v>20129</v>
      </c>
      <c r="O405" s="117">
        <f t="shared" si="180"/>
        <v>29285</v>
      </c>
      <c r="P405" s="117">
        <f t="shared" si="180"/>
        <v>21893</v>
      </c>
      <c r="Q405" s="117">
        <f t="shared" si="180"/>
        <v>11348</v>
      </c>
      <c r="R405" s="117">
        <f t="shared" si="180"/>
        <v>12102</v>
      </c>
      <c r="S405" s="117">
        <f t="shared" si="180"/>
        <v>15602</v>
      </c>
      <c r="T405" s="117">
        <f t="shared" si="180"/>
        <v>13792</v>
      </c>
      <c r="U405" s="117">
        <f t="shared" si="180"/>
        <v>12655</v>
      </c>
      <c r="V405" s="117">
        <f t="shared" si="180"/>
        <v>14089</v>
      </c>
      <c r="W405" s="117">
        <f t="shared" si="180"/>
        <v>31632</v>
      </c>
      <c r="X405" s="117">
        <f t="shared" si="180"/>
        <v>18484</v>
      </c>
      <c r="Y405" s="117">
        <f t="shared" si="180"/>
        <v>10631</v>
      </c>
      <c r="Z405" s="117">
        <f t="shared" si="180"/>
        <v>0</v>
      </c>
      <c r="AA405" s="117">
        <f t="shared" si="180"/>
        <v>42191</v>
      </c>
      <c r="AB405" s="117">
        <f t="shared" si="180"/>
        <v>42679</v>
      </c>
      <c r="AC405" s="117">
        <v>42861</v>
      </c>
      <c r="AD405" s="117">
        <v>167563</v>
      </c>
      <c r="AE405" s="117">
        <v>165885</v>
      </c>
    </row>
    <row r="407" spans="1:33" ht="13.2" x14ac:dyDescent="0.25">
      <c r="A407" s="117" t="s">
        <v>606</v>
      </c>
      <c r="B407" s="117" t="s">
        <v>282</v>
      </c>
      <c r="C407" s="117">
        <f t="shared" ref="C407:D409" si="181">SUM(I407,K407,M407,O407,Q407,S407,U407,W407)/8</f>
        <v>6523.625</v>
      </c>
      <c r="D407" s="117">
        <f t="shared" si="181"/>
        <v>6474.5</v>
      </c>
      <c r="E407" s="117">
        <v>3249</v>
      </c>
      <c r="F407" s="117">
        <f>AB407*$AF$3</f>
        <v>5337136.3949999996</v>
      </c>
      <c r="G407" s="117" t="s">
        <v>843</v>
      </c>
      <c r="H407" s="117" t="s">
        <v>843</v>
      </c>
      <c r="I407" s="117">
        <v>7368</v>
      </c>
      <c r="J407" s="117">
        <v>8073</v>
      </c>
      <c r="K407" s="117">
        <v>22614</v>
      </c>
      <c r="L407" s="117">
        <v>20358</v>
      </c>
      <c r="M407" s="117">
        <v>683</v>
      </c>
      <c r="N407" s="117">
        <v>1668</v>
      </c>
      <c r="O407" s="117">
        <v>5733</v>
      </c>
      <c r="P407" s="117">
        <v>4943</v>
      </c>
      <c r="Q407" s="117">
        <v>4930</v>
      </c>
      <c r="R407" s="117">
        <v>6469</v>
      </c>
      <c r="S407" s="117">
        <v>2890</v>
      </c>
      <c r="T407" s="117">
        <v>2210</v>
      </c>
      <c r="U407" s="117">
        <v>4906</v>
      </c>
      <c r="V407" s="117">
        <v>4954</v>
      </c>
      <c r="W407" s="117">
        <v>3065</v>
      </c>
      <c r="X407" s="117">
        <v>3121</v>
      </c>
      <c r="Y407" s="117">
        <v>1167</v>
      </c>
      <c r="Z407" s="117" t="s">
        <v>843</v>
      </c>
      <c r="AA407" s="117">
        <v>19711</v>
      </c>
      <c r="AB407" s="117">
        <v>19959</v>
      </c>
      <c r="AC407" s="117">
        <v>20457</v>
      </c>
      <c r="AD407" s="117">
        <v>79408</v>
      </c>
      <c r="AE407" s="117">
        <v>62558</v>
      </c>
      <c r="AF407"/>
      <c r="AG407"/>
    </row>
    <row r="408" spans="1:33" x14ac:dyDescent="0.2">
      <c r="A408" s="117" t="s">
        <v>603</v>
      </c>
      <c r="B408" s="117" t="s">
        <v>384</v>
      </c>
      <c r="C408" s="117">
        <f t="shared" si="181"/>
        <v>1614.625</v>
      </c>
      <c r="D408" s="117">
        <f t="shared" si="181"/>
        <v>1936.5</v>
      </c>
      <c r="E408" s="117">
        <v>2021</v>
      </c>
      <c r="F408" s="117">
        <f>AB408*$AF$3</f>
        <v>3745007.0249999994</v>
      </c>
      <c r="G408" s="117" t="s">
        <v>843</v>
      </c>
      <c r="H408" s="117" t="s">
        <v>843</v>
      </c>
      <c r="I408" s="117">
        <v>2746</v>
      </c>
      <c r="J408" s="117">
        <v>2796</v>
      </c>
      <c r="K408" s="117">
        <v>3974</v>
      </c>
      <c r="L408" s="117">
        <v>5257</v>
      </c>
      <c r="M408" s="117">
        <v>885</v>
      </c>
      <c r="N408" s="117">
        <v>1080</v>
      </c>
      <c r="O408" s="117">
        <v>1195</v>
      </c>
      <c r="P408" s="117">
        <v>1290</v>
      </c>
      <c r="Q408" s="117">
        <v>1199</v>
      </c>
      <c r="R408" s="117">
        <v>969</v>
      </c>
      <c r="S408" s="117">
        <v>3137</v>
      </c>
      <c r="T408" s="117">
        <v>2987</v>
      </c>
      <c r="U408" s="117">
        <v>-222</v>
      </c>
      <c r="V408" s="117">
        <v>577</v>
      </c>
      <c r="W408" s="117">
        <v>3</v>
      </c>
      <c r="X408" s="117">
        <v>536</v>
      </c>
      <c r="Y408" s="117">
        <v>1500</v>
      </c>
      <c r="Z408" s="117" t="s">
        <v>843</v>
      </c>
      <c r="AA408" s="117">
        <v>13839</v>
      </c>
      <c r="AB408" s="117">
        <v>14005</v>
      </c>
      <c r="AC408" s="117">
        <v>14023</v>
      </c>
      <c r="AD408" s="117">
        <v>28456</v>
      </c>
      <c r="AE408" s="117">
        <v>30027</v>
      </c>
    </row>
    <row r="409" spans="1:33" x14ac:dyDescent="0.2">
      <c r="A409" s="117" t="s">
        <v>603</v>
      </c>
      <c r="B409" s="117" t="s">
        <v>356</v>
      </c>
      <c r="C409" s="117">
        <f t="shared" si="181"/>
        <v>2530.75</v>
      </c>
      <c r="D409" s="117">
        <f t="shared" si="181"/>
        <v>2697.875</v>
      </c>
      <c r="E409" s="117">
        <v>1664</v>
      </c>
      <c r="F409" s="117">
        <f>AB409*$AF$3</f>
        <v>5622457.5299999993</v>
      </c>
      <c r="G409" s="117" t="s">
        <v>843</v>
      </c>
      <c r="H409" s="117" t="s">
        <v>843</v>
      </c>
      <c r="I409" s="117">
        <v>2970</v>
      </c>
      <c r="J409" s="117">
        <v>2958</v>
      </c>
      <c r="K409" s="117">
        <v>4346</v>
      </c>
      <c r="L409" s="117">
        <v>4433</v>
      </c>
      <c r="M409" s="117">
        <v>4301</v>
      </c>
      <c r="N409" s="117">
        <v>5126</v>
      </c>
      <c r="O409" s="117">
        <v>5980</v>
      </c>
      <c r="P409" s="117">
        <v>7219</v>
      </c>
      <c r="Q409" s="117">
        <v>1</v>
      </c>
      <c r="R409" s="117">
        <v>37</v>
      </c>
      <c r="S409" s="117">
        <v>509</v>
      </c>
      <c r="T409" s="117">
        <v>511</v>
      </c>
      <c r="U409" s="117">
        <v>557</v>
      </c>
      <c r="V409" s="117">
        <v>47</v>
      </c>
      <c r="W409" s="117">
        <v>1582</v>
      </c>
      <c r="X409" s="117">
        <v>1252</v>
      </c>
      <c r="Y409" s="117">
        <v>8455</v>
      </c>
      <c r="Z409" s="117" t="s">
        <v>843</v>
      </c>
      <c r="AA409" s="117">
        <v>20905</v>
      </c>
      <c r="AB409" s="117">
        <v>21026</v>
      </c>
      <c r="AC409" s="117">
        <v>21223</v>
      </c>
      <c r="AD409" s="117">
        <v>44309</v>
      </c>
      <c r="AE409" s="117">
        <v>46983</v>
      </c>
    </row>
    <row r="410" spans="1:33" x14ac:dyDescent="0.2">
      <c r="A410" s="117" t="s">
        <v>606</v>
      </c>
      <c r="B410" s="117" t="s">
        <v>752</v>
      </c>
      <c r="C410" s="117">
        <f>SUM(C407:C409)</f>
        <v>10669</v>
      </c>
      <c r="D410" s="117">
        <f t="shared" ref="D410:F410" si="182">SUM(D407:D409)</f>
        <v>11108.875</v>
      </c>
      <c r="E410" s="117">
        <f t="shared" si="182"/>
        <v>6934</v>
      </c>
      <c r="F410" s="117">
        <f t="shared" si="182"/>
        <v>14704600.949999997</v>
      </c>
      <c r="I410" s="117">
        <f>SUM(I407:I409)</f>
        <v>13084</v>
      </c>
      <c r="J410" s="117">
        <f t="shared" ref="J410:AB410" si="183">SUM(J407:J409)</f>
        <v>13827</v>
      </c>
      <c r="K410" s="117">
        <f t="shared" si="183"/>
        <v>30934</v>
      </c>
      <c r="L410" s="117">
        <f t="shared" si="183"/>
        <v>30048</v>
      </c>
      <c r="M410" s="117">
        <f t="shared" si="183"/>
        <v>5869</v>
      </c>
      <c r="N410" s="117">
        <f t="shared" si="183"/>
        <v>7874</v>
      </c>
      <c r="O410" s="117">
        <f t="shared" si="183"/>
        <v>12908</v>
      </c>
      <c r="P410" s="117">
        <f t="shared" si="183"/>
        <v>13452</v>
      </c>
      <c r="Q410" s="117">
        <f t="shared" si="183"/>
        <v>6130</v>
      </c>
      <c r="R410" s="117">
        <f t="shared" si="183"/>
        <v>7475</v>
      </c>
      <c r="S410" s="117">
        <f t="shared" si="183"/>
        <v>6536</v>
      </c>
      <c r="T410" s="117">
        <f t="shared" si="183"/>
        <v>5708</v>
      </c>
      <c r="U410" s="117">
        <f t="shared" si="183"/>
        <v>5241</v>
      </c>
      <c r="V410" s="117">
        <f t="shared" si="183"/>
        <v>5578</v>
      </c>
      <c r="W410" s="117">
        <f t="shared" si="183"/>
        <v>4650</v>
      </c>
      <c r="X410" s="117">
        <f t="shared" si="183"/>
        <v>4909</v>
      </c>
      <c r="Y410" s="117">
        <f t="shared" si="183"/>
        <v>11122</v>
      </c>
      <c r="Z410" s="117">
        <f t="shared" si="183"/>
        <v>0</v>
      </c>
      <c r="AA410" s="117">
        <f t="shared" si="183"/>
        <v>54455</v>
      </c>
      <c r="AB410" s="117">
        <f t="shared" si="183"/>
        <v>54990</v>
      </c>
      <c r="AC410" s="117">
        <v>21223</v>
      </c>
      <c r="AD410" s="117">
        <v>44309</v>
      </c>
      <c r="AE410" s="117">
        <v>46983</v>
      </c>
    </row>
    <row r="412" spans="1:33" x14ac:dyDescent="0.2">
      <c r="A412" s="117" t="s">
        <v>601</v>
      </c>
      <c r="B412" s="117" t="s">
        <v>238</v>
      </c>
      <c r="C412" s="117">
        <f t="shared" ref="C412:D414" si="184">SUM(I412,K412,M412,O412,Q412,S412,U412,W412)/8</f>
        <v>1907.875</v>
      </c>
      <c r="D412" s="117">
        <f t="shared" si="184"/>
        <v>2320.375</v>
      </c>
      <c r="E412" s="117">
        <v>1101</v>
      </c>
      <c r="F412" s="117">
        <f>AB412*$AF$3</f>
        <v>3316089.4049999998</v>
      </c>
      <c r="G412" s="117" t="s">
        <v>843</v>
      </c>
      <c r="H412" s="117" t="s">
        <v>843</v>
      </c>
      <c r="I412" s="117">
        <v>2803</v>
      </c>
      <c r="J412" s="117">
        <v>3619</v>
      </c>
      <c r="K412" s="117">
        <v>1587</v>
      </c>
      <c r="L412" s="117">
        <v>839</v>
      </c>
      <c r="M412" s="117">
        <v>2678</v>
      </c>
      <c r="N412" s="117">
        <v>5133</v>
      </c>
      <c r="O412" s="117">
        <v>372</v>
      </c>
      <c r="P412" s="117">
        <v>474</v>
      </c>
      <c r="Q412" s="117">
        <v>537</v>
      </c>
      <c r="R412" s="117">
        <v>691</v>
      </c>
      <c r="S412" s="117">
        <v>1046</v>
      </c>
      <c r="T412" s="117">
        <v>1250</v>
      </c>
      <c r="U412" s="117">
        <v>1964</v>
      </c>
      <c r="V412" s="117">
        <v>2631</v>
      </c>
      <c r="W412" s="117">
        <v>4276</v>
      </c>
      <c r="X412" s="117">
        <v>3926</v>
      </c>
      <c r="Y412" s="117">
        <v>1884</v>
      </c>
      <c r="Z412" s="117" t="s">
        <v>843</v>
      </c>
      <c r="AA412" s="117">
        <v>12342</v>
      </c>
      <c r="AB412" s="117">
        <v>12401</v>
      </c>
      <c r="AC412" s="117">
        <v>12481</v>
      </c>
      <c r="AD412" s="117">
        <v>21837</v>
      </c>
      <c r="AE412" s="117">
        <v>23599</v>
      </c>
    </row>
    <row r="413" spans="1:33" x14ac:dyDescent="0.2">
      <c r="A413" s="117" t="s">
        <v>601</v>
      </c>
      <c r="B413" s="117" t="s">
        <v>227</v>
      </c>
      <c r="C413" s="117">
        <f t="shared" si="184"/>
        <v>11332.75</v>
      </c>
      <c r="D413" s="117">
        <f t="shared" si="184"/>
        <v>13951.5</v>
      </c>
      <c r="E413" s="117">
        <v>1247</v>
      </c>
      <c r="F413" s="117">
        <f>AB413*$AF$3</f>
        <v>7172604.3149999995</v>
      </c>
      <c r="G413" s="117" t="s">
        <v>843</v>
      </c>
      <c r="H413" s="117" t="s">
        <v>843</v>
      </c>
      <c r="I413" s="117">
        <v>9084</v>
      </c>
      <c r="J413" s="117">
        <v>10466</v>
      </c>
      <c r="K413" s="117">
        <v>18093</v>
      </c>
      <c r="L413" s="117">
        <v>18753</v>
      </c>
      <c r="M413" s="117">
        <v>15081</v>
      </c>
      <c r="N413" s="117">
        <v>36739</v>
      </c>
      <c r="O413" s="117">
        <v>5948</v>
      </c>
      <c r="P413" s="117">
        <v>12235</v>
      </c>
      <c r="Q413" s="117">
        <v>5067</v>
      </c>
      <c r="R413" s="117">
        <v>5309</v>
      </c>
      <c r="S413" s="117">
        <v>18626</v>
      </c>
      <c r="T413" s="117">
        <v>17762</v>
      </c>
      <c r="U413" s="117">
        <v>9942</v>
      </c>
      <c r="V413" s="117">
        <v>4304</v>
      </c>
      <c r="W413" s="117">
        <v>8821</v>
      </c>
      <c r="X413" s="117">
        <v>6044</v>
      </c>
      <c r="Y413" s="117">
        <v>3002</v>
      </c>
      <c r="Z413" s="117" t="s">
        <v>843</v>
      </c>
      <c r="AA413" s="117">
        <v>26599</v>
      </c>
      <c r="AB413" s="117">
        <v>26823</v>
      </c>
      <c r="AC413" s="117">
        <v>26990</v>
      </c>
      <c r="AD413" s="117">
        <v>66907</v>
      </c>
      <c r="AE413" s="117">
        <v>60657</v>
      </c>
    </row>
    <row r="414" spans="1:33" x14ac:dyDescent="0.2">
      <c r="A414" s="117" t="s">
        <v>601</v>
      </c>
      <c r="B414" s="117" t="s">
        <v>232</v>
      </c>
      <c r="C414" s="117">
        <f t="shared" si="184"/>
        <v>1907.5</v>
      </c>
      <c r="D414" s="117">
        <f t="shared" si="184"/>
        <v>1309</v>
      </c>
      <c r="E414" s="117">
        <v>1018</v>
      </c>
      <c r="F414" s="117">
        <f>AB414*$AF$3</f>
        <v>2978089.4849999999</v>
      </c>
      <c r="G414" s="117" t="s">
        <v>843</v>
      </c>
      <c r="H414" s="117" t="s">
        <v>843</v>
      </c>
      <c r="I414" s="117">
        <v>4024</v>
      </c>
      <c r="J414" s="117">
        <v>3221</v>
      </c>
      <c r="K414" s="117">
        <v>929</v>
      </c>
      <c r="L414" s="117">
        <v>80</v>
      </c>
      <c r="M414" s="117">
        <v>1642</v>
      </c>
      <c r="N414" s="117">
        <v>1547</v>
      </c>
      <c r="O414" s="117">
        <v>1941</v>
      </c>
      <c r="P414" s="117">
        <v>1005</v>
      </c>
      <c r="Q414" s="117">
        <v>1090</v>
      </c>
      <c r="R414" s="117">
        <v>836</v>
      </c>
      <c r="S414" s="117">
        <v>1100</v>
      </c>
      <c r="T414" s="117">
        <v>792</v>
      </c>
      <c r="U414" s="117">
        <v>3547</v>
      </c>
      <c r="V414" s="117">
        <v>2086</v>
      </c>
      <c r="W414" s="117">
        <v>987</v>
      </c>
      <c r="X414" s="117">
        <v>905</v>
      </c>
      <c r="Y414" s="117">
        <v>1803</v>
      </c>
      <c r="Z414" s="117" t="s">
        <v>843</v>
      </c>
      <c r="AA414" s="117">
        <v>11164</v>
      </c>
      <c r="AB414" s="117">
        <v>11137</v>
      </c>
      <c r="AC414" s="117">
        <v>11190</v>
      </c>
      <c r="AD414" s="117">
        <v>14377</v>
      </c>
      <c r="AE414" s="117">
        <v>14083</v>
      </c>
    </row>
    <row r="415" spans="1:33" x14ac:dyDescent="0.2">
      <c r="A415" s="117" t="s">
        <v>601</v>
      </c>
      <c r="B415" s="117" t="s">
        <v>754</v>
      </c>
      <c r="C415" s="117">
        <f>SUM(C412:C414)</f>
        <v>15148.125</v>
      </c>
      <c r="D415" s="117">
        <f t="shared" ref="D415:F415" si="185">SUM(D412:D414)</f>
        <v>17580.875</v>
      </c>
      <c r="E415" s="117">
        <f t="shared" si="185"/>
        <v>3366</v>
      </c>
      <c r="F415" s="117">
        <f t="shared" si="185"/>
        <v>13466783.204999998</v>
      </c>
      <c r="I415" s="117">
        <f>SUM(I412:I414)</f>
        <v>15911</v>
      </c>
      <c r="J415" s="117">
        <f t="shared" ref="J415:AB415" si="186">SUM(J412:J414)</f>
        <v>17306</v>
      </c>
      <c r="K415" s="117">
        <f t="shared" si="186"/>
        <v>20609</v>
      </c>
      <c r="L415" s="117">
        <f t="shared" si="186"/>
        <v>19672</v>
      </c>
      <c r="M415" s="117">
        <f t="shared" si="186"/>
        <v>19401</v>
      </c>
      <c r="N415" s="117">
        <f t="shared" si="186"/>
        <v>43419</v>
      </c>
      <c r="O415" s="117">
        <f t="shared" si="186"/>
        <v>8261</v>
      </c>
      <c r="P415" s="117">
        <f t="shared" si="186"/>
        <v>13714</v>
      </c>
      <c r="Q415" s="117">
        <f t="shared" si="186"/>
        <v>6694</v>
      </c>
      <c r="R415" s="117">
        <f t="shared" si="186"/>
        <v>6836</v>
      </c>
      <c r="S415" s="117">
        <f t="shared" si="186"/>
        <v>20772</v>
      </c>
      <c r="T415" s="117">
        <f t="shared" si="186"/>
        <v>19804</v>
      </c>
      <c r="U415" s="117">
        <f t="shared" si="186"/>
        <v>15453</v>
      </c>
      <c r="V415" s="117">
        <f t="shared" si="186"/>
        <v>9021</v>
      </c>
      <c r="W415" s="117">
        <f t="shared" si="186"/>
        <v>14084</v>
      </c>
      <c r="X415" s="117">
        <f t="shared" si="186"/>
        <v>10875</v>
      </c>
      <c r="Y415" s="117">
        <f t="shared" si="186"/>
        <v>6689</v>
      </c>
      <c r="Z415" s="117">
        <f t="shared" si="186"/>
        <v>0</v>
      </c>
      <c r="AA415" s="117">
        <f t="shared" si="186"/>
        <v>50105</v>
      </c>
      <c r="AB415" s="117">
        <f t="shared" si="186"/>
        <v>50361</v>
      </c>
      <c r="AC415" s="117">
        <v>50661</v>
      </c>
      <c r="AD415" s="117">
        <v>103121</v>
      </c>
      <c r="AE415" s="117">
        <v>98339</v>
      </c>
    </row>
    <row r="417" spans="1:31" x14ac:dyDescent="0.2">
      <c r="A417" s="117" t="s">
        <v>607</v>
      </c>
      <c r="B417" s="117" t="s">
        <v>152</v>
      </c>
      <c r="C417" s="117">
        <f t="shared" ref="C417:D420" si="187">SUM(I417,K417,M417,O417,Q417,S417,U417,W417)/8</f>
        <v>6393.125</v>
      </c>
      <c r="D417" s="117">
        <f t="shared" si="187"/>
        <v>6611.875</v>
      </c>
      <c r="E417" s="117">
        <v>4411</v>
      </c>
      <c r="F417" s="117">
        <f>AB417*$AF$3</f>
        <v>5261460.7799999993</v>
      </c>
      <c r="G417" s="117" t="s">
        <v>843</v>
      </c>
      <c r="H417" s="117" t="s">
        <v>843</v>
      </c>
      <c r="I417" s="117">
        <v>10016</v>
      </c>
      <c r="J417" s="117">
        <v>9522</v>
      </c>
      <c r="K417" s="117">
        <v>7623</v>
      </c>
      <c r="L417" s="117">
        <v>9251</v>
      </c>
      <c r="M417" s="117">
        <v>6333</v>
      </c>
      <c r="N417" s="117">
        <v>6705</v>
      </c>
      <c r="O417" s="117">
        <v>5059</v>
      </c>
      <c r="P417" s="117">
        <v>4624</v>
      </c>
      <c r="Q417" s="117">
        <v>4007</v>
      </c>
      <c r="R417" s="117">
        <v>4363</v>
      </c>
      <c r="S417" s="117">
        <v>4371</v>
      </c>
      <c r="T417" s="117">
        <v>4482</v>
      </c>
      <c r="U417" s="117">
        <v>8680</v>
      </c>
      <c r="V417" s="117">
        <v>8782</v>
      </c>
      <c r="W417" s="117">
        <v>5056</v>
      </c>
      <c r="X417" s="117">
        <v>5166</v>
      </c>
      <c r="Y417" s="117">
        <v>3858</v>
      </c>
      <c r="Z417" s="117" t="s">
        <v>843</v>
      </c>
      <c r="AA417" s="117">
        <v>19644</v>
      </c>
      <c r="AB417" s="117">
        <v>19676</v>
      </c>
      <c r="AC417" s="117">
        <v>19741</v>
      </c>
      <c r="AD417" s="117">
        <v>71037</v>
      </c>
      <c r="AE417" s="117">
        <v>70711</v>
      </c>
    </row>
    <row r="418" spans="1:31" x14ac:dyDescent="0.2">
      <c r="A418" s="117" t="s">
        <v>607</v>
      </c>
      <c r="B418" s="117" t="s">
        <v>149</v>
      </c>
      <c r="C418" s="117">
        <f t="shared" si="187"/>
        <v>1497.875</v>
      </c>
      <c r="D418" s="117">
        <f t="shared" si="187"/>
        <v>1475.25</v>
      </c>
      <c r="E418" s="117">
        <v>1781</v>
      </c>
      <c r="F418" s="117">
        <f>AB418*$AF$3</f>
        <v>3247366.32</v>
      </c>
      <c r="G418" s="117" t="s">
        <v>843</v>
      </c>
      <c r="H418" s="117" t="s">
        <v>843</v>
      </c>
      <c r="I418" s="117">
        <v>3825</v>
      </c>
      <c r="J418" s="117">
        <v>3770</v>
      </c>
      <c r="K418" s="117">
        <v>1708</v>
      </c>
      <c r="L418" s="117">
        <v>3012</v>
      </c>
      <c r="M418" s="117">
        <v>2047</v>
      </c>
      <c r="N418" s="117">
        <v>1407</v>
      </c>
      <c r="O418" s="117">
        <v>688</v>
      </c>
      <c r="P418" s="117">
        <v>439</v>
      </c>
      <c r="Q418" s="117">
        <v>755</v>
      </c>
      <c r="R418" s="117">
        <v>605</v>
      </c>
      <c r="S418" s="117">
        <v>730</v>
      </c>
      <c r="T418" s="117">
        <v>585</v>
      </c>
      <c r="U418" s="117">
        <v>702</v>
      </c>
      <c r="V418" s="117">
        <v>602</v>
      </c>
      <c r="W418" s="117">
        <v>1528</v>
      </c>
      <c r="X418" s="117">
        <v>1382</v>
      </c>
      <c r="Y418" s="117">
        <v>170</v>
      </c>
      <c r="Z418" s="117" t="s">
        <v>843</v>
      </c>
      <c r="AA418" s="117">
        <v>12166</v>
      </c>
      <c r="AB418" s="117">
        <v>12144</v>
      </c>
      <c r="AC418" s="117">
        <v>12174</v>
      </c>
      <c r="AD418" s="117">
        <v>32551</v>
      </c>
      <c r="AE418" s="117">
        <v>31472</v>
      </c>
    </row>
    <row r="419" spans="1:31" x14ac:dyDescent="0.2">
      <c r="A419" s="117" t="s">
        <v>607</v>
      </c>
      <c r="B419" s="117" t="s">
        <v>154</v>
      </c>
      <c r="C419" s="117">
        <f t="shared" si="187"/>
        <v>1306.375</v>
      </c>
      <c r="D419" s="117">
        <f t="shared" si="187"/>
        <v>1187.5</v>
      </c>
      <c r="E419" s="117">
        <v>977</v>
      </c>
      <c r="F419" s="117">
        <f>AB419*$AF$3</f>
        <v>2805078.4499999997</v>
      </c>
      <c r="G419" s="117" t="s">
        <v>843</v>
      </c>
      <c r="H419" s="117" t="s">
        <v>843</v>
      </c>
      <c r="I419" s="117">
        <v>974</v>
      </c>
      <c r="J419" s="117">
        <v>790</v>
      </c>
      <c r="K419" s="117">
        <v>1113</v>
      </c>
      <c r="L419" s="117">
        <v>996</v>
      </c>
      <c r="M419" s="117">
        <v>1022</v>
      </c>
      <c r="N419" s="117">
        <v>1564</v>
      </c>
      <c r="O419" s="117">
        <v>468</v>
      </c>
      <c r="P419" s="117">
        <v>461</v>
      </c>
      <c r="Q419" s="117">
        <v>1017</v>
      </c>
      <c r="R419" s="117">
        <v>1023</v>
      </c>
      <c r="S419" s="117">
        <v>1275</v>
      </c>
      <c r="T419" s="117">
        <v>836</v>
      </c>
      <c r="U419" s="117">
        <v>2431</v>
      </c>
      <c r="V419" s="117">
        <v>2022</v>
      </c>
      <c r="W419" s="117">
        <v>2151</v>
      </c>
      <c r="X419" s="117">
        <v>1808</v>
      </c>
      <c r="Y419" s="117">
        <v>2214</v>
      </c>
      <c r="Z419" s="117" t="s">
        <v>843</v>
      </c>
      <c r="AA419" s="117">
        <v>10394</v>
      </c>
      <c r="AB419" s="117">
        <v>10490</v>
      </c>
      <c r="AC419" s="117">
        <v>10482</v>
      </c>
      <c r="AD419" s="117">
        <v>20235</v>
      </c>
      <c r="AE419" s="117">
        <v>24062</v>
      </c>
    </row>
    <row r="420" spans="1:31" x14ac:dyDescent="0.2">
      <c r="A420" s="117" t="s">
        <v>607</v>
      </c>
      <c r="B420" s="117" t="s">
        <v>164</v>
      </c>
      <c r="C420" s="117">
        <f t="shared" si="187"/>
        <v>2545.875</v>
      </c>
      <c r="D420" s="117">
        <f t="shared" si="187"/>
        <v>2523.625</v>
      </c>
      <c r="E420" s="117">
        <v>2780</v>
      </c>
      <c r="F420" s="117">
        <f>AB420*$AF$3</f>
        <v>5060104.8149999995</v>
      </c>
      <c r="G420" s="117" t="s">
        <v>843</v>
      </c>
      <c r="H420" s="117" t="s">
        <v>843</v>
      </c>
      <c r="I420" s="117">
        <v>4053</v>
      </c>
      <c r="J420" s="117">
        <v>3728</v>
      </c>
      <c r="K420" s="117">
        <v>1490</v>
      </c>
      <c r="L420" s="117">
        <v>1539</v>
      </c>
      <c r="M420" s="117">
        <v>3187</v>
      </c>
      <c r="N420" s="117">
        <v>4131</v>
      </c>
      <c r="O420" s="117">
        <v>1263</v>
      </c>
      <c r="P420" s="117">
        <v>1335</v>
      </c>
      <c r="Q420" s="117">
        <v>4742</v>
      </c>
      <c r="R420" s="117">
        <v>4915</v>
      </c>
      <c r="S420" s="117">
        <v>961</v>
      </c>
      <c r="T420" s="117">
        <v>1158</v>
      </c>
      <c r="U420" s="117">
        <v>2487</v>
      </c>
      <c r="V420" s="117">
        <v>1543</v>
      </c>
      <c r="W420" s="117">
        <v>2184</v>
      </c>
      <c r="X420" s="117">
        <v>1840</v>
      </c>
      <c r="Y420" s="117">
        <v>3105</v>
      </c>
      <c r="Z420" s="117" t="s">
        <v>843</v>
      </c>
      <c r="AA420" s="117">
        <v>18863</v>
      </c>
      <c r="AB420" s="117">
        <v>18923</v>
      </c>
      <c r="AC420" s="117">
        <v>19067</v>
      </c>
      <c r="AD420" s="117">
        <v>48887</v>
      </c>
      <c r="AE420" s="117">
        <v>48463</v>
      </c>
    </row>
    <row r="421" spans="1:31" x14ac:dyDescent="0.2">
      <c r="A421" s="117" t="s">
        <v>607</v>
      </c>
      <c r="B421" s="117" t="s">
        <v>755</v>
      </c>
      <c r="C421" s="117">
        <f>SUM(C417:C420)</f>
        <v>11743.25</v>
      </c>
      <c r="D421" s="117">
        <f t="shared" ref="D421:F421" si="188">SUM(D417:D420)</f>
        <v>11798.25</v>
      </c>
      <c r="E421" s="117">
        <f t="shared" si="188"/>
        <v>9949</v>
      </c>
      <c r="F421" s="117">
        <f t="shared" si="188"/>
        <v>16374010.364999998</v>
      </c>
      <c r="I421" s="117">
        <f>SUM(I417:I420)</f>
        <v>18868</v>
      </c>
      <c r="J421" s="117">
        <f t="shared" ref="J421:AB421" si="189">SUM(J417:J420)</f>
        <v>17810</v>
      </c>
      <c r="K421" s="117">
        <f t="shared" si="189"/>
        <v>11934</v>
      </c>
      <c r="L421" s="117">
        <f t="shared" si="189"/>
        <v>14798</v>
      </c>
      <c r="M421" s="117">
        <f t="shared" si="189"/>
        <v>12589</v>
      </c>
      <c r="N421" s="117">
        <f t="shared" si="189"/>
        <v>13807</v>
      </c>
      <c r="O421" s="117">
        <f t="shared" si="189"/>
        <v>7478</v>
      </c>
      <c r="P421" s="117">
        <f t="shared" si="189"/>
        <v>6859</v>
      </c>
      <c r="Q421" s="117">
        <f t="shared" si="189"/>
        <v>10521</v>
      </c>
      <c r="R421" s="117">
        <f t="shared" si="189"/>
        <v>10906</v>
      </c>
      <c r="S421" s="117">
        <f t="shared" si="189"/>
        <v>7337</v>
      </c>
      <c r="T421" s="117">
        <f t="shared" si="189"/>
        <v>7061</v>
      </c>
      <c r="U421" s="117">
        <f t="shared" si="189"/>
        <v>14300</v>
      </c>
      <c r="V421" s="117">
        <f t="shared" si="189"/>
        <v>12949</v>
      </c>
      <c r="W421" s="117">
        <f t="shared" si="189"/>
        <v>10919</v>
      </c>
      <c r="X421" s="117">
        <f t="shared" si="189"/>
        <v>10196</v>
      </c>
      <c r="Y421" s="117">
        <f t="shared" si="189"/>
        <v>9347</v>
      </c>
      <c r="Z421" s="117">
        <f t="shared" si="189"/>
        <v>0</v>
      </c>
      <c r="AA421" s="117">
        <f t="shared" si="189"/>
        <v>61067</v>
      </c>
      <c r="AB421" s="117">
        <f t="shared" si="189"/>
        <v>61233</v>
      </c>
      <c r="AC421" s="117">
        <v>61464</v>
      </c>
      <c r="AD421" s="117">
        <v>172710</v>
      </c>
      <c r="AE421" s="117">
        <v>174708</v>
      </c>
    </row>
  </sheetData>
  <sheetProtection algorithmName="SHA-512" hashValue="ooHL1wl+VXAM0GzfOGNjphaH2vxcrEi+pSPwX994gakRO8PBIaqQqY098y3Iin6TVgiz81O05R6JDVQYLlmikA==" saltValue="jjtBQmEPdqWjSuCaC9AfMw==" spinCount="100000" sheet="1" objects="1" scenarios="1" selectLockedCells="1"/>
  <pageMargins left="0.7" right="0.7" top="0.75" bottom="0.75" header="0.3" footer="0.3"/>
  <pageSetup paperSize="9" orientation="portrait" horizontalDpi="4294967293" verticalDpi="4294967293"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415"/>
  <sheetViews>
    <sheetView topLeftCell="A260" workbookViewId="0">
      <selection activeCell="A295" sqref="A295"/>
    </sheetView>
  </sheetViews>
  <sheetFormatPr defaultRowHeight="13.2" x14ac:dyDescent="0.25"/>
  <cols>
    <col min="1" max="1" width="28.109375" bestFit="1" customWidth="1"/>
    <col min="2" max="2" width="23.44140625" bestFit="1" customWidth="1"/>
    <col min="3" max="3" width="19" bestFit="1" customWidth="1"/>
    <col min="4" max="4" width="28.88671875" bestFit="1" customWidth="1"/>
    <col min="5" max="5" width="34.33203125" bestFit="1" customWidth="1"/>
    <col min="6" max="6" width="28.109375" bestFit="1" customWidth="1"/>
    <col min="7" max="7" width="25" bestFit="1" customWidth="1"/>
    <col min="8" max="8" width="32.88671875" bestFit="1" customWidth="1"/>
    <col min="9" max="9" width="9.109375" bestFit="1" customWidth="1"/>
    <col min="10" max="10" width="23.6640625" bestFit="1" customWidth="1"/>
    <col min="11" max="11" width="17.5546875" bestFit="1" customWidth="1"/>
    <col min="12" max="12" width="26" bestFit="1" customWidth="1"/>
    <col min="13" max="13" width="24.109375" bestFit="1" customWidth="1"/>
    <col min="14" max="14" width="24" bestFit="1" customWidth="1"/>
    <col min="15" max="15" width="26" bestFit="1" customWidth="1"/>
    <col min="16" max="16" width="24.109375" bestFit="1" customWidth="1"/>
    <col min="17" max="17" width="27" bestFit="1" customWidth="1"/>
    <col min="18" max="18" width="26.6640625" bestFit="1" customWidth="1"/>
    <col min="19" max="19" width="12.6640625" bestFit="1" customWidth="1"/>
    <col min="20" max="20" width="9.109375" bestFit="1" customWidth="1"/>
    <col min="21" max="21" width="28.6640625" bestFit="1" customWidth="1"/>
    <col min="22" max="22" width="40.109375" bestFit="1" customWidth="1"/>
    <col min="23" max="23" width="43.6640625" bestFit="1" customWidth="1"/>
    <col min="24" max="24" width="18.33203125" bestFit="1" customWidth="1"/>
    <col min="25" max="25" width="24.44140625" bestFit="1" customWidth="1"/>
    <col min="26" max="26" width="24.88671875" bestFit="1" customWidth="1"/>
    <col min="27" max="27" width="26.33203125" bestFit="1" customWidth="1"/>
    <col min="28" max="28" width="19.6640625" bestFit="1" customWidth="1"/>
    <col min="29" max="29" width="43.33203125" bestFit="1" customWidth="1"/>
    <col min="30" max="30" width="34" bestFit="1" customWidth="1"/>
    <col min="31" max="31" width="27.6640625" bestFit="1" customWidth="1"/>
    <col min="32" max="32" width="30.5546875" bestFit="1" customWidth="1"/>
    <col min="33" max="33" width="21.33203125" bestFit="1" customWidth="1"/>
    <col min="34" max="34" width="31.6640625" bestFit="1" customWidth="1"/>
    <col min="35" max="35" width="32.33203125" bestFit="1" customWidth="1"/>
    <col min="36" max="36" width="31.6640625" bestFit="1" customWidth="1"/>
    <col min="37" max="37" width="32.33203125" bestFit="1" customWidth="1"/>
    <col min="38" max="38" width="22.44140625" style="232" bestFit="1" customWidth="1"/>
    <col min="39" max="40" width="20.6640625" style="232" bestFit="1" customWidth="1"/>
    <col min="43" max="43" width="29.33203125" bestFit="1" customWidth="1"/>
    <col min="44" max="44" width="35.109375" bestFit="1" customWidth="1"/>
    <col min="45" max="45" width="35.109375" customWidth="1"/>
    <col min="46" max="46" width="35.6640625" bestFit="1" customWidth="1"/>
    <col min="47" max="47" width="11" bestFit="1" customWidth="1"/>
  </cols>
  <sheetData>
    <row r="1" spans="1:35" x14ac:dyDescent="0.25">
      <c r="A1" t="s">
        <v>612</v>
      </c>
      <c r="B1" s="153" t="s">
        <v>898</v>
      </c>
      <c r="C1" s="153" t="s">
        <v>899</v>
      </c>
      <c r="D1" s="153" t="s">
        <v>900</v>
      </c>
      <c r="E1" s="153" t="s">
        <v>901</v>
      </c>
      <c r="F1" s="153" t="s">
        <v>902</v>
      </c>
      <c r="G1" s="153" t="s">
        <v>903</v>
      </c>
      <c r="H1" s="153" t="s">
        <v>904</v>
      </c>
      <c r="I1" s="153" t="s">
        <v>905</v>
      </c>
      <c r="J1" s="153" t="s">
        <v>906</v>
      </c>
      <c r="K1" s="153"/>
      <c r="L1" s="153" t="s">
        <v>907</v>
      </c>
      <c r="M1" t="s">
        <v>908</v>
      </c>
      <c r="N1" t="s">
        <v>909</v>
      </c>
      <c r="O1" s="153" t="s">
        <v>910</v>
      </c>
      <c r="P1" t="s">
        <v>911</v>
      </c>
      <c r="Q1" t="s">
        <v>912</v>
      </c>
      <c r="AH1" s="153"/>
      <c r="AI1" s="153"/>
    </row>
    <row r="2" spans="1:35" x14ac:dyDescent="0.25">
      <c r="A2" t="s">
        <v>129</v>
      </c>
      <c r="B2" s="153">
        <v>35906031</v>
      </c>
      <c r="C2" s="153">
        <v>33251911</v>
      </c>
      <c r="D2" s="153">
        <v>2336901</v>
      </c>
      <c r="E2" s="153">
        <v>0</v>
      </c>
      <c r="F2" s="153">
        <v>101149</v>
      </c>
      <c r="G2" s="153">
        <v>216070</v>
      </c>
      <c r="H2" s="153">
        <v>5104472</v>
      </c>
      <c r="I2" s="153">
        <v>14452</v>
      </c>
      <c r="J2" s="153">
        <v>61652</v>
      </c>
      <c r="K2" s="153"/>
      <c r="L2" s="153">
        <f>SUM(-M2,N2)</f>
        <v>57004</v>
      </c>
      <c r="M2" s="153">
        <v>4424</v>
      </c>
      <c r="N2" s="153">
        <v>61428</v>
      </c>
      <c r="O2" s="153">
        <f>SUM(-P2,Q2)</f>
        <v>52974</v>
      </c>
      <c r="P2" s="153">
        <v>1391</v>
      </c>
      <c r="Q2" s="153">
        <v>54365</v>
      </c>
      <c r="R2" s="153"/>
      <c r="S2" s="153"/>
      <c r="T2" s="153"/>
      <c r="U2" s="153"/>
      <c r="V2" s="153"/>
      <c r="W2" s="153"/>
      <c r="X2" s="153"/>
      <c r="Y2" s="153"/>
      <c r="Z2" s="153"/>
      <c r="AA2" s="153"/>
      <c r="AB2" s="153"/>
      <c r="AC2" s="153"/>
      <c r="AD2" s="153"/>
      <c r="AE2" s="153"/>
      <c r="AF2" s="153"/>
      <c r="AG2" s="153"/>
      <c r="AH2" s="153"/>
      <c r="AI2" s="153"/>
    </row>
    <row r="3" spans="1:35" x14ac:dyDescent="0.25">
      <c r="A3" t="s">
        <v>287</v>
      </c>
      <c r="B3" s="153">
        <v>33222933.717335045</v>
      </c>
      <c r="C3" s="153">
        <v>31582364.717335045</v>
      </c>
      <c r="D3" s="153">
        <v>416477</v>
      </c>
      <c r="E3" s="153">
        <v>0</v>
      </c>
      <c r="F3" s="153">
        <v>930206</v>
      </c>
      <c r="G3" s="153">
        <v>293886</v>
      </c>
      <c r="H3" s="153">
        <v>3876078</v>
      </c>
      <c r="I3" s="153">
        <v>1489</v>
      </c>
      <c r="J3" s="153">
        <v>163452</v>
      </c>
      <c r="K3" s="153"/>
      <c r="L3" s="153">
        <f t="shared" ref="L3:L66" si="0">SUM(-M3,N3)</f>
        <v>100920</v>
      </c>
      <c r="M3" s="153">
        <v>17859</v>
      </c>
      <c r="N3" s="153">
        <v>118779</v>
      </c>
      <c r="O3" s="153">
        <f t="shared" ref="O3:O66" si="1">SUM(-P3,Q3)</f>
        <v>74308</v>
      </c>
      <c r="P3" s="153">
        <v>8579</v>
      </c>
      <c r="Q3" s="153">
        <v>82887</v>
      </c>
      <c r="R3" s="153"/>
      <c r="S3" s="153"/>
      <c r="T3" s="153"/>
      <c r="U3" s="153"/>
      <c r="V3" s="153"/>
      <c r="W3" s="153"/>
      <c r="X3" s="153"/>
      <c r="Y3" s="153"/>
      <c r="Z3" s="153"/>
      <c r="AA3" s="153"/>
      <c r="AB3" s="153"/>
      <c r="AC3" s="153"/>
      <c r="AD3" s="153"/>
      <c r="AE3" s="153"/>
      <c r="AF3" s="153"/>
      <c r="AG3" s="153"/>
      <c r="AH3" s="153"/>
      <c r="AI3" s="153"/>
    </row>
    <row r="4" spans="1:35" x14ac:dyDescent="0.25">
      <c r="A4" t="s">
        <v>209</v>
      </c>
      <c r="B4" s="153">
        <v>41923254.248539791</v>
      </c>
      <c r="C4" s="153">
        <v>35047481.248539791</v>
      </c>
      <c r="D4" s="153">
        <v>612983</v>
      </c>
      <c r="E4" s="153">
        <v>0</v>
      </c>
      <c r="F4" s="153">
        <v>6066545</v>
      </c>
      <c r="G4" s="153">
        <v>196245</v>
      </c>
      <c r="H4" s="153">
        <v>4454476</v>
      </c>
      <c r="I4" s="153">
        <v>3362</v>
      </c>
      <c r="J4" s="153">
        <v>278686</v>
      </c>
      <c r="K4" s="153"/>
      <c r="L4" s="153">
        <f t="shared" si="0"/>
        <v>59134</v>
      </c>
      <c r="M4">
        <v>578</v>
      </c>
      <c r="N4" s="153">
        <v>59712</v>
      </c>
      <c r="O4" s="153">
        <f t="shared" si="1"/>
        <v>57630</v>
      </c>
      <c r="P4" s="153">
        <v>4243</v>
      </c>
      <c r="Q4" s="153">
        <v>61873</v>
      </c>
      <c r="R4" s="153"/>
      <c r="S4" s="153"/>
      <c r="T4" s="153"/>
      <c r="U4" s="153"/>
      <c r="V4" s="153"/>
      <c r="W4" s="153"/>
      <c r="X4" s="153"/>
      <c r="Y4" s="153"/>
      <c r="Z4" s="153"/>
      <c r="AA4" s="153"/>
      <c r="AB4" s="153"/>
      <c r="AC4" s="153"/>
      <c r="AD4" s="153"/>
      <c r="AE4" s="153"/>
      <c r="AF4" s="153"/>
      <c r="AG4" s="153"/>
      <c r="AH4" s="153"/>
      <c r="AI4" s="153"/>
    </row>
    <row r="5" spans="1:35" x14ac:dyDescent="0.25">
      <c r="A5" t="s">
        <v>165</v>
      </c>
      <c r="B5" s="153">
        <v>47407212.818176188</v>
      </c>
      <c r="C5" s="153">
        <v>40736579.818176188</v>
      </c>
      <c r="D5" s="153">
        <v>1228734</v>
      </c>
      <c r="E5" s="153">
        <v>0</v>
      </c>
      <c r="F5" s="153">
        <v>4642807</v>
      </c>
      <c r="G5" s="153">
        <v>799092</v>
      </c>
      <c r="H5" s="153">
        <v>9763192</v>
      </c>
      <c r="I5" s="153">
        <v>7612</v>
      </c>
      <c r="J5" s="153">
        <v>773908</v>
      </c>
      <c r="K5" s="153"/>
      <c r="L5" s="153">
        <f t="shared" si="0"/>
        <v>77098</v>
      </c>
      <c r="M5">
        <v>434</v>
      </c>
      <c r="N5" s="153">
        <v>77532</v>
      </c>
      <c r="O5" s="153">
        <f t="shared" si="1"/>
        <v>75144</v>
      </c>
      <c r="P5">
        <v>841</v>
      </c>
      <c r="Q5" s="153">
        <v>75985</v>
      </c>
      <c r="R5" s="153"/>
      <c r="S5" s="153"/>
      <c r="T5" s="153"/>
      <c r="U5" s="153"/>
      <c r="V5" s="153"/>
      <c r="W5" s="153"/>
      <c r="X5" s="153"/>
      <c r="Y5" s="153"/>
      <c r="Z5" s="153"/>
      <c r="AA5" s="153"/>
      <c r="AB5" s="153"/>
      <c r="AC5" s="153"/>
      <c r="AD5" s="153"/>
      <c r="AE5" s="153"/>
      <c r="AF5" s="153"/>
      <c r="AG5" s="153"/>
      <c r="AH5" s="153"/>
      <c r="AI5" s="153"/>
    </row>
    <row r="6" spans="1:35" x14ac:dyDescent="0.25">
      <c r="A6" t="s">
        <v>332</v>
      </c>
      <c r="B6" s="153">
        <v>27445503.914162412</v>
      </c>
      <c r="C6" s="153">
        <v>25285910.914162412</v>
      </c>
      <c r="D6" s="153">
        <v>490204</v>
      </c>
      <c r="E6" s="153">
        <v>0</v>
      </c>
      <c r="F6" s="153">
        <v>1405723</v>
      </c>
      <c r="G6" s="153">
        <v>263666</v>
      </c>
      <c r="H6" s="153">
        <v>4764059</v>
      </c>
      <c r="I6" s="153">
        <v>2549</v>
      </c>
      <c r="J6" s="153">
        <v>355219</v>
      </c>
      <c r="K6" s="153"/>
      <c r="L6" s="153">
        <f t="shared" si="0"/>
        <v>49604</v>
      </c>
      <c r="M6">
        <v>794</v>
      </c>
      <c r="N6" s="153">
        <v>50398</v>
      </c>
      <c r="O6" s="153">
        <f t="shared" si="1"/>
        <v>46133</v>
      </c>
      <c r="P6" s="153">
        <v>2000</v>
      </c>
      <c r="Q6" s="153">
        <v>48133</v>
      </c>
      <c r="R6" s="153"/>
      <c r="S6" s="153"/>
      <c r="T6" s="153"/>
      <c r="U6" s="153"/>
      <c r="V6" s="153"/>
      <c r="W6" s="153"/>
      <c r="X6" s="153"/>
      <c r="Y6" s="153"/>
      <c r="Z6" s="153"/>
      <c r="AA6" s="153"/>
      <c r="AB6" s="153"/>
      <c r="AC6" s="153"/>
      <c r="AD6" s="153"/>
      <c r="AE6" s="153"/>
      <c r="AF6" s="153"/>
      <c r="AG6" s="153"/>
      <c r="AH6" s="153"/>
      <c r="AI6" s="153"/>
    </row>
    <row r="7" spans="1:35" x14ac:dyDescent="0.25">
      <c r="A7" t="s">
        <v>333</v>
      </c>
      <c r="B7" s="153">
        <v>26502937.144447889</v>
      </c>
      <c r="C7" s="153">
        <v>25767915.144447889</v>
      </c>
      <c r="D7" s="153">
        <v>329884</v>
      </c>
      <c r="E7" s="153">
        <v>0</v>
      </c>
      <c r="F7" s="153">
        <v>247909</v>
      </c>
      <c r="G7" s="153">
        <v>157229</v>
      </c>
      <c r="H7" s="153">
        <v>4502361</v>
      </c>
      <c r="I7" s="153">
        <v>1779</v>
      </c>
      <c r="J7" s="153">
        <v>141756</v>
      </c>
      <c r="K7" s="153"/>
      <c r="L7" s="153">
        <f t="shared" si="0"/>
        <v>58704</v>
      </c>
      <c r="M7">
        <v>601</v>
      </c>
      <c r="N7" s="153">
        <v>59305</v>
      </c>
      <c r="O7" s="153">
        <f t="shared" si="1"/>
        <v>57557</v>
      </c>
      <c r="P7">
        <v>497</v>
      </c>
      <c r="Q7" s="153">
        <v>58054</v>
      </c>
      <c r="R7" s="153"/>
      <c r="S7" s="153"/>
      <c r="T7" s="153"/>
      <c r="U7" s="153"/>
      <c r="V7" s="153"/>
      <c r="W7" s="153"/>
      <c r="X7" s="153"/>
      <c r="Y7" s="153"/>
      <c r="Z7" s="153"/>
      <c r="AA7" s="153"/>
      <c r="AB7" s="153"/>
      <c r="AC7" s="153"/>
      <c r="AD7" s="153"/>
      <c r="AE7" s="153"/>
      <c r="AF7" s="153"/>
      <c r="AG7" s="153"/>
      <c r="AH7" s="153"/>
      <c r="AI7" s="153"/>
    </row>
    <row r="8" spans="1:35" x14ac:dyDescent="0.25">
      <c r="A8" t="s">
        <v>288</v>
      </c>
      <c r="B8" s="153">
        <v>204974178.90895057</v>
      </c>
      <c r="C8" s="153">
        <v>157721419.72843188</v>
      </c>
      <c r="D8" s="153">
        <v>3116570</v>
      </c>
      <c r="E8" s="153">
        <v>21952145</v>
      </c>
      <c r="F8" s="153">
        <v>11934362</v>
      </c>
      <c r="G8" s="153">
        <v>9358424.1805186793</v>
      </c>
      <c r="H8" s="153">
        <v>38550061</v>
      </c>
      <c r="I8" s="153">
        <v>20318</v>
      </c>
      <c r="J8" s="153">
        <v>2169691</v>
      </c>
      <c r="K8" s="153"/>
      <c r="L8" s="153">
        <f t="shared" si="0"/>
        <v>375693</v>
      </c>
      <c r="M8" s="153">
        <v>10272</v>
      </c>
      <c r="N8" s="153">
        <v>385965</v>
      </c>
      <c r="O8" s="153">
        <f t="shared" si="1"/>
        <v>356290</v>
      </c>
      <c r="P8" s="153">
        <v>11500</v>
      </c>
      <c r="Q8" s="153">
        <v>367790</v>
      </c>
      <c r="R8" s="153"/>
      <c r="S8" s="153"/>
      <c r="T8" s="153"/>
      <c r="U8" s="153"/>
      <c r="V8" s="153"/>
      <c r="W8" s="153"/>
      <c r="X8" s="153"/>
      <c r="Y8" s="153"/>
      <c r="Z8" s="153"/>
      <c r="AA8" s="153"/>
      <c r="AB8" s="153"/>
      <c r="AC8" s="153"/>
      <c r="AD8" s="153"/>
      <c r="AE8" s="153"/>
      <c r="AF8" s="153"/>
      <c r="AG8" s="153"/>
      <c r="AH8" s="153"/>
      <c r="AI8" s="153"/>
    </row>
    <row r="9" spans="1:35" x14ac:dyDescent="0.25">
      <c r="A9" t="s">
        <v>185</v>
      </c>
      <c r="B9" s="153">
        <v>161006955.72295466</v>
      </c>
      <c r="C9" s="153">
        <v>123540109.90499163</v>
      </c>
      <c r="D9" s="153">
        <v>3149076</v>
      </c>
      <c r="E9" s="153">
        <v>16664548</v>
      </c>
      <c r="F9" s="153">
        <v>12361944</v>
      </c>
      <c r="G9" s="153">
        <v>5323783.8179630395</v>
      </c>
      <c r="H9" s="153">
        <v>37035363</v>
      </c>
      <c r="I9" s="153">
        <v>48839</v>
      </c>
      <c r="J9" s="153">
        <v>3311447</v>
      </c>
      <c r="K9" s="153"/>
      <c r="L9" s="153">
        <f t="shared" si="0"/>
        <v>278792</v>
      </c>
      <c r="M9" s="153">
        <v>5394</v>
      </c>
      <c r="N9" s="153">
        <v>284186</v>
      </c>
      <c r="O9" s="153">
        <f t="shared" si="1"/>
        <v>278672</v>
      </c>
      <c r="P9">
        <v>745</v>
      </c>
      <c r="Q9" s="153">
        <v>279417</v>
      </c>
      <c r="R9" s="153"/>
      <c r="S9" s="153"/>
      <c r="T9" s="153"/>
      <c r="U9" s="153"/>
      <c r="V9" s="153"/>
      <c r="W9" s="153"/>
      <c r="X9" s="153"/>
      <c r="Y9" s="153"/>
      <c r="Z9" s="153"/>
      <c r="AA9" s="153"/>
      <c r="AB9" s="153"/>
      <c r="AC9" s="153"/>
      <c r="AD9" s="153"/>
      <c r="AE9" s="153"/>
      <c r="AF9" s="153"/>
      <c r="AG9" s="153"/>
      <c r="AH9" s="153"/>
      <c r="AI9" s="153"/>
    </row>
    <row r="10" spans="1:35" x14ac:dyDescent="0.25">
      <c r="A10" t="s">
        <v>494</v>
      </c>
      <c r="B10" s="153">
        <v>386093180.87855846</v>
      </c>
      <c r="C10" s="153">
        <v>294936437.04743981</v>
      </c>
      <c r="D10" s="153">
        <v>11202246</v>
      </c>
      <c r="E10" s="153">
        <v>46849361</v>
      </c>
      <c r="F10" s="153">
        <v>10583093</v>
      </c>
      <c r="G10" s="153">
        <v>5252422</v>
      </c>
      <c r="H10" s="153">
        <v>86519875</v>
      </c>
      <c r="I10" s="153">
        <v>119034</v>
      </c>
      <c r="J10" s="153">
        <v>9473473</v>
      </c>
      <c r="K10" s="153"/>
      <c r="L10" s="153">
        <f t="shared" si="0"/>
        <v>794249</v>
      </c>
      <c r="M10" s="153">
        <v>110408</v>
      </c>
      <c r="N10" s="153">
        <v>904657</v>
      </c>
      <c r="O10" s="153">
        <f t="shared" si="1"/>
        <v>741957</v>
      </c>
      <c r="P10" s="153">
        <v>69870</v>
      </c>
      <c r="Q10" s="153">
        <v>811827</v>
      </c>
      <c r="R10" s="153"/>
      <c r="S10" s="153"/>
      <c r="T10" s="153"/>
      <c r="U10" s="153"/>
      <c r="V10" s="153"/>
      <c r="W10" s="153"/>
      <c r="X10" s="153"/>
      <c r="Y10" s="153"/>
      <c r="Z10" s="153"/>
      <c r="AA10" s="153"/>
      <c r="AB10" s="153"/>
      <c r="AC10" s="153"/>
      <c r="AD10" s="153"/>
      <c r="AE10" s="153"/>
      <c r="AF10" s="153"/>
      <c r="AG10" s="153"/>
      <c r="AH10" s="153"/>
      <c r="AI10" s="153"/>
    </row>
    <row r="11" spans="1:35" x14ac:dyDescent="0.25">
      <c r="A11" t="s">
        <v>334</v>
      </c>
      <c r="B11" s="153">
        <v>158545006.16958082</v>
      </c>
      <c r="C11" s="153">
        <v>138560457.16958082</v>
      </c>
      <c r="D11" s="153">
        <v>5627334</v>
      </c>
      <c r="E11" s="153">
        <v>0</v>
      </c>
      <c r="F11" s="153">
        <v>13470328</v>
      </c>
      <c r="G11" s="153">
        <v>886887</v>
      </c>
      <c r="H11" s="153">
        <v>23227329</v>
      </c>
      <c r="I11" s="153">
        <v>15586</v>
      </c>
      <c r="J11" s="153">
        <v>2018623</v>
      </c>
      <c r="K11" s="153"/>
      <c r="L11" s="153">
        <f t="shared" si="0"/>
        <v>301051</v>
      </c>
      <c r="M11" s="153">
        <v>31786</v>
      </c>
      <c r="N11" s="153">
        <v>332837</v>
      </c>
      <c r="O11" s="153">
        <f t="shared" si="1"/>
        <v>273411</v>
      </c>
      <c r="P11" s="153">
        <v>39140</v>
      </c>
      <c r="Q11" s="153">
        <v>312551</v>
      </c>
      <c r="R11" s="153"/>
      <c r="S11" s="153"/>
      <c r="T11" s="153"/>
      <c r="U11" s="153"/>
      <c r="V11" s="153"/>
      <c r="W11" s="153"/>
      <c r="X11" s="153"/>
      <c r="Y11" s="153"/>
      <c r="Z11" s="153"/>
      <c r="AA11" s="153"/>
      <c r="AB11" s="153"/>
      <c r="AC11" s="153"/>
      <c r="AD11" s="153"/>
      <c r="AE11" s="153"/>
      <c r="AF11" s="153"/>
      <c r="AG11" s="153"/>
      <c r="AH11" s="153"/>
      <c r="AI11" s="153"/>
    </row>
    <row r="12" spans="1:35" x14ac:dyDescent="0.25">
      <c r="A12" t="s">
        <v>403</v>
      </c>
      <c r="B12" s="153">
        <v>12123616.765597787</v>
      </c>
      <c r="C12" s="153">
        <v>11118253.765597787</v>
      </c>
      <c r="D12" s="153">
        <v>377077</v>
      </c>
      <c r="E12" s="153">
        <v>0</v>
      </c>
      <c r="F12" s="153">
        <v>579507</v>
      </c>
      <c r="G12" s="153">
        <v>48779</v>
      </c>
      <c r="H12" s="153">
        <v>1316294</v>
      </c>
      <c r="I12" s="153">
        <v>404</v>
      </c>
      <c r="J12" s="153">
        <v>54061</v>
      </c>
      <c r="K12" s="153"/>
      <c r="L12" s="153">
        <f t="shared" si="0"/>
        <v>21471</v>
      </c>
      <c r="M12">
        <v>533</v>
      </c>
      <c r="N12" s="153">
        <v>22004</v>
      </c>
      <c r="O12" s="153">
        <f t="shared" si="1"/>
        <v>19990</v>
      </c>
      <c r="P12" s="153">
        <v>1888</v>
      </c>
      <c r="Q12" s="153">
        <v>21878</v>
      </c>
      <c r="R12" s="153"/>
      <c r="S12" s="153"/>
      <c r="T12" s="153"/>
      <c r="U12" s="153"/>
      <c r="V12" s="153"/>
      <c r="W12" s="153"/>
      <c r="X12" s="153"/>
      <c r="Y12" s="153"/>
      <c r="Z12" s="153"/>
      <c r="AA12" s="153"/>
      <c r="AB12" s="153"/>
      <c r="AC12" s="153"/>
      <c r="AD12" s="153"/>
      <c r="AE12" s="153"/>
      <c r="AF12" s="153"/>
      <c r="AG12" s="153"/>
      <c r="AH12" s="153"/>
      <c r="AI12" s="153"/>
    </row>
    <row r="13" spans="1:35" x14ac:dyDescent="0.25">
      <c r="A13" t="s">
        <v>745</v>
      </c>
      <c r="B13" s="153">
        <v>68003726.466521919</v>
      </c>
      <c r="C13" s="153">
        <v>62392995.466521919</v>
      </c>
      <c r="D13" s="153">
        <v>1367430</v>
      </c>
      <c r="E13" s="153">
        <v>0</v>
      </c>
      <c r="F13" s="153">
        <v>3659618</v>
      </c>
      <c r="G13" s="153">
        <v>872658</v>
      </c>
      <c r="H13" s="153">
        <v>7429025</v>
      </c>
      <c r="I13" s="153">
        <v>2160</v>
      </c>
      <c r="J13" s="153">
        <v>560516</v>
      </c>
      <c r="K13" s="153"/>
      <c r="L13" s="153">
        <f t="shared" si="0"/>
        <v>118064</v>
      </c>
      <c r="N13" s="309">
        <v>118064</v>
      </c>
      <c r="O13" s="153">
        <f t="shared" si="1"/>
        <v>118064</v>
      </c>
      <c r="P13" s="153">
        <v>9764</v>
      </c>
      <c r="Q13" s="153">
        <v>127828</v>
      </c>
      <c r="R13" s="153"/>
      <c r="S13" s="153"/>
      <c r="T13" s="153"/>
      <c r="U13" s="153"/>
      <c r="V13" s="153"/>
      <c r="W13" s="153"/>
      <c r="X13" s="153"/>
      <c r="Y13" s="153"/>
      <c r="Z13" s="153"/>
      <c r="AA13" s="153"/>
      <c r="AB13" s="153"/>
      <c r="AC13" s="153"/>
      <c r="AD13" s="153"/>
      <c r="AE13" s="153"/>
      <c r="AF13" s="153"/>
      <c r="AG13" s="153"/>
      <c r="AH13" s="153"/>
      <c r="AI13" s="153"/>
    </row>
    <row r="14" spans="1:35" x14ac:dyDescent="0.25">
      <c r="A14" t="s">
        <v>166</v>
      </c>
      <c r="B14" s="153">
        <v>7042834.4328759052</v>
      </c>
      <c r="C14" s="153">
        <v>6653077.4328759052</v>
      </c>
      <c r="D14" s="153">
        <v>78853</v>
      </c>
      <c r="E14" s="153">
        <v>0</v>
      </c>
      <c r="F14" s="153">
        <v>270789</v>
      </c>
      <c r="G14" s="153">
        <v>40115</v>
      </c>
      <c r="H14" s="153">
        <v>174057</v>
      </c>
      <c r="I14" s="153">
        <v>0</v>
      </c>
      <c r="J14" s="153">
        <v>54061</v>
      </c>
      <c r="K14" s="153"/>
      <c r="L14" s="153">
        <f t="shared" si="0"/>
        <v>20550</v>
      </c>
      <c r="M14" s="153">
        <v>1058</v>
      </c>
      <c r="N14" s="153">
        <v>21608</v>
      </c>
      <c r="O14" s="153">
        <f t="shared" si="1"/>
        <v>20487</v>
      </c>
      <c r="P14">
        <v>724</v>
      </c>
      <c r="Q14" s="153">
        <v>21211</v>
      </c>
      <c r="R14" s="153"/>
      <c r="S14" s="153"/>
      <c r="T14" s="153"/>
      <c r="U14" s="153"/>
      <c r="V14" s="153"/>
      <c r="W14" s="153"/>
      <c r="X14" s="153"/>
      <c r="Y14" s="153"/>
      <c r="Z14" s="153"/>
      <c r="AA14" s="153"/>
      <c r="AB14" s="153"/>
      <c r="AC14" s="153"/>
      <c r="AD14" s="153"/>
      <c r="AE14" s="153"/>
      <c r="AF14" s="153"/>
      <c r="AG14" s="153"/>
      <c r="AH14" s="153"/>
      <c r="AI14" s="153"/>
    </row>
    <row r="15" spans="1:35" x14ac:dyDescent="0.25">
      <c r="A15" t="s">
        <v>262</v>
      </c>
      <c r="B15" s="153">
        <v>280224019.16961443</v>
      </c>
      <c r="C15" s="153">
        <v>211135515.62678346</v>
      </c>
      <c r="D15" s="153">
        <v>5395814</v>
      </c>
      <c r="E15" s="153">
        <v>34252083</v>
      </c>
      <c r="F15" s="153">
        <v>18076822</v>
      </c>
      <c r="G15" s="153">
        <v>11363784.542831009</v>
      </c>
      <c r="H15" s="153">
        <v>48757725</v>
      </c>
      <c r="I15" s="153">
        <v>31365</v>
      </c>
      <c r="J15" s="153">
        <v>3899092</v>
      </c>
      <c r="K15" s="153"/>
      <c r="L15" s="153">
        <f t="shared" si="0"/>
        <v>496452</v>
      </c>
      <c r="M15" s="153">
        <v>30424</v>
      </c>
      <c r="N15" s="153">
        <v>526876</v>
      </c>
      <c r="O15" s="153">
        <f t="shared" si="1"/>
        <v>474468</v>
      </c>
      <c r="P15" s="153">
        <v>16786</v>
      </c>
      <c r="Q15" s="153">
        <v>491254</v>
      </c>
      <c r="R15" s="153"/>
      <c r="S15" s="153"/>
      <c r="T15" s="153"/>
      <c r="U15" s="153"/>
      <c r="V15" s="153"/>
      <c r="W15" s="153"/>
      <c r="X15" s="153"/>
      <c r="Y15" s="153"/>
      <c r="Z15" s="153"/>
      <c r="AA15" s="153"/>
      <c r="AB15" s="153"/>
      <c r="AC15" s="153"/>
      <c r="AD15" s="153"/>
      <c r="AE15" s="153"/>
      <c r="AF15" s="153"/>
      <c r="AG15" s="153"/>
      <c r="AH15" s="153"/>
      <c r="AI15" s="153"/>
    </row>
    <row r="16" spans="1:35" x14ac:dyDescent="0.25">
      <c r="A16" t="s">
        <v>289</v>
      </c>
      <c r="B16" s="153">
        <v>104347407.4226345</v>
      </c>
      <c r="C16" s="153">
        <v>100138041.4226345</v>
      </c>
      <c r="D16" s="153">
        <v>1299360</v>
      </c>
      <c r="E16" s="153">
        <v>0</v>
      </c>
      <c r="F16" s="153">
        <v>2265071</v>
      </c>
      <c r="G16" s="153">
        <v>644935</v>
      </c>
      <c r="H16" s="153">
        <v>23062100</v>
      </c>
      <c r="I16" s="153">
        <v>8200</v>
      </c>
      <c r="J16" s="153">
        <v>202231</v>
      </c>
      <c r="K16" s="153"/>
      <c r="L16" s="153">
        <f t="shared" si="0"/>
        <v>226242</v>
      </c>
      <c r="M16" s="153">
        <v>34760</v>
      </c>
      <c r="N16" s="153">
        <v>261002</v>
      </c>
      <c r="O16" s="153">
        <f t="shared" si="1"/>
        <v>234760</v>
      </c>
      <c r="P16" s="153">
        <v>38972</v>
      </c>
      <c r="Q16" s="153">
        <v>273732</v>
      </c>
      <c r="R16" s="153"/>
      <c r="S16" s="153"/>
      <c r="T16" s="153"/>
      <c r="U16" s="153"/>
      <c r="V16" s="153"/>
      <c r="W16" s="153"/>
      <c r="X16" s="153"/>
      <c r="Y16" s="153"/>
      <c r="Z16" s="153"/>
      <c r="AA16" s="153"/>
      <c r="AB16" s="153"/>
      <c r="AC16" s="153"/>
      <c r="AD16" s="153"/>
      <c r="AE16" s="153"/>
      <c r="AF16" s="153"/>
      <c r="AG16" s="153"/>
      <c r="AH16" s="153"/>
      <c r="AI16" s="153"/>
    </row>
    <row r="17" spans="1:35" x14ac:dyDescent="0.25">
      <c r="A17" t="s">
        <v>290</v>
      </c>
      <c r="B17" s="153">
        <v>2120126551.4904554</v>
      </c>
      <c r="C17" s="153">
        <v>1768428335.5535016</v>
      </c>
      <c r="D17" s="153">
        <v>31393709</v>
      </c>
      <c r="E17" s="153">
        <v>131255076</v>
      </c>
      <c r="F17" s="153">
        <v>77400039</v>
      </c>
      <c r="G17" s="153">
        <v>111649391.9369538</v>
      </c>
      <c r="H17" s="153">
        <v>599988186</v>
      </c>
      <c r="I17" s="153">
        <v>430669</v>
      </c>
      <c r="J17" s="153">
        <v>53615272</v>
      </c>
      <c r="K17" s="153"/>
      <c r="L17" s="153">
        <f t="shared" si="0"/>
        <v>5023662</v>
      </c>
      <c r="M17" s="153">
        <v>521934</v>
      </c>
      <c r="N17" s="153">
        <v>5545596</v>
      </c>
      <c r="O17" s="153">
        <f t="shared" si="1"/>
        <v>4632918</v>
      </c>
      <c r="P17" s="153">
        <v>835173</v>
      </c>
      <c r="Q17" s="153">
        <v>5468091</v>
      </c>
      <c r="R17" s="153"/>
      <c r="S17" s="153"/>
      <c r="T17" s="153"/>
      <c r="U17" s="153"/>
      <c r="V17" s="153"/>
      <c r="W17" s="153"/>
      <c r="X17" s="153"/>
      <c r="Y17" s="153"/>
      <c r="Z17" s="153"/>
      <c r="AA17" s="153"/>
      <c r="AB17" s="153"/>
      <c r="AC17" s="153"/>
      <c r="AD17" s="153"/>
      <c r="AE17" s="153"/>
      <c r="AF17" s="153"/>
      <c r="AG17" s="153"/>
      <c r="AH17" s="153"/>
      <c r="AI17" s="153"/>
    </row>
    <row r="18" spans="1:35" x14ac:dyDescent="0.25">
      <c r="A18" t="s">
        <v>210</v>
      </c>
      <c r="B18" s="153">
        <v>315820827.69487405</v>
      </c>
      <c r="C18" s="153">
        <v>227193901.59568053</v>
      </c>
      <c r="D18" s="153">
        <v>10647278</v>
      </c>
      <c r="E18" s="153">
        <v>46747941</v>
      </c>
      <c r="F18" s="153">
        <v>21441492</v>
      </c>
      <c r="G18" s="153">
        <v>9790215.0991935506</v>
      </c>
      <c r="H18" s="153">
        <v>49562217</v>
      </c>
      <c r="I18" s="153">
        <v>18152</v>
      </c>
      <c r="J18" s="153">
        <v>3137356</v>
      </c>
      <c r="K18" s="153"/>
      <c r="L18" s="153">
        <f t="shared" si="0"/>
        <v>600932</v>
      </c>
      <c r="M18" s="153">
        <v>11737</v>
      </c>
      <c r="N18" s="153">
        <v>612669</v>
      </c>
      <c r="O18" s="153">
        <f t="shared" si="1"/>
        <v>565129</v>
      </c>
      <c r="P18" s="153">
        <v>29294</v>
      </c>
      <c r="Q18" s="153">
        <v>594423</v>
      </c>
      <c r="R18" s="153"/>
      <c r="S18" s="153"/>
      <c r="T18" s="153"/>
      <c r="U18" s="153"/>
      <c r="V18" s="153"/>
      <c r="W18" s="153"/>
      <c r="X18" s="153"/>
      <c r="Y18" s="153"/>
      <c r="Z18" s="153"/>
      <c r="AA18" s="153"/>
      <c r="AB18" s="153"/>
      <c r="AC18" s="153"/>
      <c r="AD18" s="153"/>
      <c r="AE18" s="153"/>
      <c r="AF18" s="153"/>
      <c r="AG18" s="153"/>
      <c r="AH18" s="153"/>
      <c r="AI18" s="153"/>
    </row>
    <row r="19" spans="1:35" x14ac:dyDescent="0.25">
      <c r="A19" t="s">
        <v>142</v>
      </c>
      <c r="B19" s="153">
        <v>29040646.99367208</v>
      </c>
      <c r="C19" s="153">
        <v>21154077.99367208</v>
      </c>
      <c r="D19" s="153">
        <v>668390</v>
      </c>
      <c r="E19" s="153">
        <v>0</v>
      </c>
      <c r="F19" s="153">
        <v>4317229</v>
      </c>
      <c r="G19" s="153">
        <v>2900950</v>
      </c>
      <c r="H19" s="153">
        <v>6275659</v>
      </c>
      <c r="I19" s="153">
        <v>268</v>
      </c>
      <c r="J19" s="153">
        <v>301666</v>
      </c>
      <c r="K19" s="153"/>
      <c r="L19" s="153">
        <f t="shared" si="0"/>
        <v>47690</v>
      </c>
      <c r="M19" s="153">
        <v>1319</v>
      </c>
      <c r="N19" s="153">
        <v>49009</v>
      </c>
      <c r="O19" s="153">
        <f t="shared" si="1"/>
        <v>43109</v>
      </c>
      <c r="P19" s="153">
        <v>5056</v>
      </c>
      <c r="Q19" s="153">
        <v>48165</v>
      </c>
      <c r="R19" s="153"/>
      <c r="S19" s="153"/>
      <c r="T19" s="153"/>
      <c r="U19" s="153"/>
      <c r="V19" s="153"/>
      <c r="W19" s="153"/>
      <c r="X19" s="153"/>
      <c r="Y19" s="153"/>
      <c r="Z19" s="153"/>
      <c r="AA19" s="153"/>
      <c r="AB19" s="153"/>
      <c r="AC19" s="153"/>
      <c r="AD19" s="153"/>
      <c r="AE19" s="153"/>
      <c r="AF19" s="153"/>
      <c r="AG19" s="153"/>
      <c r="AH19" s="153"/>
      <c r="AI19" s="153"/>
    </row>
    <row r="20" spans="1:35" x14ac:dyDescent="0.25">
      <c r="A20" t="s">
        <v>211</v>
      </c>
      <c r="B20" s="153">
        <v>396812991.62070972</v>
      </c>
      <c r="C20" s="153">
        <v>270376600.63181722</v>
      </c>
      <c r="D20" s="153">
        <v>6345203</v>
      </c>
      <c r="E20" s="153">
        <v>71047164</v>
      </c>
      <c r="F20" s="153">
        <v>30387268</v>
      </c>
      <c r="G20" s="153">
        <v>18656755.988892499</v>
      </c>
      <c r="H20" s="153">
        <v>105192905</v>
      </c>
      <c r="I20" s="153">
        <v>46184</v>
      </c>
      <c r="J20" s="153">
        <v>5715932</v>
      </c>
      <c r="K20" s="153"/>
      <c r="L20" s="153">
        <f t="shared" si="0"/>
        <v>722186</v>
      </c>
      <c r="M20" s="153">
        <v>36227</v>
      </c>
      <c r="N20" s="153">
        <v>758413</v>
      </c>
      <c r="O20" s="153">
        <f t="shared" si="1"/>
        <v>702365</v>
      </c>
      <c r="P20" s="153">
        <v>42156</v>
      </c>
      <c r="Q20" s="153">
        <v>744521</v>
      </c>
      <c r="R20" s="153"/>
      <c r="S20" s="153"/>
      <c r="T20" s="153"/>
      <c r="U20" s="153"/>
      <c r="V20" s="153"/>
      <c r="W20" s="153"/>
      <c r="X20" s="153"/>
      <c r="Y20" s="153"/>
      <c r="Z20" s="153"/>
      <c r="AA20" s="153"/>
      <c r="AB20" s="153"/>
      <c r="AC20" s="153"/>
      <c r="AD20" s="153"/>
      <c r="AE20" s="153"/>
      <c r="AF20" s="153"/>
      <c r="AG20" s="153"/>
      <c r="AH20" s="153"/>
      <c r="AI20" s="153"/>
    </row>
    <row r="21" spans="1:35" x14ac:dyDescent="0.25">
      <c r="A21" t="s">
        <v>130</v>
      </c>
      <c r="B21" s="153">
        <v>157938100.85953444</v>
      </c>
      <c r="C21" s="153">
        <v>105532635.68093057</v>
      </c>
      <c r="D21" s="153">
        <v>4703499</v>
      </c>
      <c r="E21" s="153">
        <v>40999033</v>
      </c>
      <c r="F21" s="153">
        <v>738799</v>
      </c>
      <c r="G21" s="153">
        <v>5964134.1786038904</v>
      </c>
      <c r="H21" s="153">
        <v>28467531</v>
      </c>
      <c r="I21" s="153">
        <v>37146</v>
      </c>
      <c r="J21" s="153">
        <v>908448</v>
      </c>
      <c r="K21" s="153"/>
      <c r="L21" s="153">
        <f t="shared" si="0"/>
        <v>281815</v>
      </c>
      <c r="M21" s="153">
        <v>32433</v>
      </c>
      <c r="N21" s="153">
        <v>314248</v>
      </c>
      <c r="O21" s="153">
        <f t="shared" si="1"/>
        <v>309313</v>
      </c>
      <c r="P21" s="153">
        <v>33341</v>
      </c>
      <c r="Q21" s="153">
        <v>342654</v>
      </c>
      <c r="R21" s="153"/>
      <c r="S21" s="153"/>
      <c r="T21" s="153"/>
      <c r="U21" s="153"/>
      <c r="V21" s="153"/>
      <c r="W21" s="153"/>
      <c r="X21" s="153"/>
      <c r="Y21" s="153"/>
      <c r="Z21" s="153"/>
      <c r="AA21" s="153"/>
      <c r="AB21" s="153"/>
      <c r="AC21" s="153"/>
      <c r="AD21" s="153"/>
      <c r="AE21" s="153"/>
      <c r="AF21" s="153"/>
      <c r="AG21" s="153"/>
      <c r="AH21" s="153"/>
      <c r="AI21" s="153"/>
    </row>
    <row r="22" spans="1:35" x14ac:dyDescent="0.25">
      <c r="A22" t="s">
        <v>404</v>
      </c>
      <c r="B22" s="153">
        <v>21769407.127964586</v>
      </c>
      <c r="C22" s="153">
        <v>19469931.127964586</v>
      </c>
      <c r="D22" s="153">
        <v>385783</v>
      </c>
      <c r="E22" s="153">
        <v>0</v>
      </c>
      <c r="F22" s="153">
        <v>1775723</v>
      </c>
      <c r="G22" s="153">
        <v>137970</v>
      </c>
      <c r="H22" s="153">
        <v>3053981</v>
      </c>
      <c r="I22" s="153">
        <v>2489</v>
      </c>
      <c r="J22" s="153">
        <v>169647</v>
      </c>
      <c r="K22" s="153"/>
      <c r="L22" s="153">
        <f t="shared" si="0"/>
        <v>36115</v>
      </c>
      <c r="M22" s="153">
        <v>1487</v>
      </c>
      <c r="N22" s="153">
        <v>37602</v>
      </c>
      <c r="O22" s="153">
        <f t="shared" si="1"/>
        <v>35128</v>
      </c>
      <c r="P22" s="153">
        <v>2285</v>
      </c>
      <c r="Q22" s="153">
        <v>37413</v>
      </c>
      <c r="R22" s="153"/>
      <c r="S22" s="153"/>
      <c r="T22" s="153"/>
      <c r="U22" s="153"/>
      <c r="V22" s="153"/>
      <c r="W22" s="153"/>
      <c r="X22" s="153"/>
      <c r="Y22" s="153"/>
      <c r="Z22" s="153"/>
      <c r="AA22" s="153"/>
      <c r="AB22" s="153"/>
      <c r="AC22" s="153"/>
      <c r="AD22" s="153"/>
      <c r="AE22" s="153"/>
      <c r="AF22" s="153"/>
      <c r="AG22" s="153"/>
      <c r="AH22" s="153"/>
      <c r="AI22" s="153"/>
    </row>
    <row r="23" spans="1:35" x14ac:dyDescent="0.25">
      <c r="A23" t="s">
        <v>405</v>
      </c>
      <c r="B23" s="153">
        <v>9899578.8381641991</v>
      </c>
      <c r="C23" s="153">
        <v>9771957.8381641991</v>
      </c>
      <c r="D23" s="153">
        <v>26995</v>
      </c>
      <c r="E23" s="153">
        <v>0</v>
      </c>
      <c r="F23" s="153">
        <v>25381</v>
      </c>
      <c r="G23" s="153">
        <v>75245</v>
      </c>
      <c r="H23" s="153">
        <v>1163535</v>
      </c>
      <c r="I23" s="153">
        <v>0</v>
      </c>
      <c r="J23" s="153">
        <v>69335</v>
      </c>
      <c r="K23" s="153"/>
      <c r="L23" s="153">
        <f t="shared" si="0"/>
        <v>15680</v>
      </c>
      <c r="M23">
        <v>655</v>
      </c>
      <c r="N23" s="153">
        <v>16335</v>
      </c>
      <c r="O23" s="153">
        <f t="shared" si="1"/>
        <v>14969</v>
      </c>
      <c r="P23" s="153">
        <v>1847</v>
      </c>
      <c r="Q23" s="153">
        <v>16816</v>
      </c>
      <c r="R23" s="153"/>
      <c r="S23" s="153"/>
      <c r="T23" s="153"/>
      <c r="U23" s="153"/>
      <c r="V23" s="153"/>
      <c r="W23" s="153"/>
      <c r="X23" s="153"/>
      <c r="Y23" s="153"/>
      <c r="Z23" s="153"/>
      <c r="AA23" s="153"/>
      <c r="AB23" s="153"/>
      <c r="AC23" s="153"/>
      <c r="AD23" s="153"/>
      <c r="AE23" s="153"/>
      <c r="AF23" s="153"/>
      <c r="AG23" s="153"/>
      <c r="AH23" s="153"/>
      <c r="AI23" s="153"/>
    </row>
    <row r="24" spans="1:35" x14ac:dyDescent="0.25">
      <c r="A24" t="s">
        <v>263</v>
      </c>
      <c r="B24" s="153">
        <v>32715635.546959348</v>
      </c>
      <c r="C24" s="153">
        <v>30609164.546959348</v>
      </c>
      <c r="D24" s="153">
        <v>927946</v>
      </c>
      <c r="E24" s="153">
        <v>0</v>
      </c>
      <c r="F24" s="153">
        <v>982163</v>
      </c>
      <c r="G24" s="153">
        <v>196362</v>
      </c>
      <c r="H24" s="153">
        <v>5243496</v>
      </c>
      <c r="I24" s="153">
        <v>6580</v>
      </c>
      <c r="J24" s="153">
        <v>241092</v>
      </c>
      <c r="K24" s="153"/>
      <c r="L24" s="153">
        <f t="shared" si="0"/>
        <v>62815</v>
      </c>
      <c r="M24" s="153">
        <v>2400</v>
      </c>
      <c r="N24" s="153">
        <v>65215</v>
      </c>
      <c r="O24" s="153">
        <f t="shared" si="1"/>
        <v>58313</v>
      </c>
      <c r="P24" s="153">
        <v>2046</v>
      </c>
      <c r="Q24" s="153">
        <v>60359</v>
      </c>
      <c r="R24" s="153"/>
      <c r="S24" s="153"/>
      <c r="T24" s="153"/>
      <c r="U24" s="153"/>
      <c r="V24" s="153"/>
      <c r="W24" s="153"/>
      <c r="X24" s="153"/>
      <c r="Y24" s="153"/>
      <c r="Z24" s="153"/>
      <c r="AA24" s="153"/>
      <c r="AB24" s="153"/>
      <c r="AC24" s="153"/>
      <c r="AD24" s="153"/>
      <c r="AE24" s="153"/>
      <c r="AF24" s="153"/>
      <c r="AG24" s="153"/>
      <c r="AH24" s="153"/>
      <c r="AI24" s="153"/>
    </row>
    <row r="25" spans="1:35" x14ac:dyDescent="0.25">
      <c r="A25" t="s">
        <v>335</v>
      </c>
      <c r="B25" s="153">
        <v>56325162.6812291</v>
      </c>
      <c r="C25" s="153">
        <v>54843337.6812291</v>
      </c>
      <c r="D25" s="153">
        <v>1008092</v>
      </c>
      <c r="E25" s="153">
        <v>0</v>
      </c>
      <c r="F25" s="153">
        <v>166318</v>
      </c>
      <c r="G25" s="153">
        <v>307415</v>
      </c>
      <c r="H25" s="153">
        <v>7857182</v>
      </c>
      <c r="I25" s="153">
        <v>2779</v>
      </c>
      <c r="J25" s="153">
        <v>724263</v>
      </c>
      <c r="K25" s="153"/>
      <c r="L25" s="153">
        <f t="shared" si="0"/>
        <v>115558</v>
      </c>
      <c r="M25" s="153">
        <v>1844</v>
      </c>
      <c r="N25" s="153">
        <v>117402</v>
      </c>
      <c r="O25" s="153">
        <f t="shared" si="1"/>
        <v>108828</v>
      </c>
      <c r="P25" s="153">
        <v>2320</v>
      </c>
      <c r="Q25" s="153">
        <v>111148</v>
      </c>
      <c r="R25" s="153"/>
      <c r="S25" s="153"/>
      <c r="T25" s="153"/>
      <c r="U25" s="153"/>
      <c r="V25" s="153"/>
      <c r="W25" s="153"/>
      <c r="X25" s="153"/>
      <c r="Y25" s="153"/>
      <c r="Z25" s="153"/>
      <c r="AA25" s="153"/>
      <c r="AB25" s="153"/>
      <c r="AC25" s="153"/>
      <c r="AD25" s="153"/>
      <c r="AE25" s="153"/>
      <c r="AF25" s="153"/>
      <c r="AG25" s="153"/>
      <c r="AH25" s="153"/>
      <c r="AI25" s="153"/>
    </row>
    <row r="26" spans="1:35" x14ac:dyDescent="0.25">
      <c r="A26" t="s">
        <v>212</v>
      </c>
      <c r="B26" s="153">
        <v>72530364.459257513</v>
      </c>
      <c r="C26" s="153">
        <v>65107337.459257513</v>
      </c>
      <c r="D26" s="153">
        <v>4389899</v>
      </c>
      <c r="E26" s="153">
        <v>0</v>
      </c>
      <c r="F26" s="153">
        <v>2642194</v>
      </c>
      <c r="G26" s="153">
        <v>390934</v>
      </c>
      <c r="H26" s="153">
        <v>7346892</v>
      </c>
      <c r="I26" s="153">
        <v>19276</v>
      </c>
      <c r="J26" s="153">
        <v>1224973</v>
      </c>
      <c r="K26" s="153"/>
      <c r="L26" s="153">
        <f t="shared" si="0"/>
        <v>135048</v>
      </c>
      <c r="M26" s="153">
        <v>2722</v>
      </c>
      <c r="N26" s="153">
        <v>137770</v>
      </c>
      <c r="O26" s="153">
        <f t="shared" si="1"/>
        <v>119867</v>
      </c>
      <c r="P26" s="153">
        <v>1969</v>
      </c>
      <c r="Q26" s="153">
        <v>121836</v>
      </c>
      <c r="R26" s="153"/>
      <c r="S26" s="153"/>
      <c r="T26" s="153"/>
      <c r="U26" s="153"/>
      <c r="V26" s="153"/>
      <c r="W26" s="153"/>
      <c r="X26" s="153"/>
      <c r="Y26" s="153"/>
      <c r="Z26" s="153"/>
      <c r="AA26" s="153"/>
      <c r="AB26" s="153"/>
      <c r="AC26" s="153"/>
      <c r="AD26" s="153"/>
      <c r="AE26" s="153"/>
      <c r="AF26" s="153"/>
      <c r="AG26" s="153"/>
      <c r="AH26" s="153"/>
      <c r="AI26" s="153"/>
    </row>
    <row r="27" spans="1:35" x14ac:dyDescent="0.25">
      <c r="A27" t="s">
        <v>462</v>
      </c>
      <c r="B27" s="153">
        <v>21362811.370349951</v>
      </c>
      <c r="C27" s="153">
        <v>19348133.370349951</v>
      </c>
      <c r="D27" s="153">
        <v>444818</v>
      </c>
      <c r="E27" s="153">
        <v>0</v>
      </c>
      <c r="F27" s="153">
        <v>1417104</v>
      </c>
      <c r="G27" s="153">
        <v>152756</v>
      </c>
      <c r="H27" s="153">
        <v>3704999</v>
      </c>
      <c r="I27" s="153">
        <v>2336</v>
      </c>
      <c r="J27" s="153">
        <v>118335</v>
      </c>
      <c r="K27" s="153"/>
      <c r="L27" s="153">
        <f t="shared" si="0"/>
        <v>37728</v>
      </c>
      <c r="M27" s="153">
        <v>2997</v>
      </c>
      <c r="N27" s="153">
        <v>40725</v>
      </c>
      <c r="O27" s="153">
        <f t="shared" si="1"/>
        <v>36185</v>
      </c>
      <c r="P27" s="153">
        <v>4386</v>
      </c>
      <c r="Q27" s="153">
        <v>40571</v>
      </c>
      <c r="R27" s="153"/>
      <c r="S27" s="153"/>
      <c r="T27" s="153"/>
      <c r="U27" s="153"/>
      <c r="V27" s="153"/>
      <c r="W27" s="153"/>
      <c r="X27" s="153"/>
      <c r="Y27" s="153"/>
      <c r="Z27" s="153"/>
      <c r="AA27" s="153"/>
      <c r="AB27" s="153"/>
      <c r="AC27" s="153"/>
      <c r="AD27" s="153"/>
      <c r="AE27" s="153"/>
      <c r="AF27" s="153"/>
      <c r="AG27" s="153"/>
      <c r="AH27" s="153"/>
      <c r="AI27" s="153"/>
    </row>
    <row r="28" spans="1:35" x14ac:dyDescent="0.25">
      <c r="A28" t="s">
        <v>746</v>
      </c>
      <c r="B28" s="153">
        <v>51214219.495301023</v>
      </c>
      <c r="C28" s="153">
        <v>43949400.495301023</v>
      </c>
      <c r="D28" s="153">
        <v>713418</v>
      </c>
      <c r="E28" s="153">
        <v>0</v>
      </c>
      <c r="F28" s="153">
        <v>2660660</v>
      </c>
      <c r="G28" s="153">
        <v>287017</v>
      </c>
      <c r="H28" s="153">
        <v>7320627</v>
      </c>
      <c r="I28" s="153">
        <v>4281</v>
      </c>
      <c r="J28" s="153">
        <v>257238</v>
      </c>
      <c r="K28" s="153"/>
      <c r="L28" s="153">
        <f t="shared" si="0"/>
        <v>84400</v>
      </c>
      <c r="M28" s="153"/>
      <c r="N28" s="309">
        <v>84400</v>
      </c>
      <c r="O28" s="153">
        <f t="shared" si="1"/>
        <v>84400</v>
      </c>
      <c r="P28" s="153">
        <v>5464</v>
      </c>
      <c r="Q28" s="153">
        <v>89864</v>
      </c>
      <c r="R28" s="153"/>
      <c r="S28" s="153"/>
      <c r="T28" s="153"/>
      <c r="U28" s="153"/>
      <c r="V28" s="153"/>
      <c r="W28" s="153"/>
      <c r="X28" s="153"/>
      <c r="Y28" s="153"/>
      <c r="Z28" s="153"/>
      <c r="AA28" s="153"/>
      <c r="AB28" s="153"/>
      <c r="AC28" s="153"/>
      <c r="AD28" s="153"/>
      <c r="AE28" s="153"/>
      <c r="AF28" s="153"/>
      <c r="AG28" s="153"/>
      <c r="AH28" s="153"/>
      <c r="AI28" s="153"/>
    </row>
    <row r="29" spans="1:35" x14ac:dyDescent="0.25">
      <c r="A29" t="s">
        <v>291</v>
      </c>
      <c r="B29" s="153">
        <v>11192302.259090122</v>
      </c>
      <c r="C29" s="153">
        <v>10710273.259090122</v>
      </c>
      <c r="D29" s="153">
        <v>259103</v>
      </c>
      <c r="E29" s="153">
        <v>0</v>
      </c>
      <c r="F29" s="153">
        <v>54465</v>
      </c>
      <c r="G29" s="153">
        <v>168461</v>
      </c>
      <c r="H29" s="153">
        <v>1071738</v>
      </c>
      <c r="I29" s="153">
        <v>0</v>
      </c>
      <c r="J29" s="153">
        <v>54061</v>
      </c>
      <c r="K29" s="153"/>
      <c r="L29" s="153">
        <f t="shared" si="0"/>
        <v>17753</v>
      </c>
      <c r="M29" s="153">
        <v>1097</v>
      </c>
      <c r="N29" s="153">
        <v>18850</v>
      </c>
      <c r="O29" s="153">
        <f t="shared" si="1"/>
        <v>20262</v>
      </c>
      <c r="P29">
        <v>0</v>
      </c>
      <c r="Q29" s="153">
        <v>20262</v>
      </c>
      <c r="R29" s="153"/>
      <c r="S29" s="153"/>
      <c r="T29" s="153"/>
      <c r="U29" s="153"/>
      <c r="V29" s="153"/>
      <c r="W29" s="153"/>
      <c r="X29" s="153"/>
      <c r="Y29" s="153"/>
      <c r="Z29" s="153"/>
      <c r="AA29" s="153"/>
      <c r="AB29" s="153"/>
      <c r="AC29" s="153"/>
      <c r="AD29" s="153"/>
      <c r="AE29" s="153"/>
      <c r="AF29" s="153"/>
      <c r="AG29" s="153"/>
      <c r="AH29" s="153"/>
      <c r="AI29" s="153"/>
    </row>
    <row r="30" spans="1:35" x14ac:dyDescent="0.25">
      <c r="A30" t="s">
        <v>463</v>
      </c>
      <c r="B30" s="153">
        <v>19174940.291193672</v>
      </c>
      <c r="C30" s="153">
        <v>17266858.291193672</v>
      </c>
      <c r="D30" s="153">
        <v>262945</v>
      </c>
      <c r="E30" s="153">
        <v>0</v>
      </c>
      <c r="F30" s="153">
        <v>1535494</v>
      </c>
      <c r="G30" s="153">
        <v>109643</v>
      </c>
      <c r="H30" s="153">
        <v>2683836</v>
      </c>
      <c r="I30" s="153">
        <v>650</v>
      </c>
      <c r="J30" s="153">
        <v>240052</v>
      </c>
      <c r="K30" s="153"/>
      <c r="L30" s="153">
        <f t="shared" si="0"/>
        <v>29466</v>
      </c>
      <c r="M30" s="153">
        <v>3688</v>
      </c>
      <c r="N30" s="153">
        <v>33154</v>
      </c>
      <c r="O30" s="153">
        <f t="shared" si="1"/>
        <v>28471</v>
      </c>
      <c r="P30" s="153">
        <v>1251</v>
      </c>
      <c r="Q30" s="153">
        <v>29722</v>
      </c>
      <c r="R30" s="153"/>
      <c r="S30" s="153"/>
      <c r="T30" s="153"/>
      <c r="U30" s="153"/>
      <c r="V30" s="153"/>
      <c r="W30" s="153"/>
      <c r="X30" s="153"/>
      <c r="Y30" s="153"/>
      <c r="Z30" s="153"/>
      <c r="AA30" s="153"/>
      <c r="AB30" s="153"/>
      <c r="AC30" s="153"/>
      <c r="AD30" s="153"/>
      <c r="AE30" s="153"/>
      <c r="AF30" s="153"/>
      <c r="AG30" s="153"/>
      <c r="AH30" s="153"/>
      <c r="AI30" s="153"/>
    </row>
    <row r="31" spans="1:35" x14ac:dyDescent="0.25">
      <c r="A31" t="s">
        <v>609</v>
      </c>
      <c r="B31" s="153">
        <v>51680658.238031238</v>
      </c>
      <c r="C31" s="153">
        <v>45730209.238031238</v>
      </c>
      <c r="D31" s="153">
        <v>1247836</v>
      </c>
      <c r="E31" s="153">
        <v>0</v>
      </c>
      <c r="F31" s="153">
        <v>4312628</v>
      </c>
      <c r="G31" s="153">
        <v>389985</v>
      </c>
      <c r="H31" s="153">
        <v>10111641</v>
      </c>
      <c r="I31" s="153">
        <v>6618</v>
      </c>
      <c r="J31" s="153">
        <v>357874</v>
      </c>
      <c r="K31" s="153"/>
      <c r="L31" s="153">
        <f t="shared" si="0"/>
        <v>84956</v>
      </c>
      <c r="M31" s="153">
        <v>3844</v>
      </c>
      <c r="N31" s="153">
        <v>88800</v>
      </c>
      <c r="O31" s="153">
        <f t="shared" si="1"/>
        <v>82566</v>
      </c>
      <c r="P31" s="153">
        <v>2745</v>
      </c>
      <c r="Q31" s="153">
        <v>85311</v>
      </c>
      <c r="R31" s="153"/>
      <c r="S31" s="153"/>
      <c r="T31" s="153"/>
      <c r="U31" s="153"/>
      <c r="V31" s="153"/>
      <c r="W31" s="153"/>
      <c r="X31" s="153"/>
      <c r="Y31" s="153"/>
      <c r="Z31" s="153"/>
      <c r="AA31" s="153"/>
      <c r="AB31" s="153"/>
      <c r="AC31" s="153"/>
      <c r="AD31" s="153"/>
      <c r="AE31" s="153"/>
      <c r="AF31" s="153"/>
      <c r="AG31" s="153"/>
      <c r="AH31" s="153"/>
      <c r="AI31" s="153"/>
    </row>
    <row r="32" spans="1:35" x14ac:dyDescent="0.25">
      <c r="A32" t="s">
        <v>406</v>
      </c>
      <c r="B32" s="153">
        <v>23074643.255101617</v>
      </c>
      <c r="C32" s="153">
        <v>19780240.255101617</v>
      </c>
      <c r="D32" s="153">
        <v>684634</v>
      </c>
      <c r="E32" s="153">
        <v>0</v>
      </c>
      <c r="F32" s="153">
        <v>2500068</v>
      </c>
      <c r="G32" s="153">
        <v>109701</v>
      </c>
      <c r="H32" s="153">
        <v>2048067</v>
      </c>
      <c r="I32" s="153">
        <v>5620</v>
      </c>
      <c r="J32" s="153">
        <v>72118</v>
      </c>
      <c r="K32" s="153"/>
      <c r="L32" s="153">
        <f t="shared" si="0"/>
        <v>46611</v>
      </c>
      <c r="M32" s="153">
        <v>2863</v>
      </c>
      <c r="N32" s="153">
        <v>49474</v>
      </c>
      <c r="O32" s="153">
        <f t="shared" si="1"/>
        <v>42322</v>
      </c>
      <c r="P32">
        <v>958</v>
      </c>
      <c r="Q32" s="153">
        <v>43280</v>
      </c>
      <c r="R32" s="153"/>
      <c r="S32" s="153"/>
      <c r="T32" s="153"/>
      <c r="U32" s="153"/>
      <c r="V32" s="153"/>
      <c r="W32" s="153"/>
      <c r="X32" s="153"/>
      <c r="Y32" s="153"/>
      <c r="Z32" s="153"/>
      <c r="AA32" s="153"/>
      <c r="AB32" s="153"/>
      <c r="AC32" s="153"/>
      <c r="AD32" s="153"/>
      <c r="AE32" s="153"/>
      <c r="AF32" s="153"/>
      <c r="AG32" s="153"/>
      <c r="AH32" s="153"/>
      <c r="AI32" s="153"/>
    </row>
    <row r="33" spans="1:35" x14ac:dyDescent="0.25">
      <c r="A33" t="s">
        <v>502</v>
      </c>
      <c r="B33" s="153">
        <v>19971591.50083578</v>
      </c>
      <c r="C33" s="153">
        <v>17078882.50083578</v>
      </c>
      <c r="D33" s="153">
        <v>418772</v>
      </c>
      <c r="E33" s="153">
        <v>0</v>
      </c>
      <c r="F33" s="153">
        <v>2348627</v>
      </c>
      <c r="G33" s="153">
        <v>125310</v>
      </c>
      <c r="H33" s="153">
        <v>2436321</v>
      </c>
      <c r="I33" s="153">
        <v>3084</v>
      </c>
      <c r="J33" s="153">
        <v>181873</v>
      </c>
      <c r="K33" s="153"/>
      <c r="L33" s="153">
        <f t="shared" si="0"/>
        <v>30770</v>
      </c>
      <c r="M33">
        <v>597</v>
      </c>
      <c r="N33" s="153">
        <v>31367</v>
      </c>
      <c r="O33" s="153">
        <f t="shared" si="1"/>
        <v>39591</v>
      </c>
      <c r="P33">
        <v>338</v>
      </c>
      <c r="Q33" s="153">
        <v>39929</v>
      </c>
      <c r="R33" s="153"/>
      <c r="S33" s="153"/>
      <c r="T33" s="153"/>
      <c r="U33" s="153"/>
      <c r="V33" s="153"/>
      <c r="W33" s="153"/>
      <c r="X33" s="153"/>
      <c r="Y33" s="153"/>
      <c r="Z33" s="153"/>
      <c r="AA33" s="153"/>
      <c r="AB33" s="153"/>
      <c r="AC33" s="153"/>
      <c r="AD33" s="153"/>
      <c r="AE33" s="153"/>
      <c r="AF33" s="153"/>
      <c r="AG33" s="153"/>
      <c r="AH33" s="153"/>
      <c r="AI33" s="153"/>
    </row>
    <row r="34" spans="1:35" x14ac:dyDescent="0.25">
      <c r="A34" t="s">
        <v>503</v>
      </c>
      <c r="B34" s="153">
        <v>35263354.30559288</v>
      </c>
      <c r="C34" s="153">
        <v>32842093.305592883</v>
      </c>
      <c r="D34" s="153">
        <v>737951</v>
      </c>
      <c r="E34" s="153">
        <v>0</v>
      </c>
      <c r="F34" s="153">
        <v>1456759</v>
      </c>
      <c r="G34" s="153">
        <v>226551</v>
      </c>
      <c r="H34" s="153">
        <v>4646008</v>
      </c>
      <c r="I34" s="153">
        <v>6141</v>
      </c>
      <c r="J34" s="153">
        <v>61653</v>
      </c>
      <c r="K34" s="153"/>
      <c r="L34" s="153">
        <f t="shared" si="0"/>
        <v>77059</v>
      </c>
      <c r="M34" s="153">
        <v>2435</v>
      </c>
      <c r="N34" s="153">
        <v>79494</v>
      </c>
      <c r="O34" s="153">
        <f t="shared" si="1"/>
        <v>72809</v>
      </c>
      <c r="P34" s="153">
        <v>2170</v>
      </c>
      <c r="Q34" s="153">
        <v>74979</v>
      </c>
      <c r="R34" s="153"/>
      <c r="S34" s="153"/>
      <c r="T34" s="153"/>
      <c r="U34" s="153"/>
      <c r="V34" s="153"/>
      <c r="W34" s="153"/>
      <c r="X34" s="153"/>
      <c r="Y34" s="153"/>
      <c r="Z34" s="153"/>
      <c r="AA34" s="153"/>
      <c r="AB34" s="153"/>
      <c r="AC34" s="153"/>
      <c r="AD34" s="153"/>
      <c r="AE34" s="153"/>
      <c r="AF34" s="153"/>
      <c r="AG34" s="153"/>
      <c r="AH34" s="153"/>
      <c r="AI34" s="153"/>
    </row>
    <row r="35" spans="1:35" x14ac:dyDescent="0.25">
      <c r="A35" t="s">
        <v>407</v>
      </c>
      <c r="B35" s="153">
        <v>125784214.22112226</v>
      </c>
      <c r="C35" s="153">
        <v>98433301.446965769</v>
      </c>
      <c r="D35" s="153">
        <v>1506996</v>
      </c>
      <c r="E35" s="153">
        <v>11042631</v>
      </c>
      <c r="F35" s="153">
        <v>10987492</v>
      </c>
      <c r="G35" s="153">
        <v>3813793.7741564899</v>
      </c>
      <c r="H35" s="153">
        <v>29679626</v>
      </c>
      <c r="I35" s="153">
        <v>10610</v>
      </c>
      <c r="J35" s="153">
        <v>2587135</v>
      </c>
      <c r="K35" s="153"/>
      <c r="L35" s="153">
        <f t="shared" si="0"/>
        <v>305403</v>
      </c>
      <c r="M35" s="153">
        <v>5897</v>
      </c>
      <c r="N35" s="153">
        <v>311300</v>
      </c>
      <c r="O35" s="153">
        <f t="shared" si="1"/>
        <v>283643</v>
      </c>
      <c r="P35" s="153">
        <v>3470</v>
      </c>
      <c r="Q35" s="153">
        <v>287113</v>
      </c>
      <c r="R35" s="153"/>
      <c r="S35" s="153"/>
      <c r="T35" s="153"/>
      <c r="U35" s="153"/>
      <c r="V35" s="153"/>
      <c r="W35" s="153"/>
      <c r="X35" s="153"/>
      <c r="Y35" s="153"/>
      <c r="Z35" s="153"/>
      <c r="AA35" s="153"/>
      <c r="AB35" s="153"/>
      <c r="AC35" s="153"/>
      <c r="AD35" s="153"/>
      <c r="AE35" s="153"/>
      <c r="AF35" s="153"/>
      <c r="AG35" s="153"/>
      <c r="AH35" s="153"/>
      <c r="AI35" s="153"/>
    </row>
    <row r="36" spans="1:35" x14ac:dyDescent="0.25">
      <c r="A36" t="s">
        <v>213</v>
      </c>
      <c r="B36" s="153">
        <v>65069447.124214813</v>
      </c>
      <c r="C36" s="153">
        <v>56824175.124214813</v>
      </c>
      <c r="D36" s="153">
        <v>1303564</v>
      </c>
      <c r="E36" s="153">
        <v>0</v>
      </c>
      <c r="F36" s="153">
        <v>6440778</v>
      </c>
      <c r="G36" s="153">
        <v>500930</v>
      </c>
      <c r="H36" s="153">
        <v>8028753</v>
      </c>
      <c r="I36" s="153">
        <v>15069</v>
      </c>
      <c r="J36" s="153">
        <v>239730</v>
      </c>
      <c r="K36" s="153"/>
      <c r="L36" s="153">
        <f t="shared" si="0"/>
        <v>103748</v>
      </c>
      <c r="M36" s="153">
        <v>10731</v>
      </c>
      <c r="N36" s="153">
        <v>114479</v>
      </c>
      <c r="O36" s="153">
        <f t="shared" si="1"/>
        <v>126332</v>
      </c>
      <c r="P36">
        <v>513</v>
      </c>
      <c r="Q36" s="153">
        <v>126845</v>
      </c>
      <c r="R36" s="153"/>
      <c r="S36" s="153"/>
      <c r="T36" s="153"/>
      <c r="U36" s="153"/>
      <c r="V36" s="153"/>
      <c r="W36" s="153"/>
      <c r="X36" s="153"/>
      <c r="Y36" s="153"/>
      <c r="Z36" s="153"/>
      <c r="AA36" s="153"/>
      <c r="AB36" s="153"/>
      <c r="AC36" s="153"/>
      <c r="AD36" s="153"/>
      <c r="AE36" s="153"/>
      <c r="AF36" s="153"/>
      <c r="AG36" s="153"/>
      <c r="AH36" s="153"/>
      <c r="AI36" s="153"/>
    </row>
    <row r="37" spans="1:35" x14ac:dyDescent="0.25">
      <c r="A37" t="s">
        <v>408</v>
      </c>
      <c r="B37" s="153">
        <v>38482937.462492846</v>
      </c>
      <c r="C37" s="153">
        <v>33467653.462492846</v>
      </c>
      <c r="D37" s="153">
        <v>413306</v>
      </c>
      <c r="E37" s="153">
        <v>0</v>
      </c>
      <c r="F37" s="153">
        <v>4382377</v>
      </c>
      <c r="G37" s="153">
        <v>219601</v>
      </c>
      <c r="H37" s="153">
        <v>4183908</v>
      </c>
      <c r="I37" s="153">
        <v>2143</v>
      </c>
      <c r="J37" s="153">
        <v>182983</v>
      </c>
      <c r="K37" s="153"/>
      <c r="L37" s="153">
        <f t="shared" si="0"/>
        <v>76676</v>
      </c>
      <c r="M37" s="153">
        <v>4611</v>
      </c>
      <c r="N37" s="153">
        <v>81287</v>
      </c>
      <c r="O37" s="153">
        <f t="shared" si="1"/>
        <v>73633</v>
      </c>
      <c r="P37" s="153">
        <v>3284</v>
      </c>
      <c r="Q37" s="153">
        <v>76917</v>
      </c>
      <c r="R37" s="153"/>
      <c r="S37" s="153"/>
      <c r="T37" s="153"/>
      <c r="U37" s="153"/>
      <c r="V37" s="153"/>
      <c r="W37" s="153"/>
      <c r="X37" s="153"/>
      <c r="Y37" s="153"/>
      <c r="Z37" s="153"/>
      <c r="AA37" s="153"/>
      <c r="AB37" s="153"/>
      <c r="AC37" s="153"/>
      <c r="AD37" s="153"/>
      <c r="AE37" s="153"/>
      <c r="AF37" s="153"/>
      <c r="AG37" s="153"/>
      <c r="AH37" s="153"/>
      <c r="AI37" s="153"/>
    </row>
    <row r="38" spans="1:35" x14ac:dyDescent="0.25">
      <c r="A38" t="s">
        <v>409</v>
      </c>
      <c r="B38" s="153">
        <v>37374133.679745346</v>
      </c>
      <c r="C38" s="153">
        <v>33497184.679745346</v>
      </c>
      <c r="D38" s="153">
        <v>581832</v>
      </c>
      <c r="E38" s="153">
        <v>0</v>
      </c>
      <c r="F38" s="153">
        <v>3115127</v>
      </c>
      <c r="G38" s="153">
        <v>179990</v>
      </c>
      <c r="H38" s="153">
        <v>5671352</v>
      </c>
      <c r="I38" s="153">
        <v>2792</v>
      </c>
      <c r="J38" s="153">
        <v>269608</v>
      </c>
      <c r="K38" s="153"/>
      <c r="L38" s="153">
        <f t="shared" si="0"/>
        <v>62650</v>
      </c>
      <c r="M38" s="153">
        <v>5712</v>
      </c>
      <c r="N38" s="153">
        <v>68362</v>
      </c>
      <c r="O38" s="153">
        <f t="shared" si="1"/>
        <v>71182</v>
      </c>
      <c r="P38" s="153">
        <v>4407</v>
      </c>
      <c r="Q38" s="153">
        <v>75589</v>
      </c>
      <c r="R38" s="153"/>
      <c r="S38" s="153"/>
      <c r="T38" s="153"/>
      <c r="U38" s="153"/>
      <c r="V38" s="153"/>
      <c r="W38" s="153"/>
      <c r="X38" s="153"/>
      <c r="Y38" s="153"/>
      <c r="Z38" s="153"/>
      <c r="AA38" s="153"/>
      <c r="AB38" s="153"/>
      <c r="AC38" s="153"/>
      <c r="AD38" s="153"/>
      <c r="AE38" s="153"/>
      <c r="AF38" s="153"/>
      <c r="AG38" s="153"/>
      <c r="AH38" s="153"/>
      <c r="AI38" s="153"/>
    </row>
    <row r="39" spans="1:35" x14ac:dyDescent="0.25">
      <c r="A39" t="s">
        <v>214</v>
      </c>
      <c r="B39" s="153">
        <v>32934753.544597588</v>
      </c>
      <c r="C39" s="153">
        <v>29287977.544597588</v>
      </c>
      <c r="D39" s="153">
        <v>423290</v>
      </c>
      <c r="E39" s="153">
        <v>0</v>
      </c>
      <c r="F39" s="153">
        <v>2921972</v>
      </c>
      <c r="G39" s="153">
        <v>301514</v>
      </c>
      <c r="H39" s="153">
        <v>6049992</v>
      </c>
      <c r="I39" s="153">
        <v>7725</v>
      </c>
      <c r="J39" s="153">
        <v>230312</v>
      </c>
      <c r="K39" s="153"/>
      <c r="L39" s="153">
        <f t="shared" si="0"/>
        <v>69228</v>
      </c>
      <c r="M39">
        <v>133</v>
      </c>
      <c r="N39" s="153">
        <v>69361</v>
      </c>
      <c r="O39" s="153">
        <f t="shared" si="1"/>
        <v>58193</v>
      </c>
      <c r="P39">
        <v>453</v>
      </c>
      <c r="Q39" s="153">
        <v>58646</v>
      </c>
      <c r="R39" s="153"/>
      <c r="S39" s="153"/>
      <c r="T39" s="153"/>
      <c r="U39" s="153"/>
      <c r="V39" s="153"/>
      <c r="W39" s="153"/>
      <c r="X39" s="153"/>
      <c r="Y39" s="153"/>
      <c r="Z39" s="153"/>
      <c r="AA39" s="153"/>
      <c r="AB39" s="153"/>
      <c r="AC39" s="153"/>
      <c r="AD39" s="153"/>
      <c r="AE39" s="153"/>
      <c r="AF39" s="153"/>
      <c r="AG39" s="153"/>
      <c r="AH39" s="153"/>
      <c r="AI39" s="153"/>
    </row>
    <row r="40" spans="1:35" x14ac:dyDescent="0.25">
      <c r="A40" t="s">
        <v>292</v>
      </c>
      <c r="B40" s="153">
        <v>64974720.328434139</v>
      </c>
      <c r="C40" s="153">
        <v>59120955.328434139</v>
      </c>
      <c r="D40" s="153">
        <v>747458</v>
      </c>
      <c r="E40" s="153">
        <v>0</v>
      </c>
      <c r="F40" s="153">
        <v>4668292</v>
      </c>
      <c r="G40" s="153">
        <v>438015</v>
      </c>
      <c r="H40" s="153">
        <v>15206156</v>
      </c>
      <c r="I40" s="153">
        <v>864</v>
      </c>
      <c r="J40" s="153">
        <v>1370773</v>
      </c>
      <c r="K40" s="153"/>
      <c r="L40" s="153">
        <f t="shared" si="0"/>
        <v>121876</v>
      </c>
      <c r="M40" s="153">
        <v>2882</v>
      </c>
      <c r="N40" s="153">
        <v>124758</v>
      </c>
      <c r="O40" s="153">
        <f t="shared" si="1"/>
        <v>115480</v>
      </c>
      <c r="P40" s="153">
        <v>3236</v>
      </c>
      <c r="Q40" s="153">
        <v>118716</v>
      </c>
      <c r="R40" s="153"/>
      <c r="S40" s="153"/>
      <c r="T40" s="153"/>
      <c r="U40" s="153"/>
      <c r="V40" s="153"/>
      <c r="W40" s="153"/>
      <c r="X40" s="153"/>
      <c r="Y40" s="153"/>
      <c r="Z40" s="153"/>
      <c r="AA40" s="153"/>
      <c r="AB40" s="153"/>
      <c r="AC40" s="153"/>
      <c r="AD40" s="153"/>
      <c r="AE40" s="153"/>
      <c r="AF40" s="153"/>
      <c r="AG40" s="153"/>
      <c r="AH40" s="153"/>
      <c r="AI40" s="153"/>
    </row>
    <row r="41" spans="1:35" x14ac:dyDescent="0.25">
      <c r="A41" t="s">
        <v>410</v>
      </c>
      <c r="B41" s="153">
        <v>29156929.944095891</v>
      </c>
      <c r="C41" s="153">
        <v>23591969.944095891</v>
      </c>
      <c r="D41" s="153">
        <v>359253</v>
      </c>
      <c r="E41" s="153">
        <v>0</v>
      </c>
      <c r="F41" s="153">
        <v>5019199</v>
      </c>
      <c r="G41" s="153">
        <v>186508</v>
      </c>
      <c r="H41" s="153">
        <v>2298905</v>
      </c>
      <c r="I41" s="153">
        <v>4067</v>
      </c>
      <c r="J41" s="153">
        <v>93524</v>
      </c>
      <c r="K41" s="153"/>
      <c r="L41" s="153">
        <f t="shared" si="0"/>
        <v>47706</v>
      </c>
      <c r="M41" s="153">
        <v>1369</v>
      </c>
      <c r="N41" s="153">
        <v>49075</v>
      </c>
      <c r="O41" s="153">
        <f t="shared" si="1"/>
        <v>44629</v>
      </c>
      <c r="P41" s="153">
        <v>4959</v>
      </c>
      <c r="Q41" s="153">
        <v>49588</v>
      </c>
      <c r="R41" s="153"/>
      <c r="S41" s="153"/>
      <c r="T41" s="153"/>
      <c r="U41" s="153"/>
      <c r="V41" s="153"/>
      <c r="W41" s="153"/>
      <c r="X41" s="153"/>
      <c r="Y41" s="153"/>
      <c r="Z41" s="153"/>
      <c r="AA41" s="153"/>
      <c r="AB41" s="153"/>
      <c r="AC41" s="153"/>
      <c r="AD41" s="153"/>
      <c r="AE41" s="153"/>
      <c r="AF41" s="153"/>
      <c r="AG41" s="153"/>
      <c r="AH41" s="153"/>
      <c r="AI41" s="153"/>
    </row>
    <row r="42" spans="1:35" x14ac:dyDescent="0.25">
      <c r="A42" t="s">
        <v>293</v>
      </c>
      <c r="B42" s="153">
        <v>10072775.297482226</v>
      </c>
      <c r="C42" s="153">
        <v>9700527.297482226</v>
      </c>
      <c r="D42" s="153">
        <v>141256</v>
      </c>
      <c r="E42" s="153">
        <v>0</v>
      </c>
      <c r="F42" s="153">
        <v>173335</v>
      </c>
      <c r="G42" s="153">
        <v>57657</v>
      </c>
      <c r="H42" s="153">
        <v>1652324</v>
      </c>
      <c r="I42" s="153">
        <v>0</v>
      </c>
      <c r="J42" s="153">
        <v>63028</v>
      </c>
      <c r="K42" s="153"/>
      <c r="L42" s="153">
        <f t="shared" si="0"/>
        <v>30559</v>
      </c>
      <c r="M42">
        <v>544</v>
      </c>
      <c r="N42" s="153">
        <v>31103</v>
      </c>
      <c r="O42" s="153">
        <f t="shared" si="1"/>
        <v>29507</v>
      </c>
      <c r="P42">
        <v>470</v>
      </c>
      <c r="Q42" s="153">
        <v>29977</v>
      </c>
      <c r="R42" s="153"/>
      <c r="S42" s="153"/>
      <c r="T42" s="153"/>
      <c r="U42" s="153"/>
      <c r="V42" s="153"/>
      <c r="W42" s="153"/>
      <c r="X42" s="153"/>
      <c r="Y42" s="153"/>
      <c r="Z42" s="153"/>
      <c r="AA42" s="153"/>
      <c r="AB42" s="153"/>
      <c r="AC42" s="153"/>
      <c r="AD42" s="153"/>
      <c r="AE42" s="153"/>
      <c r="AF42" s="153"/>
      <c r="AG42" s="153"/>
      <c r="AH42" s="153"/>
      <c r="AI42" s="153"/>
    </row>
    <row r="43" spans="1:35" x14ac:dyDescent="0.25">
      <c r="A43" t="s">
        <v>294</v>
      </c>
      <c r="B43" s="153">
        <v>21078861.639210984</v>
      </c>
      <c r="C43" s="153">
        <v>19961300.639210984</v>
      </c>
      <c r="D43" s="153">
        <v>172667</v>
      </c>
      <c r="E43" s="153">
        <v>0</v>
      </c>
      <c r="F43" s="153">
        <v>824854</v>
      </c>
      <c r="G43" s="153">
        <v>120040</v>
      </c>
      <c r="H43" s="153">
        <v>2571542</v>
      </c>
      <c r="I43" s="153">
        <v>2643</v>
      </c>
      <c r="J43" s="153">
        <v>62065</v>
      </c>
      <c r="K43" s="153"/>
      <c r="L43" s="153">
        <f t="shared" si="0"/>
        <v>48519</v>
      </c>
      <c r="M43">
        <v>611</v>
      </c>
      <c r="N43" s="153">
        <v>49130</v>
      </c>
      <c r="O43" s="153">
        <f t="shared" si="1"/>
        <v>46484</v>
      </c>
      <c r="P43">
        <v>609</v>
      </c>
      <c r="Q43" s="153">
        <v>47093</v>
      </c>
      <c r="R43" s="153"/>
      <c r="S43" s="153"/>
      <c r="T43" s="153"/>
      <c r="U43" s="153"/>
      <c r="V43" s="153"/>
      <c r="W43" s="153"/>
      <c r="X43" s="153"/>
      <c r="Y43" s="153"/>
      <c r="Z43" s="153"/>
      <c r="AA43" s="153"/>
      <c r="AB43" s="153"/>
      <c r="AC43" s="153"/>
      <c r="AD43" s="153"/>
      <c r="AE43" s="153"/>
      <c r="AF43" s="153"/>
      <c r="AG43" s="153"/>
      <c r="AH43" s="153"/>
      <c r="AI43" s="153"/>
    </row>
    <row r="44" spans="1:35" x14ac:dyDescent="0.25">
      <c r="A44" t="s">
        <v>337</v>
      </c>
      <c r="B44" s="153">
        <v>39548857.856826492</v>
      </c>
      <c r="C44" s="153">
        <v>37415898.856826492</v>
      </c>
      <c r="D44" s="153">
        <v>692760</v>
      </c>
      <c r="E44" s="153">
        <v>0</v>
      </c>
      <c r="F44" s="153">
        <v>1177448</v>
      </c>
      <c r="G44" s="153">
        <v>262751</v>
      </c>
      <c r="H44" s="153">
        <v>4715452</v>
      </c>
      <c r="I44" s="153">
        <v>3180</v>
      </c>
      <c r="J44" s="153">
        <v>382524</v>
      </c>
      <c r="K44" s="153"/>
      <c r="L44" s="153">
        <f t="shared" si="0"/>
        <v>92705</v>
      </c>
      <c r="M44" s="153">
        <v>1702</v>
      </c>
      <c r="N44" s="153">
        <v>94407</v>
      </c>
      <c r="O44" s="153">
        <f t="shared" si="1"/>
        <v>84171</v>
      </c>
      <c r="P44">
        <v>299</v>
      </c>
      <c r="Q44" s="153">
        <v>84470</v>
      </c>
      <c r="R44" s="153"/>
      <c r="S44" s="153"/>
      <c r="T44" s="153"/>
      <c r="U44" s="153"/>
      <c r="V44" s="153"/>
      <c r="W44" s="153"/>
      <c r="X44" s="153"/>
      <c r="Y44" s="153"/>
      <c r="Z44" s="153"/>
      <c r="AA44" s="153"/>
      <c r="AB44" s="153"/>
      <c r="AC44" s="153"/>
      <c r="AD44" s="153"/>
      <c r="AE44" s="153"/>
      <c r="AF44" s="153"/>
      <c r="AG44" s="153"/>
      <c r="AH44" s="153"/>
      <c r="AI44" s="153"/>
    </row>
    <row r="45" spans="1:35" x14ac:dyDescent="0.25">
      <c r="A45" t="s">
        <v>411</v>
      </c>
      <c r="B45" s="153">
        <v>13295772.029217985</v>
      </c>
      <c r="C45" s="153">
        <v>11827039.029217985</v>
      </c>
      <c r="D45" s="153">
        <v>160567</v>
      </c>
      <c r="E45" s="153">
        <v>0</v>
      </c>
      <c r="F45" s="153">
        <v>1248382</v>
      </c>
      <c r="G45" s="153">
        <v>59784</v>
      </c>
      <c r="H45" s="153">
        <v>1295042</v>
      </c>
      <c r="I45" s="153">
        <v>1112</v>
      </c>
      <c r="J45" s="153">
        <v>122188</v>
      </c>
      <c r="K45" s="153"/>
      <c r="L45" s="153">
        <f t="shared" si="0"/>
        <v>27271</v>
      </c>
      <c r="M45">
        <v>28</v>
      </c>
      <c r="N45" s="153">
        <v>27299</v>
      </c>
      <c r="O45" s="153">
        <f t="shared" si="1"/>
        <v>24005</v>
      </c>
      <c r="P45">
        <v>23</v>
      </c>
      <c r="Q45" s="153">
        <v>24028</v>
      </c>
      <c r="R45" s="153"/>
      <c r="S45" s="153"/>
      <c r="T45" s="153"/>
      <c r="U45" s="153"/>
      <c r="V45" s="153"/>
      <c r="W45" s="153"/>
      <c r="X45" s="153"/>
      <c r="Y45" s="153"/>
      <c r="Z45" s="153"/>
      <c r="AA45" s="153"/>
      <c r="AB45" s="153"/>
      <c r="AC45" s="153"/>
      <c r="AD45" s="153"/>
      <c r="AE45" s="153"/>
      <c r="AF45" s="153"/>
      <c r="AG45" s="153"/>
      <c r="AH45" s="153"/>
      <c r="AI45" s="153"/>
    </row>
    <row r="46" spans="1:35" x14ac:dyDescent="0.25">
      <c r="A46" t="s">
        <v>131</v>
      </c>
      <c r="B46" s="153">
        <v>42191040.481079705</v>
      </c>
      <c r="C46" s="153">
        <v>35683281.481079705</v>
      </c>
      <c r="D46" s="153">
        <v>1516965</v>
      </c>
      <c r="E46" s="153">
        <v>0</v>
      </c>
      <c r="F46" s="153">
        <v>4638091</v>
      </c>
      <c r="G46" s="153">
        <v>352703</v>
      </c>
      <c r="H46" s="153">
        <v>6935438</v>
      </c>
      <c r="I46" s="153">
        <v>18250</v>
      </c>
      <c r="J46" s="153">
        <v>325307</v>
      </c>
      <c r="K46" s="153"/>
      <c r="L46" s="153">
        <f t="shared" si="0"/>
        <v>69154</v>
      </c>
      <c r="M46" s="153">
        <v>1688</v>
      </c>
      <c r="N46" s="153">
        <v>70842</v>
      </c>
      <c r="O46" s="153">
        <f t="shared" si="1"/>
        <v>67697</v>
      </c>
      <c r="P46" s="153">
        <v>1484</v>
      </c>
      <c r="Q46" s="153">
        <v>69181</v>
      </c>
      <c r="R46" s="153"/>
      <c r="S46" s="153"/>
      <c r="T46" s="153"/>
      <c r="U46" s="153"/>
      <c r="V46" s="153"/>
      <c r="W46" s="153"/>
      <c r="X46" s="153"/>
      <c r="Y46" s="153"/>
      <c r="Z46" s="153"/>
      <c r="AA46" s="153"/>
      <c r="AB46" s="153"/>
      <c r="AC46" s="153"/>
      <c r="AD46" s="153"/>
      <c r="AE46" s="153"/>
      <c r="AF46" s="153"/>
      <c r="AG46" s="153"/>
      <c r="AH46" s="153"/>
      <c r="AI46" s="153"/>
    </row>
    <row r="47" spans="1:35" x14ac:dyDescent="0.25">
      <c r="A47" t="s">
        <v>186</v>
      </c>
      <c r="B47" s="153">
        <v>30319109.395973567</v>
      </c>
      <c r="C47" s="153">
        <v>26805136.395973567</v>
      </c>
      <c r="D47" s="153">
        <v>802124</v>
      </c>
      <c r="E47" s="153">
        <v>0</v>
      </c>
      <c r="F47" s="153">
        <v>2573874</v>
      </c>
      <c r="G47" s="153">
        <v>137975</v>
      </c>
      <c r="H47" s="153">
        <v>4469799</v>
      </c>
      <c r="I47" s="153">
        <v>7226</v>
      </c>
      <c r="J47" s="153">
        <v>162195</v>
      </c>
      <c r="K47" s="153"/>
      <c r="L47" s="153">
        <f t="shared" si="0"/>
        <v>61876</v>
      </c>
      <c r="M47" s="153">
        <v>3166</v>
      </c>
      <c r="N47" s="153">
        <v>65042</v>
      </c>
      <c r="O47" s="153">
        <f t="shared" si="1"/>
        <v>68005</v>
      </c>
      <c r="P47">
        <v>0</v>
      </c>
      <c r="Q47" s="153">
        <v>68005</v>
      </c>
      <c r="R47" s="153"/>
      <c r="S47" s="153"/>
      <c r="T47" s="153"/>
      <c r="U47" s="153"/>
      <c r="V47" s="153"/>
      <c r="W47" s="153"/>
      <c r="X47" s="153"/>
      <c r="Y47" s="153"/>
      <c r="Z47" s="153"/>
      <c r="AA47" s="153"/>
      <c r="AB47" s="153"/>
      <c r="AC47" s="153"/>
      <c r="AD47" s="153"/>
      <c r="AE47" s="153"/>
      <c r="AF47" s="153"/>
      <c r="AG47" s="153"/>
      <c r="AH47" s="153"/>
      <c r="AI47" s="153"/>
    </row>
    <row r="48" spans="1:35" x14ac:dyDescent="0.25">
      <c r="A48" t="s">
        <v>389</v>
      </c>
      <c r="B48" s="153">
        <v>29333447.149234265</v>
      </c>
      <c r="C48" s="153">
        <v>26525314.149234265</v>
      </c>
      <c r="D48" s="153">
        <v>642712</v>
      </c>
      <c r="E48" s="153">
        <v>0</v>
      </c>
      <c r="F48" s="153">
        <v>1577381</v>
      </c>
      <c r="G48" s="153">
        <v>588040</v>
      </c>
      <c r="H48" s="153">
        <v>3128137</v>
      </c>
      <c r="I48" s="153">
        <v>10854</v>
      </c>
      <c r="J48" s="153">
        <v>184156</v>
      </c>
      <c r="K48" s="153"/>
      <c r="L48" s="153">
        <f t="shared" si="0"/>
        <v>51590</v>
      </c>
      <c r="M48" s="153">
        <v>1127</v>
      </c>
      <c r="N48" s="153">
        <v>52717</v>
      </c>
      <c r="O48" s="153">
        <f t="shared" si="1"/>
        <v>48918</v>
      </c>
      <c r="P48">
        <v>499</v>
      </c>
      <c r="Q48" s="153">
        <v>49417</v>
      </c>
      <c r="R48" s="153"/>
      <c r="S48" s="153"/>
      <c r="T48" s="153"/>
      <c r="U48" s="153"/>
      <c r="V48" s="153"/>
      <c r="W48" s="153"/>
      <c r="X48" s="153"/>
      <c r="Y48" s="153"/>
      <c r="Z48" s="153"/>
      <c r="AA48" s="153"/>
      <c r="AB48" s="153"/>
      <c r="AC48" s="153"/>
      <c r="AD48" s="153"/>
      <c r="AE48" s="153"/>
      <c r="AF48" s="153"/>
      <c r="AG48" s="153"/>
      <c r="AH48" s="153"/>
      <c r="AI48" s="153"/>
    </row>
    <row r="49" spans="1:35" x14ac:dyDescent="0.25">
      <c r="A49" t="s">
        <v>412</v>
      </c>
      <c r="B49" s="153">
        <v>41059872.804050244</v>
      </c>
      <c r="C49" s="153">
        <v>35751710.804050244</v>
      </c>
      <c r="D49" s="153">
        <v>498933</v>
      </c>
      <c r="E49" s="153">
        <v>0</v>
      </c>
      <c r="F49" s="153">
        <v>4519784</v>
      </c>
      <c r="G49" s="153">
        <v>289445</v>
      </c>
      <c r="H49" s="153">
        <v>5272194</v>
      </c>
      <c r="I49" s="153">
        <v>2541</v>
      </c>
      <c r="J49" s="153">
        <v>247451</v>
      </c>
      <c r="K49" s="153"/>
      <c r="L49" s="153">
        <f t="shared" si="0"/>
        <v>67420</v>
      </c>
      <c r="M49">
        <v>859</v>
      </c>
      <c r="N49" s="153">
        <v>68279</v>
      </c>
      <c r="O49" s="153">
        <f t="shared" si="1"/>
        <v>69666</v>
      </c>
      <c r="P49" s="153">
        <v>1359</v>
      </c>
      <c r="Q49" s="153">
        <v>71025</v>
      </c>
      <c r="R49" s="153"/>
      <c r="S49" s="153"/>
      <c r="T49" s="153"/>
      <c r="U49" s="153"/>
      <c r="V49" s="153"/>
      <c r="W49" s="153"/>
      <c r="X49" s="153"/>
      <c r="Y49" s="153"/>
      <c r="Z49" s="153"/>
      <c r="AA49" s="153"/>
      <c r="AB49" s="153"/>
      <c r="AC49" s="153"/>
      <c r="AD49" s="153"/>
      <c r="AE49" s="153"/>
      <c r="AF49" s="153"/>
      <c r="AG49" s="153"/>
      <c r="AH49" s="153"/>
      <c r="AI49" s="153"/>
    </row>
    <row r="50" spans="1:35" x14ac:dyDescent="0.25">
      <c r="A50" t="s">
        <v>413</v>
      </c>
      <c r="B50" s="153">
        <v>50914611.934806488</v>
      </c>
      <c r="C50" s="153">
        <v>38788576.934806488</v>
      </c>
      <c r="D50" s="153">
        <v>3047750</v>
      </c>
      <c r="E50" s="153">
        <v>0</v>
      </c>
      <c r="F50" s="153">
        <v>8797248</v>
      </c>
      <c r="G50" s="153">
        <v>281037</v>
      </c>
      <c r="H50" s="153">
        <v>6419714</v>
      </c>
      <c r="I50" s="153">
        <v>1584</v>
      </c>
      <c r="J50" s="153">
        <v>473084</v>
      </c>
      <c r="K50" s="153"/>
      <c r="L50" s="153">
        <f t="shared" si="0"/>
        <v>86568</v>
      </c>
      <c r="M50" s="153">
        <v>2988</v>
      </c>
      <c r="N50" s="153">
        <v>89556</v>
      </c>
      <c r="O50" s="153">
        <f t="shared" si="1"/>
        <v>88657</v>
      </c>
      <c r="P50" s="153">
        <v>3216</v>
      </c>
      <c r="Q50" s="153">
        <v>91873</v>
      </c>
      <c r="R50" s="153"/>
      <c r="S50" s="153"/>
      <c r="T50" s="153"/>
      <c r="U50" s="153"/>
      <c r="V50" s="153"/>
      <c r="W50" s="153"/>
      <c r="X50" s="153"/>
      <c r="Y50" s="153"/>
      <c r="Z50" s="153"/>
      <c r="AA50" s="153"/>
      <c r="AB50" s="153"/>
      <c r="AC50" s="153"/>
      <c r="AD50" s="153"/>
      <c r="AE50" s="153"/>
      <c r="AF50" s="153"/>
      <c r="AG50" s="153"/>
      <c r="AH50" s="153"/>
      <c r="AI50" s="153"/>
    </row>
    <row r="51" spans="1:35" x14ac:dyDescent="0.25">
      <c r="A51" t="s">
        <v>414</v>
      </c>
      <c r="B51" s="153">
        <v>332299538.72671461</v>
      </c>
      <c r="C51" s="153">
        <v>251702149.17410901</v>
      </c>
      <c r="D51" s="153">
        <v>7753699</v>
      </c>
      <c r="E51" s="153">
        <v>33350517</v>
      </c>
      <c r="F51" s="153">
        <v>24481530</v>
      </c>
      <c r="G51" s="153">
        <v>15011643.552605569</v>
      </c>
      <c r="H51" s="153">
        <v>69553951</v>
      </c>
      <c r="I51" s="153">
        <v>17501</v>
      </c>
      <c r="J51" s="153">
        <v>4161741</v>
      </c>
      <c r="K51" s="153"/>
      <c r="L51" s="153">
        <f t="shared" si="0"/>
        <v>632437</v>
      </c>
      <c r="M51" s="153">
        <v>10426</v>
      </c>
      <c r="N51" s="153">
        <v>642863</v>
      </c>
      <c r="O51" s="153">
        <f t="shared" si="1"/>
        <v>629131</v>
      </c>
      <c r="P51" s="153">
        <v>27031</v>
      </c>
      <c r="Q51" s="153">
        <v>656162</v>
      </c>
      <c r="R51" s="153"/>
      <c r="S51" s="153"/>
      <c r="T51" s="153"/>
      <c r="U51" s="153"/>
      <c r="V51" s="153"/>
      <c r="W51" s="153"/>
      <c r="X51" s="153"/>
      <c r="Y51" s="153"/>
      <c r="Z51" s="153"/>
      <c r="AA51" s="153"/>
      <c r="AB51" s="153"/>
      <c r="AC51" s="153"/>
      <c r="AD51" s="153"/>
      <c r="AE51" s="153"/>
      <c r="AF51" s="153"/>
      <c r="AG51" s="153"/>
      <c r="AH51" s="153"/>
      <c r="AI51" s="153"/>
    </row>
    <row r="52" spans="1:35" x14ac:dyDescent="0.25">
      <c r="A52" t="s">
        <v>338</v>
      </c>
      <c r="B52" s="153">
        <v>20030243.449431885</v>
      </c>
      <c r="C52" s="153">
        <v>19762860.449431885</v>
      </c>
      <c r="D52" s="153">
        <v>72499</v>
      </c>
      <c r="E52" s="153">
        <v>0</v>
      </c>
      <c r="F52" s="153">
        <v>59439</v>
      </c>
      <c r="G52" s="153">
        <v>135445</v>
      </c>
      <c r="H52" s="153">
        <v>3132729</v>
      </c>
      <c r="I52" s="153">
        <v>0</v>
      </c>
      <c r="J52" s="153">
        <v>94849</v>
      </c>
      <c r="K52" s="153"/>
      <c r="L52" s="153">
        <f t="shared" si="0"/>
        <v>43663</v>
      </c>
      <c r="M52" s="153">
        <v>14562</v>
      </c>
      <c r="N52" s="153">
        <v>58225</v>
      </c>
      <c r="O52" s="153">
        <f t="shared" si="1"/>
        <v>43640</v>
      </c>
      <c r="P52" s="153">
        <v>12910</v>
      </c>
      <c r="Q52" s="153">
        <v>56550</v>
      </c>
      <c r="R52" s="153"/>
      <c r="S52" s="153"/>
      <c r="T52" s="153"/>
      <c r="U52" s="153"/>
      <c r="V52" s="153"/>
      <c r="W52" s="153"/>
      <c r="X52" s="153"/>
      <c r="Y52" s="153"/>
      <c r="Z52" s="153"/>
      <c r="AA52" s="153"/>
      <c r="AB52" s="153"/>
      <c r="AC52" s="153"/>
      <c r="AD52" s="153"/>
      <c r="AE52" s="153"/>
      <c r="AF52" s="153"/>
      <c r="AG52" s="153"/>
      <c r="AH52" s="153"/>
      <c r="AI52" s="153"/>
    </row>
    <row r="53" spans="1:35" x14ac:dyDescent="0.25">
      <c r="A53" t="s">
        <v>215</v>
      </c>
      <c r="B53" s="153">
        <v>48976300.955564134</v>
      </c>
      <c r="C53" s="153">
        <v>43193565.955564134</v>
      </c>
      <c r="D53" s="153">
        <v>1441603</v>
      </c>
      <c r="E53" s="153">
        <v>0</v>
      </c>
      <c r="F53" s="153">
        <v>4001663</v>
      </c>
      <c r="G53" s="153">
        <v>339469</v>
      </c>
      <c r="H53" s="153">
        <v>4662813</v>
      </c>
      <c r="I53" s="153">
        <v>6524</v>
      </c>
      <c r="J53" s="153">
        <v>91050</v>
      </c>
      <c r="K53" s="153"/>
      <c r="L53" s="153">
        <f t="shared" si="0"/>
        <v>75405</v>
      </c>
      <c r="M53">
        <v>898</v>
      </c>
      <c r="N53" s="153">
        <v>76303</v>
      </c>
      <c r="O53" s="153">
        <f t="shared" si="1"/>
        <v>73142</v>
      </c>
      <c r="P53">
        <v>777</v>
      </c>
      <c r="Q53" s="153">
        <v>73919</v>
      </c>
      <c r="R53" s="153"/>
      <c r="S53" s="153"/>
      <c r="T53" s="153"/>
      <c r="U53" s="153"/>
      <c r="V53" s="153"/>
      <c r="W53" s="153"/>
      <c r="X53" s="153"/>
      <c r="Y53" s="153"/>
      <c r="Z53" s="153"/>
      <c r="AA53" s="153"/>
      <c r="AB53" s="153"/>
      <c r="AC53" s="153"/>
      <c r="AD53" s="153"/>
      <c r="AE53" s="153"/>
      <c r="AF53" s="153"/>
      <c r="AG53" s="153"/>
      <c r="AH53" s="153"/>
      <c r="AI53" s="153"/>
    </row>
    <row r="54" spans="1:35" x14ac:dyDescent="0.25">
      <c r="A54" t="s">
        <v>216</v>
      </c>
      <c r="B54" s="153">
        <v>28276688.847503126</v>
      </c>
      <c r="C54" s="153">
        <v>25590033.847503126</v>
      </c>
      <c r="D54" s="153">
        <v>548490</v>
      </c>
      <c r="E54" s="153">
        <v>0</v>
      </c>
      <c r="F54" s="153">
        <v>1972821</v>
      </c>
      <c r="G54" s="153">
        <v>165344</v>
      </c>
      <c r="H54" s="153">
        <v>4453706</v>
      </c>
      <c r="I54" s="153">
        <v>3722</v>
      </c>
      <c r="J54" s="153">
        <v>339654</v>
      </c>
      <c r="K54" s="153"/>
      <c r="L54" s="153">
        <f t="shared" si="0"/>
        <v>44365</v>
      </c>
      <c r="M54" s="153">
        <v>2522</v>
      </c>
      <c r="N54" s="153">
        <v>46887</v>
      </c>
      <c r="O54" s="153">
        <f t="shared" si="1"/>
        <v>55002</v>
      </c>
      <c r="P54" s="153">
        <v>1989</v>
      </c>
      <c r="Q54" s="153">
        <v>56991</v>
      </c>
      <c r="R54" s="153"/>
      <c r="S54" s="153"/>
      <c r="T54" s="153"/>
      <c r="U54" s="153"/>
      <c r="V54" s="153"/>
      <c r="W54" s="153"/>
      <c r="X54" s="153"/>
      <c r="Y54" s="153"/>
      <c r="Z54" s="153"/>
      <c r="AA54" s="153"/>
      <c r="AB54" s="153"/>
      <c r="AC54" s="153"/>
      <c r="AD54" s="153"/>
      <c r="AE54" s="153"/>
      <c r="AF54" s="153"/>
      <c r="AG54" s="153"/>
      <c r="AH54" s="153"/>
      <c r="AI54" s="153"/>
    </row>
    <row r="55" spans="1:35" x14ac:dyDescent="0.25">
      <c r="A55" t="s">
        <v>464</v>
      </c>
      <c r="B55" s="153">
        <v>57418260.834471598</v>
      </c>
      <c r="C55" s="153">
        <v>46148153.834471598</v>
      </c>
      <c r="D55" s="153">
        <v>709681</v>
      </c>
      <c r="E55" s="153">
        <v>0</v>
      </c>
      <c r="F55" s="153">
        <v>10102968</v>
      </c>
      <c r="G55" s="153">
        <v>457458</v>
      </c>
      <c r="H55" s="153">
        <v>11792148</v>
      </c>
      <c r="I55" s="153">
        <v>4334</v>
      </c>
      <c r="J55" s="153">
        <v>906831</v>
      </c>
      <c r="K55" s="153"/>
      <c r="L55" s="153">
        <f t="shared" si="0"/>
        <v>94828</v>
      </c>
      <c r="M55" s="153">
        <v>7120</v>
      </c>
      <c r="N55" s="153">
        <v>101948</v>
      </c>
      <c r="O55" s="153">
        <f t="shared" si="1"/>
        <v>97469</v>
      </c>
      <c r="P55" s="153">
        <v>8965</v>
      </c>
      <c r="Q55" s="153">
        <v>106434</v>
      </c>
      <c r="R55" s="153"/>
      <c r="S55" s="153"/>
      <c r="T55" s="153"/>
      <c r="U55" s="153"/>
      <c r="V55" s="153"/>
      <c r="W55" s="153"/>
      <c r="X55" s="153"/>
      <c r="Y55" s="153"/>
      <c r="Z55" s="153"/>
      <c r="AA55" s="153"/>
      <c r="AB55" s="153"/>
      <c r="AC55" s="153"/>
      <c r="AD55" s="153"/>
      <c r="AE55" s="153"/>
      <c r="AF55" s="153"/>
      <c r="AG55" s="153"/>
      <c r="AH55" s="153"/>
      <c r="AI55" s="153"/>
    </row>
    <row r="56" spans="1:35" x14ac:dyDescent="0.25">
      <c r="A56" t="s">
        <v>264</v>
      </c>
      <c r="B56" s="153">
        <v>15670811.324645866</v>
      </c>
      <c r="C56" s="153">
        <v>14466068.324645866</v>
      </c>
      <c r="D56" s="153">
        <v>701371</v>
      </c>
      <c r="E56" s="153">
        <v>0</v>
      </c>
      <c r="F56" s="153">
        <v>409500</v>
      </c>
      <c r="G56" s="153">
        <v>93872</v>
      </c>
      <c r="H56" s="153">
        <v>2104444</v>
      </c>
      <c r="I56" s="153">
        <v>896</v>
      </c>
      <c r="J56" s="153">
        <v>54061</v>
      </c>
      <c r="K56" s="153"/>
      <c r="L56" s="153">
        <f t="shared" si="0"/>
        <v>33896</v>
      </c>
      <c r="M56" s="153">
        <v>2022</v>
      </c>
      <c r="N56" s="153">
        <v>35918</v>
      </c>
      <c r="O56" s="153">
        <f t="shared" si="1"/>
        <v>32848</v>
      </c>
      <c r="P56" s="153">
        <v>2398</v>
      </c>
      <c r="Q56" s="153">
        <v>35246</v>
      </c>
      <c r="R56" s="153"/>
      <c r="S56" s="153"/>
      <c r="T56" s="153"/>
      <c r="U56" s="153"/>
      <c r="V56" s="153"/>
      <c r="W56" s="153"/>
      <c r="X56" s="153"/>
      <c r="Y56" s="153"/>
      <c r="Z56" s="153"/>
      <c r="AA56" s="153"/>
      <c r="AB56" s="153"/>
      <c r="AC56" s="153"/>
      <c r="AD56" s="153"/>
      <c r="AE56" s="153"/>
      <c r="AF56" s="153"/>
      <c r="AG56" s="153"/>
      <c r="AH56" s="153"/>
      <c r="AI56" s="153"/>
    </row>
    <row r="57" spans="1:35" x14ac:dyDescent="0.25">
      <c r="A57" t="s">
        <v>265</v>
      </c>
      <c r="B57" s="153">
        <v>22918457.03659812</v>
      </c>
      <c r="C57" s="153">
        <v>21304263.03659812</v>
      </c>
      <c r="D57" s="153">
        <v>479025</v>
      </c>
      <c r="E57" s="153">
        <v>0</v>
      </c>
      <c r="F57" s="153">
        <v>974098</v>
      </c>
      <c r="G57" s="153">
        <v>161071</v>
      </c>
      <c r="H57" s="153">
        <v>2371081</v>
      </c>
      <c r="I57" s="153">
        <v>808</v>
      </c>
      <c r="J57" s="153">
        <v>439942</v>
      </c>
      <c r="K57" s="153"/>
      <c r="L57" s="153">
        <f t="shared" si="0"/>
        <v>48327</v>
      </c>
      <c r="M57" s="153">
        <v>1099</v>
      </c>
      <c r="N57" s="153">
        <v>49426</v>
      </c>
      <c r="O57" s="153">
        <f t="shared" si="1"/>
        <v>44092</v>
      </c>
      <c r="P57">
        <v>163</v>
      </c>
      <c r="Q57" s="153">
        <v>44255</v>
      </c>
      <c r="R57" s="153"/>
      <c r="S57" s="153"/>
      <c r="T57" s="153"/>
      <c r="U57" s="153"/>
      <c r="V57" s="153"/>
      <c r="W57" s="153"/>
      <c r="X57" s="153"/>
      <c r="Y57" s="153"/>
      <c r="Z57" s="153"/>
      <c r="AA57" s="153"/>
      <c r="AB57" s="153"/>
      <c r="AC57" s="153"/>
      <c r="AD57" s="153"/>
      <c r="AE57" s="153"/>
      <c r="AF57" s="153"/>
      <c r="AG57" s="153"/>
      <c r="AH57" s="153"/>
      <c r="AI57" s="153"/>
    </row>
    <row r="58" spans="1:35" x14ac:dyDescent="0.25">
      <c r="A58" t="s">
        <v>217</v>
      </c>
      <c r="B58" s="153">
        <v>31760291.503828362</v>
      </c>
      <c r="C58" s="153">
        <v>28571750.503828362</v>
      </c>
      <c r="D58" s="153">
        <v>725954</v>
      </c>
      <c r="E58" s="153">
        <v>0</v>
      </c>
      <c r="F58" s="153">
        <v>2135917</v>
      </c>
      <c r="G58" s="153">
        <v>326670</v>
      </c>
      <c r="H58" s="153">
        <v>3660771</v>
      </c>
      <c r="I58" s="153">
        <v>10944</v>
      </c>
      <c r="J58" s="153">
        <v>424724</v>
      </c>
      <c r="K58" s="153"/>
      <c r="L58" s="153">
        <f t="shared" si="0"/>
        <v>54481</v>
      </c>
      <c r="M58" s="153">
        <v>2029</v>
      </c>
      <c r="N58" s="153">
        <v>56510</v>
      </c>
      <c r="O58" s="153">
        <f t="shared" si="1"/>
        <v>50503</v>
      </c>
      <c r="P58">
        <v>966</v>
      </c>
      <c r="Q58" s="153">
        <v>51469</v>
      </c>
      <c r="R58" s="153"/>
      <c r="S58" s="153"/>
      <c r="T58" s="153"/>
      <c r="U58" s="153"/>
      <c r="V58" s="153"/>
      <c r="W58" s="153"/>
      <c r="X58" s="153"/>
      <c r="Y58" s="153"/>
      <c r="Z58" s="153"/>
      <c r="AA58" s="153"/>
      <c r="AB58" s="153"/>
      <c r="AC58" s="153"/>
      <c r="AD58" s="153"/>
      <c r="AE58" s="153"/>
      <c r="AF58" s="153"/>
      <c r="AG58" s="153"/>
      <c r="AH58" s="153"/>
      <c r="AI58" s="153"/>
    </row>
    <row r="59" spans="1:35" x14ac:dyDescent="0.25">
      <c r="A59" t="s">
        <v>339</v>
      </c>
      <c r="B59" s="153">
        <v>113431639.00271897</v>
      </c>
      <c r="C59" s="153">
        <v>103560240.00271897</v>
      </c>
      <c r="D59" s="153">
        <v>2407511</v>
      </c>
      <c r="E59" s="153">
        <v>0</v>
      </c>
      <c r="F59" s="153">
        <v>6689794</v>
      </c>
      <c r="G59" s="153">
        <v>774094</v>
      </c>
      <c r="H59" s="153">
        <v>32296613</v>
      </c>
      <c r="I59" s="153">
        <v>8255</v>
      </c>
      <c r="J59" s="153">
        <v>2281629</v>
      </c>
      <c r="K59" s="153"/>
      <c r="L59" s="153">
        <f t="shared" si="0"/>
        <v>205674</v>
      </c>
      <c r="M59" s="153">
        <v>11890</v>
      </c>
      <c r="N59" s="153">
        <v>217564</v>
      </c>
      <c r="O59" s="153">
        <f t="shared" si="1"/>
        <v>197697</v>
      </c>
      <c r="P59" s="153">
        <v>23512</v>
      </c>
      <c r="Q59" s="153">
        <v>221209</v>
      </c>
      <c r="R59" s="153"/>
      <c r="S59" s="153"/>
      <c r="T59" s="153"/>
      <c r="U59" s="153"/>
      <c r="V59" s="153"/>
      <c r="W59" s="153"/>
      <c r="X59" s="153"/>
      <c r="Y59" s="153"/>
      <c r="Z59" s="153"/>
      <c r="AA59" s="153"/>
      <c r="AB59" s="153"/>
      <c r="AC59" s="153"/>
      <c r="AD59" s="153"/>
      <c r="AE59" s="153"/>
      <c r="AF59" s="153"/>
      <c r="AG59" s="153"/>
      <c r="AH59" s="153"/>
      <c r="AI59" s="153"/>
    </row>
    <row r="60" spans="1:35" x14ac:dyDescent="0.25">
      <c r="A60" t="s">
        <v>295</v>
      </c>
      <c r="B60" s="153">
        <v>39671072.72611475</v>
      </c>
      <c r="C60" s="153">
        <v>38126969.72611475</v>
      </c>
      <c r="D60" s="153">
        <v>529046</v>
      </c>
      <c r="E60" s="153">
        <v>0</v>
      </c>
      <c r="F60" s="153">
        <v>781498</v>
      </c>
      <c r="G60" s="153">
        <v>233559</v>
      </c>
      <c r="H60" s="153">
        <v>4913892</v>
      </c>
      <c r="I60" s="153">
        <v>1947</v>
      </c>
      <c r="J60" s="153">
        <v>61652</v>
      </c>
      <c r="K60" s="153"/>
      <c r="L60" s="153">
        <f t="shared" si="0"/>
        <v>67696</v>
      </c>
      <c r="M60" s="153">
        <v>5034</v>
      </c>
      <c r="N60" s="153">
        <v>72730</v>
      </c>
      <c r="O60" s="153">
        <f t="shared" si="1"/>
        <v>63979</v>
      </c>
      <c r="P60">
        <v>901</v>
      </c>
      <c r="Q60" s="153">
        <v>64880</v>
      </c>
      <c r="R60" s="153"/>
      <c r="S60" s="153"/>
      <c r="T60" s="153"/>
      <c r="U60" s="153"/>
      <c r="V60" s="153"/>
      <c r="W60" s="153"/>
      <c r="X60" s="153"/>
      <c r="Y60" s="153"/>
      <c r="Z60" s="153"/>
      <c r="AA60" s="153"/>
      <c r="AB60" s="153"/>
      <c r="AC60" s="153"/>
      <c r="AD60" s="153"/>
      <c r="AE60" s="153"/>
      <c r="AF60" s="153"/>
      <c r="AG60" s="153"/>
      <c r="AH60" s="153"/>
      <c r="AI60" s="153"/>
    </row>
    <row r="61" spans="1:35" x14ac:dyDescent="0.25">
      <c r="A61" t="s">
        <v>132</v>
      </c>
      <c r="B61" s="153">
        <v>57485083.972169526</v>
      </c>
      <c r="C61" s="153">
        <v>51889254.972169526</v>
      </c>
      <c r="D61" s="153">
        <v>926968</v>
      </c>
      <c r="E61" s="153">
        <v>0</v>
      </c>
      <c r="F61" s="153">
        <v>4078561</v>
      </c>
      <c r="G61" s="153">
        <v>590300</v>
      </c>
      <c r="H61" s="153">
        <v>11844648</v>
      </c>
      <c r="I61" s="153">
        <v>13933</v>
      </c>
      <c r="J61" s="153">
        <v>956309</v>
      </c>
      <c r="K61" s="153"/>
      <c r="L61" s="153">
        <f t="shared" si="0"/>
        <v>109597</v>
      </c>
      <c r="M61" s="153">
        <v>5001</v>
      </c>
      <c r="N61" s="153">
        <v>114598</v>
      </c>
      <c r="O61" s="153">
        <f t="shared" si="1"/>
        <v>105307</v>
      </c>
      <c r="P61" s="153">
        <v>1923</v>
      </c>
      <c r="Q61" s="153">
        <v>107230</v>
      </c>
      <c r="R61" s="153"/>
      <c r="S61" s="153"/>
      <c r="T61" s="153"/>
      <c r="U61" s="153"/>
      <c r="V61" s="153"/>
      <c r="W61" s="153"/>
      <c r="X61" s="153"/>
      <c r="Y61" s="153"/>
      <c r="Z61" s="153"/>
      <c r="AA61" s="153"/>
      <c r="AB61" s="153"/>
      <c r="AC61" s="153"/>
      <c r="AD61" s="153"/>
      <c r="AE61" s="153"/>
      <c r="AF61" s="153"/>
      <c r="AG61" s="153"/>
      <c r="AH61" s="153"/>
      <c r="AI61" s="153"/>
    </row>
    <row r="62" spans="1:35" x14ac:dyDescent="0.25">
      <c r="A62" t="s">
        <v>415</v>
      </c>
      <c r="B62" s="153">
        <v>26873353.811155323</v>
      </c>
      <c r="C62" s="153">
        <v>23600075.811155323</v>
      </c>
      <c r="D62" s="153">
        <v>374993</v>
      </c>
      <c r="E62" s="153">
        <v>0</v>
      </c>
      <c r="F62" s="153">
        <v>1995582</v>
      </c>
      <c r="G62" s="153">
        <v>902703</v>
      </c>
      <c r="H62" s="153">
        <v>3693089</v>
      </c>
      <c r="I62" s="153">
        <v>82</v>
      </c>
      <c r="J62" s="153">
        <v>188967</v>
      </c>
      <c r="K62" s="153"/>
      <c r="L62" s="153">
        <f t="shared" si="0"/>
        <v>61085</v>
      </c>
      <c r="M62" s="153">
        <v>1695</v>
      </c>
      <c r="N62" s="153">
        <v>62780</v>
      </c>
      <c r="O62" s="153">
        <f t="shared" si="1"/>
        <v>58000</v>
      </c>
      <c r="P62" s="153">
        <v>1407</v>
      </c>
      <c r="Q62" s="153">
        <v>59407</v>
      </c>
      <c r="R62" s="153"/>
      <c r="S62" s="153"/>
      <c r="T62" s="153"/>
      <c r="U62" s="153"/>
      <c r="V62" s="153"/>
      <c r="W62" s="153"/>
      <c r="X62" s="153"/>
      <c r="Y62" s="153"/>
      <c r="Z62" s="153"/>
      <c r="AA62" s="153"/>
      <c r="AB62" s="153"/>
      <c r="AC62" s="153"/>
      <c r="AD62" s="153"/>
      <c r="AE62" s="153"/>
      <c r="AF62" s="153"/>
      <c r="AG62" s="153"/>
      <c r="AH62" s="153"/>
      <c r="AI62" s="153"/>
    </row>
    <row r="63" spans="1:35" x14ac:dyDescent="0.25">
      <c r="A63" t="s">
        <v>416</v>
      </c>
      <c r="B63" s="153">
        <v>38749025.713153943</v>
      </c>
      <c r="C63" s="153">
        <v>32408639.713153943</v>
      </c>
      <c r="D63" s="153">
        <v>697778</v>
      </c>
      <c r="E63" s="153">
        <v>0</v>
      </c>
      <c r="F63" s="153">
        <v>5241196</v>
      </c>
      <c r="G63" s="153">
        <v>401412</v>
      </c>
      <c r="H63" s="153">
        <v>6301423</v>
      </c>
      <c r="I63" s="153">
        <v>593</v>
      </c>
      <c r="J63" s="153">
        <v>615000</v>
      </c>
      <c r="K63" s="153"/>
      <c r="L63" s="153">
        <f t="shared" si="0"/>
        <v>72784</v>
      </c>
      <c r="M63" s="153">
        <v>1203</v>
      </c>
      <c r="N63" s="153">
        <v>73987</v>
      </c>
      <c r="O63" s="153">
        <f t="shared" si="1"/>
        <v>68263</v>
      </c>
      <c r="P63" s="153">
        <v>1995</v>
      </c>
      <c r="Q63" s="153">
        <v>70258</v>
      </c>
      <c r="R63" s="153"/>
      <c r="S63" s="153"/>
      <c r="T63" s="153"/>
      <c r="U63" s="153"/>
      <c r="V63" s="153"/>
      <c r="W63" s="153"/>
      <c r="X63" s="153"/>
      <c r="Y63" s="153"/>
      <c r="Z63" s="153"/>
      <c r="AA63" s="153"/>
      <c r="AB63" s="153"/>
      <c r="AC63" s="153"/>
      <c r="AD63" s="153"/>
      <c r="AE63" s="153"/>
      <c r="AF63" s="153"/>
      <c r="AG63" s="153"/>
      <c r="AH63" s="153"/>
      <c r="AI63" s="153"/>
    </row>
    <row r="64" spans="1:35" x14ac:dyDescent="0.25">
      <c r="A64" t="s">
        <v>218</v>
      </c>
      <c r="B64" s="153">
        <v>43006889.511726446</v>
      </c>
      <c r="C64" s="153">
        <v>38814354.511726446</v>
      </c>
      <c r="D64" s="153">
        <v>393973</v>
      </c>
      <c r="E64" s="153">
        <v>0</v>
      </c>
      <c r="F64" s="153">
        <v>3491516</v>
      </c>
      <c r="G64" s="153">
        <v>307046</v>
      </c>
      <c r="H64" s="153">
        <v>7642912</v>
      </c>
      <c r="I64" s="153">
        <v>5456</v>
      </c>
      <c r="J64" s="153">
        <v>732712</v>
      </c>
      <c r="K64" s="153"/>
      <c r="L64" s="153">
        <f t="shared" si="0"/>
        <v>74916</v>
      </c>
      <c r="M64" s="153">
        <v>1790</v>
      </c>
      <c r="N64" s="153">
        <v>76706</v>
      </c>
      <c r="O64" s="153">
        <f t="shared" si="1"/>
        <v>70553</v>
      </c>
      <c r="P64" s="153">
        <v>2416</v>
      </c>
      <c r="Q64" s="153">
        <v>72969</v>
      </c>
      <c r="R64" s="153"/>
      <c r="S64" s="153"/>
      <c r="T64" s="153"/>
      <c r="U64" s="153"/>
      <c r="V64" s="153"/>
      <c r="W64" s="153"/>
      <c r="X64" s="153"/>
      <c r="Y64" s="153"/>
      <c r="Z64" s="153"/>
      <c r="AA64" s="153"/>
      <c r="AB64" s="153"/>
      <c r="AC64" s="153"/>
      <c r="AD64" s="153"/>
      <c r="AE64" s="153"/>
      <c r="AF64" s="153"/>
      <c r="AG64" s="153"/>
      <c r="AH64" s="153"/>
      <c r="AI64" s="153"/>
    </row>
    <row r="65" spans="1:35" x14ac:dyDescent="0.25">
      <c r="A65" t="s">
        <v>187</v>
      </c>
      <c r="B65" s="153">
        <v>35211322.542558976</v>
      </c>
      <c r="C65" s="153">
        <v>31325955.542558976</v>
      </c>
      <c r="D65" s="153">
        <v>823084</v>
      </c>
      <c r="E65" s="153">
        <v>0</v>
      </c>
      <c r="F65" s="153">
        <v>2866430</v>
      </c>
      <c r="G65" s="153">
        <v>195853</v>
      </c>
      <c r="H65" s="153">
        <v>3432859</v>
      </c>
      <c r="I65" s="153">
        <v>4691</v>
      </c>
      <c r="J65" s="153">
        <v>62340.73</v>
      </c>
      <c r="K65" s="153"/>
      <c r="L65" s="153">
        <f t="shared" si="0"/>
        <v>59484</v>
      </c>
      <c r="M65" s="153">
        <v>1980</v>
      </c>
      <c r="N65" s="153">
        <v>61464</v>
      </c>
      <c r="O65" s="153">
        <f t="shared" si="1"/>
        <v>59545</v>
      </c>
      <c r="P65" s="153">
        <v>2189</v>
      </c>
      <c r="Q65" s="153">
        <v>61734</v>
      </c>
      <c r="R65" s="153"/>
      <c r="S65" s="153"/>
      <c r="T65" s="153"/>
      <c r="U65" s="153"/>
      <c r="V65" s="153"/>
      <c r="W65" s="153"/>
      <c r="X65" s="153"/>
      <c r="Y65" s="153"/>
      <c r="Z65" s="153"/>
      <c r="AA65" s="153"/>
      <c r="AB65" s="153"/>
      <c r="AC65" s="153"/>
      <c r="AD65" s="153"/>
      <c r="AE65" s="153"/>
      <c r="AF65" s="153"/>
      <c r="AG65" s="153"/>
      <c r="AH65" s="153"/>
      <c r="AI65" s="153"/>
    </row>
    <row r="66" spans="1:35" x14ac:dyDescent="0.25">
      <c r="A66" t="s">
        <v>167</v>
      </c>
      <c r="B66" s="153">
        <v>33981286.342124745</v>
      </c>
      <c r="C66" s="153">
        <v>27422135.342124745</v>
      </c>
      <c r="D66" s="153">
        <v>1330010</v>
      </c>
      <c r="E66" s="153">
        <v>0</v>
      </c>
      <c r="F66" s="153">
        <v>4952309</v>
      </c>
      <c r="G66" s="153">
        <v>276832</v>
      </c>
      <c r="H66" s="153">
        <v>6939804</v>
      </c>
      <c r="I66" s="153">
        <v>1565</v>
      </c>
      <c r="J66" s="153">
        <v>290742.52</v>
      </c>
      <c r="K66" s="153"/>
      <c r="L66" s="153">
        <f t="shared" si="0"/>
        <v>51870</v>
      </c>
      <c r="M66" s="153">
        <v>1901</v>
      </c>
      <c r="N66" s="153">
        <v>53771</v>
      </c>
      <c r="O66" s="153">
        <f t="shared" si="1"/>
        <v>49566</v>
      </c>
      <c r="P66" s="153">
        <v>2444</v>
      </c>
      <c r="Q66" s="153">
        <v>52010</v>
      </c>
      <c r="R66" s="153"/>
      <c r="S66" s="153"/>
      <c r="T66" s="153"/>
      <c r="U66" s="153"/>
      <c r="V66" s="153"/>
      <c r="W66" s="153"/>
      <c r="X66" s="153"/>
      <c r="Y66" s="153"/>
      <c r="Z66" s="153"/>
      <c r="AA66" s="153"/>
      <c r="AB66" s="153"/>
      <c r="AC66" s="153"/>
      <c r="AD66" s="153"/>
      <c r="AE66" s="153"/>
      <c r="AF66" s="153"/>
      <c r="AG66" s="153"/>
      <c r="AH66" s="153"/>
      <c r="AI66" s="153"/>
    </row>
    <row r="67" spans="1:35" x14ac:dyDescent="0.25">
      <c r="A67" t="s">
        <v>266</v>
      </c>
      <c r="B67" s="153">
        <v>50060777.815245882</v>
      </c>
      <c r="C67" s="153">
        <v>47642112.815245882</v>
      </c>
      <c r="D67" s="153">
        <v>948696</v>
      </c>
      <c r="E67" s="153">
        <v>0</v>
      </c>
      <c r="F67" s="153">
        <v>1172685</v>
      </c>
      <c r="G67" s="153">
        <v>297284</v>
      </c>
      <c r="H67" s="153">
        <v>8756169</v>
      </c>
      <c r="I67" s="153">
        <v>11164</v>
      </c>
      <c r="J67" s="153">
        <v>255851.73</v>
      </c>
      <c r="K67" s="153"/>
      <c r="L67" s="153">
        <f t="shared" ref="L67:L130" si="2">SUM(-M67,N67)</f>
        <v>108096</v>
      </c>
      <c r="M67">
        <v>325</v>
      </c>
      <c r="N67" s="153">
        <v>108421</v>
      </c>
      <c r="O67" s="153">
        <f t="shared" ref="O67:O130" si="3">SUM(-P67,Q67)</f>
        <v>108212</v>
      </c>
      <c r="P67">
        <v>237</v>
      </c>
      <c r="Q67" s="153">
        <v>108449</v>
      </c>
      <c r="R67" s="153"/>
      <c r="S67" s="153"/>
      <c r="T67" s="153"/>
      <c r="U67" s="153"/>
      <c r="V67" s="153"/>
      <c r="W67" s="153"/>
      <c r="X67" s="153"/>
      <c r="Y67" s="153"/>
      <c r="Z67" s="153"/>
      <c r="AA67" s="153"/>
      <c r="AB67" s="153"/>
      <c r="AC67" s="153"/>
      <c r="AD67" s="153"/>
      <c r="AE67" s="153"/>
      <c r="AF67" s="153"/>
      <c r="AG67" s="153"/>
      <c r="AH67" s="153"/>
      <c r="AI67" s="153"/>
    </row>
    <row r="68" spans="1:35" x14ac:dyDescent="0.25">
      <c r="A68" t="s">
        <v>611</v>
      </c>
      <c r="B68" s="153">
        <v>73896184.566513896</v>
      </c>
      <c r="C68" s="153">
        <v>68642416.566513896</v>
      </c>
      <c r="D68" s="153">
        <v>1111029</v>
      </c>
      <c r="E68" s="153">
        <v>0</v>
      </c>
      <c r="F68" s="153">
        <v>3396087</v>
      </c>
      <c r="G68" s="153">
        <v>746652</v>
      </c>
      <c r="H68" s="153">
        <v>12651585</v>
      </c>
      <c r="I68" s="153">
        <v>19971</v>
      </c>
      <c r="J68" s="153">
        <v>528803.96</v>
      </c>
      <c r="K68" s="153"/>
      <c r="L68" s="153">
        <f t="shared" si="2"/>
        <v>123312</v>
      </c>
      <c r="M68" s="153">
        <v>3815</v>
      </c>
      <c r="N68" s="153">
        <v>127127</v>
      </c>
      <c r="O68" s="153">
        <f t="shared" si="3"/>
        <v>119516</v>
      </c>
      <c r="P68" s="153">
        <v>3076</v>
      </c>
      <c r="Q68" s="153">
        <v>122592</v>
      </c>
      <c r="R68" s="153"/>
      <c r="S68" s="153"/>
      <c r="T68" s="153"/>
      <c r="U68" s="153"/>
      <c r="V68" s="153"/>
      <c r="W68" s="153"/>
      <c r="X68" s="153"/>
      <c r="Y68" s="153"/>
      <c r="Z68" s="153"/>
      <c r="AA68" s="153"/>
      <c r="AB68" s="153"/>
      <c r="AC68" s="153"/>
      <c r="AD68" s="153"/>
      <c r="AE68" s="153"/>
      <c r="AF68" s="153"/>
      <c r="AG68" s="153"/>
      <c r="AH68" s="153"/>
      <c r="AI68" s="153"/>
    </row>
    <row r="69" spans="1:35" x14ac:dyDescent="0.25">
      <c r="A69" t="s">
        <v>267</v>
      </c>
      <c r="B69" s="153">
        <v>49179663.007720456</v>
      </c>
      <c r="C69" s="153">
        <v>46400068.007720456</v>
      </c>
      <c r="D69" s="153">
        <v>830727</v>
      </c>
      <c r="E69" s="153">
        <v>0</v>
      </c>
      <c r="F69" s="153">
        <v>1509937</v>
      </c>
      <c r="G69" s="153">
        <v>438931</v>
      </c>
      <c r="H69" s="153">
        <v>7404340</v>
      </c>
      <c r="I69" s="153">
        <v>4659</v>
      </c>
      <c r="J69" s="153">
        <v>298717.65999999997</v>
      </c>
      <c r="K69" s="153"/>
      <c r="L69" s="153">
        <f t="shared" si="2"/>
        <v>96609</v>
      </c>
      <c r="M69" s="153">
        <v>7164</v>
      </c>
      <c r="N69" s="153">
        <v>103773</v>
      </c>
      <c r="O69" s="153">
        <f t="shared" si="3"/>
        <v>90953</v>
      </c>
      <c r="P69" s="153">
        <v>6224</v>
      </c>
      <c r="Q69" s="153">
        <v>97177</v>
      </c>
      <c r="R69" s="153"/>
      <c r="S69" s="153"/>
      <c r="T69" s="153"/>
      <c r="U69" s="153"/>
      <c r="V69" s="153"/>
      <c r="W69" s="153"/>
      <c r="X69" s="153"/>
      <c r="Y69" s="153"/>
      <c r="Z69" s="153"/>
      <c r="AA69" s="153"/>
      <c r="AB69" s="153"/>
      <c r="AC69" s="153"/>
      <c r="AD69" s="153"/>
      <c r="AE69" s="153"/>
      <c r="AF69" s="153"/>
      <c r="AG69" s="153"/>
      <c r="AH69" s="153"/>
      <c r="AI69" s="153"/>
    </row>
    <row r="70" spans="1:35" x14ac:dyDescent="0.25">
      <c r="A70" t="s">
        <v>140</v>
      </c>
      <c r="B70" s="153">
        <v>30738900.509341318</v>
      </c>
      <c r="C70" s="153">
        <v>28784951.509341318</v>
      </c>
      <c r="D70" s="153">
        <v>510448</v>
      </c>
      <c r="E70" s="153">
        <v>0</v>
      </c>
      <c r="F70" s="153">
        <v>1145072</v>
      </c>
      <c r="G70" s="153">
        <v>298429</v>
      </c>
      <c r="H70" s="153">
        <v>3413015</v>
      </c>
      <c r="I70" s="153">
        <v>5007</v>
      </c>
      <c r="J70" s="153">
        <v>82077.81</v>
      </c>
      <c r="K70" s="153"/>
      <c r="L70" s="153">
        <f t="shared" si="2"/>
        <v>49176</v>
      </c>
      <c r="M70">
        <v>344</v>
      </c>
      <c r="N70" s="153">
        <v>49520</v>
      </c>
      <c r="O70" s="153">
        <f t="shared" si="3"/>
        <v>47794</v>
      </c>
      <c r="P70">
        <v>405</v>
      </c>
      <c r="Q70" s="153">
        <v>48199</v>
      </c>
      <c r="R70" s="153"/>
      <c r="S70" s="153"/>
      <c r="T70" s="153"/>
      <c r="U70" s="153"/>
      <c r="V70" s="153"/>
      <c r="W70" s="153"/>
      <c r="X70" s="153"/>
      <c r="Y70" s="153"/>
      <c r="Z70" s="153"/>
      <c r="AA70" s="153"/>
      <c r="AB70" s="153"/>
      <c r="AC70" s="153"/>
      <c r="AD70" s="153"/>
      <c r="AE70" s="153"/>
      <c r="AF70" s="153"/>
      <c r="AG70" s="153"/>
      <c r="AH70" s="153"/>
      <c r="AI70" s="153"/>
    </row>
    <row r="71" spans="1:35" x14ac:dyDescent="0.25">
      <c r="A71" t="s">
        <v>341</v>
      </c>
      <c r="B71" s="153">
        <v>192723180.83889705</v>
      </c>
      <c r="C71" s="153">
        <v>153587149.32199642</v>
      </c>
      <c r="D71" s="153">
        <v>2279940</v>
      </c>
      <c r="E71" s="153">
        <v>18546989</v>
      </c>
      <c r="F71" s="153">
        <v>12383904</v>
      </c>
      <c r="G71" s="153">
        <v>5925198.51690064</v>
      </c>
      <c r="H71" s="153">
        <v>52247723</v>
      </c>
      <c r="I71" s="153">
        <v>12681</v>
      </c>
      <c r="J71" s="153">
        <v>2763262.24</v>
      </c>
      <c r="K71" s="153"/>
      <c r="L71" s="153">
        <f t="shared" si="2"/>
        <v>401707</v>
      </c>
      <c r="M71" s="153">
        <v>33491</v>
      </c>
      <c r="N71" s="153">
        <v>435198</v>
      </c>
      <c r="O71" s="153">
        <f t="shared" si="3"/>
        <v>343294</v>
      </c>
      <c r="P71" s="153">
        <v>7757</v>
      </c>
      <c r="Q71" s="153">
        <v>351051</v>
      </c>
      <c r="R71" s="153"/>
      <c r="S71" s="153"/>
      <c r="T71" s="153"/>
      <c r="U71" s="153"/>
      <c r="V71" s="153"/>
      <c r="W71" s="153"/>
      <c r="X71" s="153"/>
      <c r="Y71" s="153"/>
      <c r="Z71" s="153"/>
      <c r="AA71" s="153"/>
      <c r="AB71" s="153"/>
      <c r="AC71" s="153"/>
      <c r="AD71" s="153"/>
      <c r="AE71" s="153"/>
      <c r="AF71" s="153"/>
      <c r="AG71" s="153"/>
      <c r="AH71" s="153"/>
      <c r="AI71" s="153"/>
    </row>
    <row r="72" spans="1:35" x14ac:dyDescent="0.25">
      <c r="A72" t="s">
        <v>146</v>
      </c>
      <c r="B72" s="153">
        <v>53245079.111885265</v>
      </c>
      <c r="C72" s="153">
        <v>43381128.111885265</v>
      </c>
      <c r="D72" s="153">
        <v>1815629</v>
      </c>
      <c r="E72" s="153">
        <v>0</v>
      </c>
      <c r="F72" s="153">
        <v>4450688</v>
      </c>
      <c r="G72" s="153">
        <v>3597634</v>
      </c>
      <c r="H72" s="153">
        <v>13761078</v>
      </c>
      <c r="I72" s="153">
        <v>920</v>
      </c>
      <c r="J72" s="153">
        <v>839257.52</v>
      </c>
      <c r="K72" s="153"/>
      <c r="L72" s="153">
        <f t="shared" si="2"/>
        <v>91617</v>
      </c>
      <c r="M72" s="153">
        <v>1736</v>
      </c>
      <c r="N72" s="153">
        <v>93353</v>
      </c>
      <c r="O72" s="153">
        <f t="shared" si="3"/>
        <v>90769</v>
      </c>
      <c r="P72" s="153">
        <v>1849</v>
      </c>
      <c r="Q72" s="153">
        <v>92618</v>
      </c>
      <c r="R72" s="153"/>
      <c r="S72" s="153"/>
      <c r="T72" s="153"/>
      <c r="U72" s="153"/>
      <c r="V72" s="153"/>
      <c r="W72" s="153"/>
      <c r="X72" s="153"/>
      <c r="Y72" s="153"/>
      <c r="Z72" s="153"/>
      <c r="AA72" s="153"/>
      <c r="AB72" s="153"/>
      <c r="AC72" s="153"/>
      <c r="AD72" s="153"/>
      <c r="AE72" s="153"/>
      <c r="AF72" s="153"/>
      <c r="AG72" s="153"/>
      <c r="AH72" s="153"/>
      <c r="AI72" s="153"/>
    </row>
    <row r="73" spans="1:35" x14ac:dyDescent="0.25">
      <c r="A73" t="s">
        <v>296</v>
      </c>
      <c r="B73" s="153">
        <v>112483411.73999606</v>
      </c>
      <c r="C73" s="153">
        <v>88972885.186689526</v>
      </c>
      <c r="D73" s="153">
        <v>3411172</v>
      </c>
      <c r="E73" s="153">
        <v>9633830</v>
      </c>
      <c r="F73" s="153">
        <v>6707842</v>
      </c>
      <c r="G73" s="153">
        <v>3757682.5533065395</v>
      </c>
      <c r="H73" s="153">
        <v>24923951</v>
      </c>
      <c r="I73" s="153">
        <v>3571</v>
      </c>
      <c r="J73" s="153">
        <v>1832690.15</v>
      </c>
      <c r="K73" s="153"/>
      <c r="L73" s="153">
        <f t="shared" si="2"/>
        <v>193466</v>
      </c>
      <c r="M73" s="153">
        <v>7978</v>
      </c>
      <c r="N73" s="153">
        <v>201444</v>
      </c>
      <c r="O73" s="153">
        <f t="shared" si="3"/>
        <v>187647</v>
      </c>
      <c r="P73" s="153">
        <v>9145</v>
      </c>
      <c r="Q73" s="153">
        <v>196792</v>
      </c>
      <c r="R73" s="153"/>
      <c r="S73" s="153"/>
      <c r="T73" s="153"/>
      <c r="U73" s="153"/>
      <c r="V73" s="153"/>
      <c r="W73" s="153"/>
      <c r="X73" s="153"/>
      <c r="Y73" s="153"/>
      <c r="Z73" s="153"/>
      <c r="AA73" s="153"/>
      <c r="AB73" s="153"/>
      <c r="AC73" s="153"/>
      <c r="AD73" s="153"/>
      <c r="AE73" s="153"/>
      <c r="AF73" s="153"/>
      <c r="AG73" s="153"/>
      <c r="AH73" s="153"/>
      <c r="AI73" s="153"/>
    </row>
    <row r="74" spans="1:35" x14ac:dyDescent="0.25">
      <c r="A74" t="s">
        <v>417</v>
      </c>
      <c r="B74" s="153">
        <v>47907186.678831004</v>
      </c>
      <c r="C74" s="153">
        <v>40769352.678831004</v>
      </c>
      <c r="D74" s="153">
        <v>2555869</v>
      </c>
      <c r="E74" s="153">
        <v>0</v>
      </c>
      <c r="F74" s="153">
        <v>4303947</v>
      </c>
      <c r="G74" s="153">
        <v>278018</v>
      </c>
      <c r="H74" s="153">
        <v>6406278</v>
      </c>
      <c r="I74" s="153">
        <v>4309</v>
      </c>
      <c r="J74" s="153">
        <v>311167.2</v>
      </c>
      <c r="K74" s="153"/>
      <c r="L74" s="153">
        <f t="shared" si="2"/>
        <v>86524</v>
      </c>
      <c r="M74">
        <v>571</v>
      </c>
      <c r="N74" s="153">
        <v>87095</v>
      </c>
      <c r="O74" s="153">
        <f t="shared" si="3"/>
        <v>80763</v>
      </c>
      <c r="P74" s="153">
        <v>2267</v>
      </c>
      <c r="Q74" s="153">
        <v>83030</v>
      </c>
      <c r="R74" s="153"/>
      <c r="S74" s="153"/>
      <c r="T74" s="153"/>
      <c r="U74" s="153"/>
      <c r="V74" s="153"/>
      <c r="W74" s="153"/>
      <c r="X74" s="153"/>
      <c r="Y74" s="153"/>
      <c r="Z74" s="153"/>
      <c r="AA74" s="153"/>
      <c r="AB74" s="153"/>
      <c r="AC74" s="153"/>
      <c r="AD74" s="153"/>
      <c r="AE74" s="153"/>
      <c r="AF74" s="153"/>
      <c r="AG74" s="153"/>
      <c r="AH74" s="153"/>
      <c r="AI74" s="153"/>
    </row>
    <row r="75" spans="1:35" x14ac:dyDescent="0.25">
      <c r="A75" t="s">
        <v>188</v>
      </c>
      <c r="B75" s="153">
        <v>197269371.42554486</v>
      </c>
      <c r="C75" s="153">
        <v>150034737.62130988</v>
      </c>
      <c r="D75" s="153">
        <v>3114255</v>
      </c>
      <c r="E75" s="153">
        <v>19900575</v>
      </c>
      <c r="F75" s="153">
        <v>18014832</v>
      </c>
      <c r="G75" s="153">
        <v>6204971.8042349797</v>
      </c>
      <c r="H75" s="153">
        <v>38060913</v>
      </c>
      <c r="I75" s="153">
        <v>12121</v>
      </c>
      <c r="J75" s="153">
        <v>2962180.04</v>
      </c>
      <c r="K75" s="153"/>
      <c r="L75" s="153">
        <f t="shared" si="2"/>
        <v>331195</v>
      </c>
      <c r="M75" s="153">
        <v>11006</v>
      </c>
      <c r="N75" s="153">
        <v>342201</v>
      </c>
      <c r="O75" s="153">
        <f t="shared" si="3"/>
        <v>326161</v>
      </c>
      <c r="P75" s="153">
        <v>9234</v>
      </c>
      <c r="Q75" s="153">
        <v>335395</v>
      </c>
      <c r="R75" s="153"/>
      <c r="S75" s="153"/>
      <c r="T75" s="153"/>
      <c r="U75" s="153"/>
      <c r="V75" s="153"/>
      <c r="W75" s="153"/>
      <c r="X75" s="153"/>
      <c r="Y75" s="153"/>
      <c r="Z75" s="153"/>
      <c r="AA75" s="153"/>
      <c r="AB75" s="153"/>
      <c r="AC75" s="153"/>
      <c r="AD75" s="153"/>
      <c r="AE75" s="153"/>
      <c r="AF75" s="153"/>
      <c r="AG75" s="153"/>
      <c r="AH75" s="153"/>
      <c r="AI75" s="153"/>
    </row>
    <row r="76" spans="1:35" x14ac:dyDescent="0.25">
      <c r="A76" t="s">
        <v>297</v>
      </c>
      <c r="B76" s="153">
        <v>38443725.826219425</v>
      </c>
      <c r="C76" s="153">
        <v>35476747.826219425</v>
      </c>
      <c r="D76" s="153">
        <v>808437</v>
      </c>
      <c r="E76" s="153">
        <v>0</v>
      </c>
      <c r="F76" s="153">
        <v>1843995</v>
      </c>
      <c r="G76" s="153">
        <v>314546</v>
      </c>
      <c r="H76" s="153">
        <v>8156964</v>
      </c>
      <c r="I76" s="153">
        <v>18845</v>
      </c>
      <c r="J76" s="153">
        <v>750587.64</v>
      </c>
      <c r="K76" s="153"/>
      <c r="L76" s="153">
        <f t="shared" si="2"/>
        <v>80871</v>
      </c>
      <c r="M76" s="153">
        <v>1716</v>
      </c>
      <c r="N76" s="153">
        <v>82587</v>
      </c>
      <c r="O76" s="153">
        <f t="shared" si="3"/>
        <v>98658</v>
      </c>
      <c r="P76">
        <v>197</v>
      </c>
      <c r="Q76" s="153">
        <v>98855</v>
      </c>
      <c r="R76" s="153"/>
      <c r="S76" s="153"/>
      <c r="T76" s="153"/>
      <c r="U76" s="153"/>
      <c r="V76" s="153"/>
      <c r="W76" s="153"/>
      <c r="X76" s="153"/>
      <c r="Y76" s="153"/>
      <c r="Z76" s="153"/>
      <c r="AA76" s="153"/>
      <c r="AB76" s="153"/>
      <c r="AC76" s="153"/>
      <c r="AD76" s="153"/>
      <c r="AE76" s="153"/>
      <c r="AF76" s="153"/>
      <c r="AG76" s="153"/>
      <c r="AH76" s="153"/>
      <c r="AI76" s="153"/>
    </row>
    <row r="77" spans="1:35" x14ac:dyDescent="0.25">
      <c r="A77" t="s">
        <v>189</v>
      </c>
      <c r="B77" s="153">
        <v>33206659.394991737</v>
      </c>
      <c r="C77" s="153">
        <v>29185492.394991737</v>
      </c>
      <c r="D77" s="153">
        <v>1514281</v>
      </c>
      <c r="E77" s="153">
        <v>0</v>
      </c>
      <c r="F77" s="153">
        <v>2297821</v>
      </c>
      <c r="G77" s="153">
        <v>209065</v>
      </c>
      <c r="H77" s="153">
        <v>3228207</v>
      </c>
      <c r="I77" s="153">
        <v>11334</v>
      </c>
      <c r="J77" s="153">
        <v>62615.91</v>
      </c>
      <c r="K77" s="153"/>
      <c r="L77" s="153">
        <f t="shared" si="2"/>
        <v>58886</v>
      </c>
      <c r="M77" s="153">
        <v>3346</v>
      </c>
      <c r="N77" s="153">
        <v>62232</v>
      </c>
      <c r="O77" s="153">
        <f t="shared" si="3"/>
        <v>55984</v>
      </c>
      <c r="P77" s="153">
        <v>14971</v>
      </c>
      <c r="Q77" s="153">
        <v>70955</v>
      </c>
      <c r="R77" s="153"/>
      <c r="S77" s="153"/>
      <c r="T77" s="153"/>
      <c r="U77" s="153"/>
      <c r="V77" s="153"/>
      <c r="W77" s="153"/>
      <c r="X77" s="153"/>
      <c r="Y77" s="153"/>
      <c r="Z77" s="153"/>
      <c r="AA77" s="153"/>
      <c r="AB77" s="153"/>
      <c r="AC77" s="153"/>
      <c r="AD77" s="153"/>
      <c r="AE77" s="153"/>
      <c r="AF77" s="153"/>
      <c r="AG77" s="153"/>
      <c r="AH77" s="153"/>
      <c r="AI77" s="153"/>
    </row>
    <row r="78" spans="1:35" x14ac:dyDescent="0.25">
      <c r="A78" t="s">
        <v>219</v>
      </c>
      <c r="B78" s="153">
        <v>19365378.075078152</v>
      </c>
      <c r="C78" s="153">
        <v>17332607.075078152</v>
      </c>
      <c r="D78" s="153">
        <v>200292</v>
      </c>
      <c r="E78" s="153">
        <v>0</v>
      </c>
      <c r="F78" s="153">
        <v>1660401</v>
      </c>
      <c r="G78" s="153">
        <v>172078</v>
      </c>
      <c r="H78" s="153">
        <v>4359793</v>
      </c>
      <c r="I78" s="153">
        <v>758</v>
      </c>
      <c r="J78" s="153">
        <v>330189.15000000002</v>
      </c>
      <c r="K78" s="153"/>
      <c r="L78" s="153">
        <f t="shared" si="2"/>
        <v>32317</v>
      </c>
      <c r="M78">
        <v>809</v>
      </c>
      <c r="N78" s="153">
        <v>33126</v>
      </c>
      <c r="O78" s="153">
        <f t="shared" si="3"/>
        <v>31013</v>
      </c>
      <c r="P78" s="153">
        <v>1194</v>
      </c>
      <c r="Q78" s="153">
        <v>32207</v>
      </c>
      <c r="R78" s="153"/>
      <c r="S78" s="153"/>
      <c r="T78" s="153"/>
      <c r="U78" s="153"/>
      <c r="V78" s="153"/>
      <c r="W78" s="153"/>
      <c r="X78" s="153"/>
      <c r="Y78" s="153"/>
      <c r="Z78" s="153"/>
      <c r="AA78" s="153"/>
      <c r="AB78" s="153"/>
      <c r="AC78" s="153"/>
      <c r="AD78" s="153"/>
      <c r="AE78" s="153"/>
      <c r="AF78" s="153"/>
      <c r="AG78" s="153"/>
      <c r="AH78" s="153"/>
      <c r="AI78" s="153"/>
    </row>
    <row r="79" spans="1:35" x14ac:dyDescent="0.25">
      <c r="A79" t="s">
        <v>220</v>
      </c>
      <c r="B79" s="153">
        <v>132330158.99991009</v>
      </c>
      <c r="C79" s="153">
        <v>83550767.280963868</v>
      </c>
      <c r="D79" s="153">
        <v>2369307</v>
      </c>
      <c r="E79" s="153">
        <v>32177189</v>
      </c>
      <c r="F79" s="153">
        <v>8740910</v>
      </c>
      <c r="G79" s="153">
        <v>5491985.7189462204</v>
      </c>
      <c r="H79" s="153">
        <v>18566790</v>
      </c>
      <c r="I79" s="153">
        <v>20246</v>
      </c>
      <c r="J79" s="153">
        <v>1103569.93</v>
      </c>
      <c r="K79" s="153"/>
      <c r="L79" s="153">
        <f t="shared" si="2"/>
        <v>223193</v>
      </c>
      <c r="M79" s="153">
        <v>2975</v>
      </c>
      <c r="N79" s="153">
        <v>226168</v>
      </c>
      <c r="O79" s="153">
        <f t="shared" si="3"/>
        <v>209656</v>
      </c>
      <c r="P79" s="153">
        <v>4258</v>
      </c>
      <c r="Q79" s="153">
        <v>213914</v>
      </c>
      <c r="R79" s="153"/>
      <c r="S79" s="153"/>
      <c r="T79" s="153"/>
      <c r="U79" s="153"/>
      <c r="V79" s="153"/>
      <c r="W79" s="153"/>
      <c r="X79" s="153"/>
      <c r="Y79" s="153"/>
      <c r="Z79" s="153"/>
      <c r="AA79" s="153"/>
      <c r="AB79" s="153"/>
      <c r="AC79" s="153"/>
      <c r="AD79" s="153"/>
      <c r="AE79" s="153"/>
      <c r="AF79" s="153"/>
      <c r="AG79" s="153"/>
      <c r="AH79" s="153"/>
      <c r="AI79" s="153"/>
    </row>
    <row r="80" spans="1:35" x14ac:dyDescent="0.25">
      <c r="A80" t="s">
        <v>418</v>
      </c>
      <c r="B80" s="153">
        <v>31587824.187830091</v>
      </c>
      <c r="C80" s="153">
        <v>29695579.187830091</v>
      </c>
      <c r="D80" s="153">
        <v>267257</v>
      </c>
      <c r="E80" s="153">
        <v>0</v>
      </c>
      <c r="F80" s="153">
        <v>1443055</v>
      </c>
      <c r="G80" s="153">
        <v>181933</v>
      </c>
      <c r="H80" s="153">
        <v>4686398</v>
      </c>
      <c r="I80" s="153">
        <v>821</v>
      </c>
      <c r="J80" s="153">
        <v>420287.49</v>
      </c>
      <c r="K80" s="153"/>
      <c r="L80" s="153">
        <f t="shared" si="2"/>
        <v>55121</v>
      </c>
      <c r="M80" s="153">
        <v>1102</v>
      </c>
      <c r="N80" s="153">
        <v>56223</v>
      </c>
      <c r="O80" s="153">
        <f t="shared" si="3"/>
        <v>50494</v>
      </c>
      <c r="P80">
        <v>853</v>
      </c>
      <c r="Q80" s="153">
        <v>51347</v>
      </c>
      <c r="R80" s="153"/>
      <c r="S80" s="153"/>
      <c r="T80" s="153"/>
      <c r="U80" s="153"/>
      <c r="V80" s="153"/>
      <c r="W80" s="153"/>
      <c r="X80" s="153"/>
      <c r="Y80" s="153"/>
      <c r="Z80" s="153"/>
      <c r="AA80" s="153"/>
      <c r="AB80" s="153"/>
      <c r="AC80" s="153"/>
      <c r="AD80" s="153"/>
      <c r="AE80" s="153"/>
      <c r="AF80" s="153"/>
      <c r="AG80" s="153"/>
      <c r="AH80" s="153"/>
      <c r="AI80" s="153"/>
    </row>
    <row r="81" spans="1:35" x14ac:dyDescent="0.25">
      <c r="A81" t="s">
        <v>342</v>
      </c>
      <c r="B81" s="153">
        <v>274541212.60999119</v>
      </c>
      <c r="C81" s="153">
        <v>193525699.21087956</v>
      </c>
      <c r="D81" s="153">
        <v>5651145</v>
      </c>
      <c r="E81" s="153">
        <v>41851459</v>
      </c>
      <c r="F81" s="153">
        <v>20593391</v>
      </c>
      <c r="G81" s="153">
        <v>12919518.399111629</v>
      </c>
      <c r="H81" s="153">
        <v>52528530</v>
      </c>
      <c r="I81" s="153">
        <v>7324</v>
      </c>
      <c r="J81" s="153">
        <v>6085067.46</v>
      </c>
      <c r="K81" s="153"/>
      <c r="L81" s="153">
        <f t="shared" si="2"/>
        <v>478914</v>
      </c>
      <c r="M81" s="153">
        <v>62145</v>
      </c>
      <c r="N81" s="153">
        <v>541059</v>
      </c>
      <c r="O81" s="153">
        <f t="shared" si="3"/>
        <v>458034</v>
      </c>
      <c r="P81" s="153">
        <v>170364</v>
      </c>
      <c r="Q81" s="153">
        <v>628398</v>
      </c>
      <c r="R81" s="153"/>
      <c r="S81" s="153"/>
      <c r="T81" s="153"/>
      <c r="U81" s="153"/>
      <c r="V81" s="153"/>
      <c r="W81" s="153"/>
      <c r="X81" s="153"/>
      <c r="Y81" s="153"/>
      <c r="Z81" s="153"/>
      <c r="AA81" s="153"/>
      <c r="AB81" s="153"/>
      <c r="AC81" s="153"/>
      <c r="AD81" s="153"/>
      <c r="AE81" s="153"/>
      <c r="AF81" s="153"/>
      <c r="AG81" s="153"/>
      <c r="AH81" s="153"/>
      <c r="AI81" s="153"/>
    </row>
    <row r="82" spans="1:35" x14ac:dyDescent="0.25">
      <c r="A82" t="s">
        <v>298</v>
      </c>
      <c r="B82" s="153">
        <v>23603502.33879843</v>
      </c>
      <c r="C82" s="153">
        <v>21700518.33879843</v>
      </c>
      <c r="D82" s="153">
        <v>524128</v>
      </c>
      <c r="E82" s="153">
        <v>0</v>
      </c>
      <c r="F82" s="153">
        <v>1207296</v>
      </c>
      <c r="G82" s="153">
        <v>171560</v>
      </c>
      <c r="H82" s="153">
        <v>2341632</v>
      </c>
      <c r="I82" s="153">
        <v>641</v>
      </c>
      <c r="J82" s="153">
        <v>103537.95</v>
      </c>
      <c r="K82" s="153"/>
      <c r="L82" s="153">
        <f t="shared" si="2"/>
        <v>40294</v>
      </c>
      <c r="M82" s="153">
        <v>2841</v>
      </c>
      <c r="N82" s="153">
        <v>43135</v>
      </c>
      <c r="O82" s="153">
        <f t="shared" si="3"/>
        <v>38233</v>
      </c>
      <c r="P82" s="153">
        <v>2185</v>
      </c>
      <c r="Q82" s="153">
        <v>40418</v>
      </c>
      <c r="R82" s="153"/>
      <c r="S82" s="153"/>
      <c r="T82" s="153"/>
      <c r="U82" s="153"/>
      <c r="V82" s="153"/>
      <c r="W82" s="153"/>
      <c r="X82" s="153"/>
      <c r="Y82" s="153"/>
      <c r="Z82" s="153"/>
      <c r="AA82" s="153"/>
      <c r="AB82" s="153"/>
      <c r="AC82" s="153"/>
      <c r="AD82" s="153"/>
      <c r="AE82" s="153"/>
      <c r="AF82" s="153"/>
      <c r="AG82" s="153"/>
      <c r="AH82" s="153"/>
      <c r="AI82" s="153"/>
    </row>
    <row r="83" spans="1:35" x14ac:dyDescent="0.25">
      <c r="A83" t="s">
        <v>419</v>
      </c>
      <c r="B83" s="153">
        <v>31464017.604746342</v>
      </c>
      <c r="C83" s="153">
        <v>29243635.604746342</v>
      </c>
      <c r="D83" s="153">
        <v>621392</v>
      </c>
      <c r="E83" s="153">
        <v>0</v>
      </c>
      <c r="F83" s="153">
        <v>1400996</v>
      </c>
      <c r="G83" s="153">
        <v>197994</v>
      </c>
      <c r="H83" s="153">
        <v>3111235</v>
      </c>
      <c r="I83" s="153">
        <v>1265</v>
      </c>
      <c r="J83" s="153">
        <v>114775.59</v>
      </c>
      <c r="K83" s="153"/>
      <c r="L83" s="153">
        <f t="shared" si="2"/>
        <v>52303</v>
      </c>
      <c r="M83" s="153">
        <v>2508</v>
      </c>
      <c r="N83" s="153">
        <v>54811</v>
      </c>
      <c r="O83" s="153">
        <f t="shared" si="3"/>
        <v>48656</v>
      </c>
      <c r="P83" s="153">
        <v>4609</v>
      </c>
      <c r="Q83" s="153">
        <v>53265</v>
      </c>
      <c r="R83" s="153"/>
      <c r="S83" s="153"/>
      <c r="T83" s="153"/>
      <c r="U83" s="153"/>
      <c r="V83" s="153"/>
      <c r="W83" s="153"/>
      <c r="X83" s="153"/>
      <c r="Y83" s="153"/>
      <c r="Z83" s="153"/>
      <c r="AA83" s="153"/>
      <c r="AB83" s="153"/>
      <c r="AC83" s="153"/>
      <c r="AD83" s="153"/>
      <c r="AE83" s="153"/>
      <c r="AF83" s="153"/>
      <c r="AG83" s="153"/>
      <c r="AH83" s="153"/>
      <c r="AI83" s="153"/>
    </row>
    <row r="84" spans="1:35" x14ac:dyDescent="0.25">
      <c r="A84" t="s">
        <v>495</v>
      </c>
      <c r="B84" s="153">
        <v>57204582.612974152</v>
      </c>
      <c r="C84" s="153">
        <v>52849477.612974152</v>
      </c>
      <c r="D84" s="153">
        <v>2320132</v>
      </c>
      <c r="E84" s="153">
        <v>0</v>
      </c>
      <c r="F84" s="153">
        <v>1504635</v>
      </c>
      <c r="G84" s="153">
        <v>530338</v>
      </c>
      <c r="H84" s="153">
        <v>9838450</v>
      </c>
      <c r="I84" s="153">
        <v>26225</v>
      </c>
      <c r="J84" s="153">
        <v>685987.88</v>
      </c>
      <c r="K84" s="153"/>
      <c r="L84" s="153">
        <f t="shared" si="2"/>
        <v>103639</v>
      </c>
      <c r="M84" s="153">
        <v>4139</v>
      </c>
      <c r="N84" s="153">
        <v>107778</v>
      </c>
      <c r="O84" s="153">
        <f t="shared" si="3"/>
        <v>111073</v>
      </c>
      <c r="P84" s="153">
        <v>4841</v>
      </c>
      <c r="Q84" s="153">
        <v>115914</v>
      </c>
      <c r="R84" s="153"/>
      <c r="S84" s="153"/>
      <c r="T84" s="153"/>
      <c r="U84" s="153"/>
      <c r="V84" s="153"/>
      <c r="W84" s="153"/>
      <c r="X84" s="153"/>
      <c r="Y84" s="153"/>
      <c r="Z84" s="153"/>
      <c r="AA84" s="153"/>
      <c r="AB84" s="153"/>
      <c r="AC84" s="153"/>
      <c r="AD84" s="153"/>
      <c r="AE84" s="153"/>
      <c r="AF84" s="153"/>
      <c r="AG84" s="153"/>
      <c r="AH84" s="153"/>
      <c r="AI84" s="153"/>
    </row>
    <row r="85" spans="1:35" x14ac:dyDescent="0.25">
      <c r="A85" t="s">
        <v>221</v>
      </c>
      <c r="B85" s="153">
        <v>27340745.996433213</v>
      </c>
      <c r="C85" s="153">
        <v>24455646.996433213</v>
      </c>
      <c r="D85" s="153">
        <v>354866</v>
      </c>
      <c r="E85" s="153">
        <v>0</v>
      </c>
      <c r="F85" s="153">
        <v>2257909</v>
      </c>
      <c r="G85" s="153">
        <v>272324</v>
      </c>
      <c r="H85" s="153">
        <v>3781564</v>
      </c>
      <c r="I85" s="153">
        <v>2513</v>
      </c>
      <c r="J85" s="153">
        <v>302367.64</v>
      </c>
      <c r="K85" s="153"/>
      <c r="L85" s="153">
        <f t="shared" si="2"/>
        <v>41460</v>
      </c>
      <c r="M85" s="153">
        <v>3489</v>
      </c>
      <c r="N85" s="153">
        <v>44949</v>
      </c>
      <c r="O85" s="153">
        <f t="shared" si="3"/>
        <v>39880</v>
      </c>
      <c r="P85" s="153">
        <v>3311</v>
      </c>
      <c r="Q85" s="153">
        <v>43191</v>
      </c>
      <c r="R85" s="153"/>
      <c r="S85" s="153"/>
      <c r="T85" s="153"/>
      <c r="U85" s="153"/>
      <c r="V85" s="153"/>
      <c r="W85" s="153"/>
      <c r="X85" s="153"/>
      <c r="Y85" s="153"/>
      <c r="Z85" s="153"/>
      <c r="AA85" s="153"/>
      <c r="AB85" s="153"/>
      <c r="AC85" s="153"/>
      <c r="AD85" s="153"/>
      <c r="AE85" s="153"/>
      <c r="AF85" s="153"/>
      <c r="AG85" s="153"/>
      <c r="AH85" s="153"/>
      <c r="AI85" s="153"/>
    </row>
    <row r="86" spans="1:35" x14ac:dyDescent="0.25">
      <c r="A86" t="s">
        <v>222</v>
      </c>
      <c r="B86" s="153">
        <v>33646030.878235161</v>
      </c>
      <c r="C86" s="153">
        <v>31074723.878235165</v>
      </c>
      <c r="D86" s="153">
        <v>429827</v>
      </c>
      <c r="E86" s="153">
        <v>0</v>
      </c>
      <c r="F86" s="153">
        <v>1913392</v>
      </c>
      <c r="G86" s="153">
        <v>228088</v>
      </c>
      <c r="H86" s="153">
        <v>5984210</v>
      </c>
      <c r="I86" s="153">
        <v>4002</v>
      </c>
      <c r="J86" s="153">
        <v>196407.91</v>
      </c>
      <c r="K86" s="153"/>
      <c r="L86" s="153">
        <f t="shared" si="2"/>
        <v>58080</v>
      </c>
      <c r="M86">
        <v>45</v>
      </c>
      <c r="N86" s="153">
        <v>58125</v>
      </c>
      <c r="O86" s="153">
        <f t="shared" si="3"/>
        <v>58402</v>
      </c>
      <c r="P86">
        <v>62</v>
      </c>
      <c r="Q86" s="153">
        <v>58464</v>
      </c>
      <c r="R86" s="153"/>
      <c r="S86" s="153"/>
      <c r="T86" s="153"/>
      <c r="U86" s="153"/>
      <c r="V86" s="153"/>
      <c r="W86" s="153"/>
      <c r="X86" s="153"/>
      <c r="Y86" s="153"/>
      <c r="Z86" s="153"/>
      <c r="AA86" s="153"/>
      <c r="AB86" s="153"/>
      <c r="AC86" s="153"/>
      <c r="AD86" s="153"/>
      <c r="AE86" s="153"/>
      <c r="AF86" s="153"/>
      <c r="AG86" s="153"/>
      <c r="AH86" s="153"/>
      <c r="AI86" s="153"/>
    </row>
    <row r="87" spans="1:35" x14ac:dyDescent="0.25">
      <c r="A87" t="s">
        <v>465</v>
      </c>
      <c r="B87" s="153">
        <v>46421087.362798981</v>
      </c>
      <c r="C87" s="153">
        <v>41761289.362798981</v>
      </c>
      <c r="D87" s="153">
        <v>722399</v>
      </c>
      <c r="E87" s="153">
        <v>0</v>
      </c>
      <c r="F87" s="153">
        <v>3586682</v>
      </c>
      <c r="G87" s="153">
        <v>350717</v>
      </c>
      <c r="H87" s="153">
        <v>6431117</v>
      </c>
      <c r="I87" s="153">
        <v>4047</v>
      </c>
      <c r="J87" s="153">
        <v>320994.15999999997</v>
      </c>
      <c r="K87" s="153"/>
      <c r="L87" s="153">
        <f t="shared" si="2"/>
        <v>75185</v>
      </c>
      <c r="M87" s="153">
        <v>4247</v>
      </c>
      <c r="N87" s="153">
        <v>79432</v>
      </c>
      <c r="O87" s="153">
        <f t="shared" si="3"/>
        <v>73106</v>
      </c>
      <c r="P87">
        <v>786</v>
      </c>
      <c r="Q87" s="153">
        <v>73892</v>
      </c>
      <c r="R87" s="153"/>
      <c r="S87" s="153"/>
      <c r="T87" s="153"/>
      <c r="U87" s="153"/>
      <c r="V87" s="153"/>
      <c r="W87" s="153"/>
      <c r="X87" s="153"/>
      <c r="Y87" s="153"/>
      <c r="Z87" s="153"/>
      <c r="AA87" s="153"/>
      <c r="AB87" s="153"/>
      <c r="AC87" s="153"/>
      <c r="AD87" s="153"/>
      <c r="AE87" s="153"/>
      <c r="AF87" s="153"/>
      <c r="AG87" s="153"/>
      <c r="AH87" s="153"/>
      <c r="AI87" s="153"/>
    </row>
    <row r="88" spans="1:35" x14ac:dyDescent="0.25">
      <c r="A88" t="s">
        <v>299</v>
      </c>
      <c r="B88" s="153">
        <v>42466161.130931333</v>
      </c>
      <c r="C88" s="153">
        <v>40035010.130931333</v>
      </c>
      <c r="D88" s="153">
        <v>275333</v>
      </c>
      <c r="E88" s="153">
        <v>0</v>
      </c>
      <c r="F88" s="153">
        <v>1884493</v>
      </c>
      <c r="G88" s="153">
        <v>271325</v>
      </c>
      <c r="H88" s="153">
        <v>4494174</v>
      </c>
      <c r="I88" s="153">
        <v>589</v>
      </c>
      <c r="J88" s="153">
        <v>281190.77</v>
      </c>
      <c r="K88" s="153"/>
      <c r="L88" s="153">
        <f t="shared" si="2"/>
        <v>85061</v>
      </c>
      <c r="M88" s="153">
        <v>7493</v>
      </c>
      <c r="N88" s="153">
        <v>92554</v>
      </c>
      <c r="O88" s="153">
        <f t="shared" si="3"/>
        <v>84423</v>
      </c>
      <c r="P88" s="153">
        <v>6980</v>
      </c>
      <c r="Q88" s="153">
        <v>91403</v>
      </c>
      <c r="R88" s="153"/>
      <c r="S88" s="153"/>
      <c r="T88" s="153"/>
      <c r="U88" s="153"/>
      <c r="V88" s="153"/>
      <c r="W88" s="153"/>
      <c r="X88" s="153"/>
      <c r="Y88" s="153"/>
      <c r="Z88" s="153"/>
      <c r="AA88" s="153"/>
      <c r="AB88" s="153"/>
      <c r="AC88" s="153"/>
      <c r="AD88" s="153"/>
      <c r="AE88" s="153"/>
      <c r="AF88" s="153"/>
      <c r="AG88" s="153"/>
      <c r="AH88" s="153"/>
      <c r="AI88" s="153"/>
    </row>
    <row r="89" spans="1:35" x14ac:dyDescent="0.25">
      <c r="A89" t="s">
        <v>223</v>
      </c>
      <c r="B89" s="153">
        <v>186893393.47471738</v>
      </c>
      <c r="C89" s="153">
        <v>144040929.72560549</v>
      </c>
      <c r="D89" s="153">
        <v>7002124</v>
      </c>
      <c r="E89" s="153">
        <v>21264386</v>
      </c>
      <c r="F89" s="153">
        <v>9317607</v>
      </c>
      <c r="G89" s="153">
        <v>5268346.7491119001</v>
      </c>
      <c r="H89" s="153">
        <v>24153917</v>
      </c>
      <c r="I89" s="153">
        <v>23975</v>
      </c>
      <c r="J89" s="153">
        <v>2900737.63</v>
      </c>
      <c r="K89" s="153"/>
      <c r="L89" s="153">
        <f t="shared" si="2"/>
        <v>378897</v>
      </c>
      <c r="M89" s="153">
        <v>37596</v>
      </c>
      <c r="N89" s="153">
        <v>416493</v>
      </c>
      <c r="O89" s="153">
        <f t="shared" si="3"/>
        <v>351567</v>
      </c>
      <c r="P89" s="153">
        <v>31943</v>
      </c>
      <c r="Q89" s="153">
        <v>383510</v>
      </c>
      <c r="R89" s="153"/>
      <c r="S89" s="153"/>
      <c r="T89" s="153"/>
      <c r="U89" s="153"/>
      <c r="V89" s="153"/>
      <c r="W89" s="153"/>
      <c r="X89" s="153"/>
      <c r="Y89" s="153"/>
      <c r="Z89" s="153"/>
      <c r="AA89" s="153"/>
      <c r="AB89" s="153"/>
      <c r="AC89" s="153"/>
      <c r="AD89" s="153"/>
      <c r="AE89" s="153"/>
      <c r="AF89" s="153"/>
      <c r="AG89" s="153"/>
      <c r="AH89" s="153"/>
      <c r="AI89" s="153"/>
    </row>
    <row r="90" spans="1:35" x14ac:dyDescent="0.25">
      <c r="A90" t="s">
        <v>268</v>
      </c>
      <c r="B90" s="153">
        <v>9798362.9178896546</v>
      </c>
      <c r="C90" s="153">
        <v>9330396.9178896546</v>
      </c>
      <c r="D90" s="153">
        <v>40062</v>
      </c>
      <c r="E90" s="153">
        <v>0</v>
      </c>
      <c r="F90" s="153">
        <v>297117</v>
      </c>
      <c r="G90" s="153">
        <v>130787</v>
      </c>
      <c r="H90" s="153">
        <v>1187655</v>
      </c>
      <c r="I90" s="153">
        <v>3480</v>
      </c>
      <c r="J90" s="153">
        <v>61652.79</v>
      </c>
      <c r="K90" s="153"/>
      <c r="L90" s="153">
        <f t="shared" si="2"/>
        <v>20193</v>
      </c>
      <c r="M90" s="153">
        <v>1115</v>
      </c>
      <c r="N90" s="153">
        <v>21308</v>
      </c>
      <c r="O90" s="153">
        <f t="shared" si="3"/>
        <v>20139</v>
      </c>
      <c r="P90" s="153">
        <v>1766</v>
      </c>
      <c r="Q90" s="153">
        <v>21905</v>
      </c>
      <c r="R90" s="153"/>
      <c r="S90" s="153"/>
      <c r="T90" s="153"/>
      <c r="U90" s="153"/>
      <c r="V90" s="153"/>
      <c r="W90" s="153"/>
      <c r="X90" s="153"/>
      <c r="Y90" s="153"/>
      <c r="Z90" s="153"/>
      <c r="AA90" s="153"/>
      <c r="AB90" s="153"/>
      <c r="AC90" s="153"/>
      <c r="AD90" s="153"/>
      <c r="AE90" s="153"/>
      <c r="AF90" s="153"/>
      <c r="AG90" s="153"/>
      <c r="AH90" s="153"/>
      <c r="AI90" s="153"/>
    </row>
    <row r="91" spans="1:35" x14ac:dyDescent="0.25">
      <c r="A91" t="s">
        <v>420</v>
      </c>
      <c r="B91" s="153">
        <v>25439587.624308303</v>
      </c>
      <c r="C91" s="153">
        <v>21434426.624308303</v>
      </c>
      <c r="D91" s="153">
        <v>767859</v>
      </c>
      <c r="E91" s="153">
        <v>0</v>
      </c>
      <c r="F91" s="153">
        <v>3047712</v>
      </c>
      <c r="G91" s="153">
        <v>189590</v>
      </c>
      <c r="H91" s="153">
        <v>2141771</v>
      </c>
      <c r="I91" s="153">
        <v>0</v>
      </c>
      <c r="J91" s="153">
        <v>62615.91</v>
      </c>
      <c r="K91" s="153"/>
      <c r="L91" s="153">
        <f t="shared" si="2"/>
        <v>43146</v>
      </c>
      <c r="M91" s="153">
        <v>1210</v>
      </c>
      <c r="N91" s="153">
        <v>44356</v>
      </c>
      <c r="O91" s="153">
        <f t="shared" si="3"/>
        <v>43696</v>
      </c>
      <c r="P91" s="153">
        <v>1281</v>
      </c>
      <c r="Q91" s="153">
        <v>44977</v>
      </c>
      <c r="R91" s="153"/>
      <c r="S91" s="153"/>
      <c r="T91" s="153"/>
      <c r="U91" s="153"/>
      <c r="V91" s="153"/>
      <c r="W91" s="153"/>
      <c r="X91" s="153"/>
      <c r="Y91" s="153"/>
      <c r="Z91" s="153"/>
      <c r="AA91" s="153"/>
      <c r="AB91" s="153"/>
      <c r="AC91" s="153"/>
      <c r="AD91" s="153"/>
      <c r="AE91" s="153"/>
      <c r="AF91" s="153"/>
      <c r="AG91" s="153"/>
      <c r="AH91" s="153"/>
      <c r="AI91" s="153"/>
    </row>
    <row r="92" spans="1:35" x14ac:dyDescent="0.25">
      <c r="A92" t="s">
        <v>466</v>
      </c>
      <c r="B92" s="153">
        <v>31246144.280280247</v>
      </c>
      <c r="C92" s="153">
        <v>27227080.280280247</v>
      </c>
      <c r="D92" s="153">
        <v>1892495</v>
      </c>
      <c r="E92" s="153">
        <v>0</v>
      </c>
      <c r="F92" s="153">
        <v>2007450</v>
      </c>
      <c r="G92" s="153">
        <v>119119</v>
      </c>
      <c r="H92" s="153">
        <v>3346473</v>
      </c>
      <c r="I92" s="153">
        <v>179</v>
      </c>
      <c r="J92" s="153">
        <v>54060.800000000003</v>
      </c>
      <c r="K92" s="153"/>
      <c r="L92" s="153">
        <f t="shared" si="2"/>
        <v>52274</v>
      </c>
      <c r="M92" s="153">
        <v>2092</v>
      </c>
      <c r="N92" s="153">
        <v>54366</v>
      </c>
      <c r="O92" s="153">
        <f t="shared" si="3"/>
        <v>50552</v>
      </c>
      <c r="P92" s="153">
        <v>1517</v>
      </c>
      <c r="Q92" s="153">
        <v>52069</v>
      </c>
      <c r="R92" s="153"/>
      <c r="S92" s="153"/>
      <c r="T92" s="153"/>
      <c r="U92" s="153"/>
      <c r="V92" s="153"/>
      <c r="W92" s="153"/>
      <c r="X92" s="153"/>
      <c r="Y92" s="153"/>
      <c r="Z92" s="153"/>
      <c r="AA92" s="153"/>
      <c r="AB92" s="153"/>
      <c r="AC92" s="153"/>
      <c r="AD92" s="153"/>
      <c r="AE92" s="153"/>
      <c r="AF92" s="153"/>
      <c r="AG92" s="153"/>
      <c r="AH92" s="153"/>
      <c r="AI92" s="153"/>
    </row>
    <row r="93" spans="1:35" x14ac:dyDescent="0.25">
      <c r="A93" t="s">
        <v>421</v>
      </c>
      <c r="B93" s="153">
        <v>458257821.10781813</v>
      </c>
      <c r="C93" s="153">
        <v>343674739.04858392</v>
      </c>
      <c r="D93" s="153">
        <v>9333622</v>
      </c>
      <c r="E93" s="153">
        <v>49078437</v>
      </c>
      <c r="F93" s="153">
        <v>34941195</v>
      </c>
      <c r="G93" s="153">
        <v>21229828.059234232</v>
      </c>
      <c r="H93" s="153">
        <v>107838115</v>
      </c>
      <c r="I93" s="153">
        <v>77202</v>
      </c>
      <c r="J93" s="153">
        <v>7676988.21</v>
      </c>
      <c r="K93" s="153"/>
      <c r="L93" s="153">
        <f t="shared" si="2"/>
        <v>863730</v>
      </c>
      <c r="M93" s="153">
        <v>23238</v>
      </c>
      <c r="N93" s="153">
        <v>886968</v>
      </c>
      <c r="O93" s="153">
        <f t="shared" si="3"/>
        <v>861057</v>
      </c>
      <c r="P93" s="153">
        <v>32937</v>
      </c>
      <c r="Q93" s="153">
        <v>893994</v>
      </c>
      <c r="R93" s="153"/>
      <c r="S93" s="153"/>
      <c r="T93" s="153"/>
      <c r="U93" s="153"/>
      <c r="V93" s="153"/>
      <c r="W93" s="153"/>
      <c r="X93" s="153"/>
      <c r="Y93" s="153"/>
      <c r="Z93" s="153"/>
      <c r="AA93" s="153"/>
      <c r="AB93" s="153"/>
      <c r="AC93" s="153"/>
      <c r="AD93" s="153"/>
      <c r="AE93" s="153"/>
      <c r="AF93" s="153"/>
      <c r="AG93" s="153"/>
      <c r="AH93" s="153"/>
      <c r="AI93" s="153"/>
    </row>
    <row r="94" spans="1:35" x14ac:dyDescent="0.25">
      <c r="A94" t="s">
        <v>224</v>
      </c>
      <c r="B94" s="153">
        <v>32089731.478167217</v>
      </c>
      <c r="C94" s="153">
        <v>28066033.478167217</v>
      </c>
      <c r="D94" s="153">
        <v>626235</v>
      </c>
      <c r="E94" s="153">
        <v>0</v>
      </c>
      <c r="F94" s="153">
        <v>3241037</v>
      </c>
      <c r="G94" s="153">
        <v>156426</v>
      </c>
      <c r="H94" s="153">
        <v>3542054</v>
      </c>
      <c r="I94" s="153">
        <v>0</v>
      </c>
      <c r="J94" s="153">
        <v>392593.93</v>
      </c>
      <c r="K94" s="153"/>
      <c r="L94" s="153">
        <f t="shared" si="2"/>
        <v>49180</v>
      </c>
      <c r="M94" s="153">
        <v>4702</v>
      </c>
      <c r="N94" s="153">
        <v>53882</v>
      </c>
      <c r="O94" s="153">
        <f t="shared" si="3"/>
        <v>48577</v>
      </c>
      <c r="P94" s="153">
        <v>2468</v>
      </c>
      <c r="Q94" s="153">
        <v>51045</v>
      </c>
      <c r="R94" s="153"/>
      <c r="S94" s="153"/>
      <c r="T94" s="153"/>
      <c r="U94" s="153"/>
      <c r="V94" s="153"/>
      <c r="W94" s="153"/>
      <c r="X94" s="153"/>
      <c r="Y94" s="153"/>
      <c r="Z94" s="153"/>
      <c r="AA94" s="153"/>
      <c r="AB94" s="153"/>
      <c r="AC94" s="153"/>
      <c r="AD94" s="153"/>
      <c r="AE94" s="153"/>
      <c r="AF94" s="153"/>
      <c r="AG94" s="153"/>
      <c r="AH94" s="153"/>
      <c r="AI94" s="153"/>
    </row>
    <row r="95" spans="1:35" x14ac:dyDescent="0.25">
      <c r="A95" t="s">
        <v>133</v>
      </c>
      <c r="B95" s="153">
        <v>233237511.20975992</v>
      </c>
      <c r="C95" s="153">
        <v>169849177.37485898</v>
      </c>
      <c r="D95" s="153">
        <v>5970966</v>
      </c>
      <c r="E95" s="153">
        <v>0</v>
      </c>
      <c r="F95" s="153">
        <v>24753727</v>
      </c>
      <c r="G95" s="153">
        <v>10774346.83490094</v>
      </c>
      <c r="H95" s="153">
        <v>53200797</v>
      </c>
      <c r="I95" s="153">
        <v>65731</v>
      </c>
      <c r="J95" s="153">
        <v>3100609.2</v>
      </c>
      <c r="K95" s="153"/>
      <c r="L95" s="153">
        <f t="shared" si="2"/>
        <v>411963</v>
      </c>
      <c r="M95" s="153">
        <v>5993</v>
      </c>
      <c r="N95" s="153">
        <v>417956</v>
      </c>
      <c r="O95" s="153">
        <f t="shared" si="3"/>
        <v>395797</v>
      </c>
      <c r="P95" s="153">
        <v>11449</v>
      </c>
      <c r="Q95" s="153">
        <v>407246</v>
      </c>
      <c r="R95" s="153"/>
      <c r="S95" s="153"/>
      <c r="T95" s="153"/>
      <c r="U95" s="153"/>
      <c r="V95" s="153"/>
      <c r="W95" s="153"/>
      <c r="X95" s="153"/>
      <c r="Y95" s="153"/>
      <c r="Z95" s="153"/>
      <c r="AA95" s="153"/>
      <c r="AB95" s="153"/>
      <c r="AC95" s="153"/>
      <c r="AD95" s="153"/>
      <c r="AE95" s="153"/>
      <c r="AF95" s="153"/>
      <c r="AG95" s="153"/>
      <c r="AH95" s="153"/>
      <c r="AI95" s="153"/>
    </row>
    <row r="96" spans="1:35" x14ac:dyDescent="0.25">
      <c r="A96" t="s">
        <v>300</v>
      </c>
      <c r="B96" s="153">
        <v>30083810.493061595</v>
      </c>
      <c r="C96" s="153">
        <v>27505611.493061595</v>
      </c>
      <c r="D96" s="153">
        <v>658725</v>
      </c>
      <c r="E96" s="153">
        <v>0</v>
      </c>
      <c r="F96" s="153">
        <v>1684776</v>
      </c>
      <c r="G96" s="153">
        <v>234698</v>
      </c>
      <c r="H96" s="153">
        <v>4822612</v>
      </c>
      <c r="I96" s="153">
        <v>3447</v>
      </c>
      <c r="J96" s="153">
        <v>420758.58</v>
      </c>
      <c r="K96" s="153"/>
      <c r="L96" s="153">
        <f t="shared" si="2"/>
        <v>50646</v>
      </c>
      <c r="M96" s="153">
        <v>2920</v>
      </c>
      <c r="N96" s="153">
        <v>53566</v>
      </c>
      <c r="O96" s="153">
        <f t="shared" si="3"/>
        <v>47910</v>
      </c>
      <c r="P96">
        <v>676</v>
      </c>
      <c r="Q96" s="153">
        <v>48586</v>
      </c>
      <c r="R96" s="153"/>
      <c r="S96" s="153"/>
      <c r="T96" s="153"/>
      <c r="U96" s="153"/>
      <c r="V96" s="153"/>
      <c r="W96" s="153"/>
      <c r="X96" s="153"/>
      <c r="Y96" s="153"/>
      <c r="Z96" s="153"/>
      <c r="AA96" s="153"/>
      <c r="AB96" s="153"/>
      <c r="AC96" s="153"/>
      <c r="AD96" s="153"/>
      <c r="AE96" s="153"/>
      <c r="AF96" s="153"/>
      <c r="AG96" s="153"/>
      <c r="AH96" s="153"/>
      <c r="AI96" s="153"/>
    </row>
    <row r="97" spans="1:35" x14ac:dyDescent="0.25">
      <c r="A97" t="s">
        <v>190</v>
      </c>
      <c r="B97" s="153">
        <v>364622274.64691621</v>
      </c>
      <c r="C97" s="153">
        <v>263529617.76728871</v>
      </c>
      <c r="D97" s="153">
        <v>6982981</v>
      </c>
      <c r="E97" s="153">
        <v>45759420</v>
      </c>
      <c r="F97" s="153">
        <v>28685818</v>
      </c>
      <c r="G97" s="153">
        <v>19664437.879627518</v>
      </c>
      <c r="H97" s="153">
        <v>95244129</v>
      </c>
      <c r="I97" s="153">
        <v>84724</v>
      </c>
      <c r="J97" s="153">
        <v>6717763.6500000004</v>
      </c>
      <c r="K97" s="153"/>
      <c r="L97" s="153">
        <f t="shared" si="2"/>
        <v>685731</v>
      </c>
      <c r="M97" s="153">
        <v>42730</v>
      </c>
      <c r="N97" s="153">
        <v>728461</v>
      </c>
      <c r="O97" s="153">
        <f t="shared" si="3"/>
        <v>665362</v>
      </c>
      <c r="P97" s="153">
        <v>65596</v>
      </c>
      <c r="Q97" s="153">
        <v>730958</v>
      </c>
      <c r="R97" s="153"/>
      <c r="S97" s="153"/>
      <c r="T97" s="153"/>
      <c r="U97" s="153"/>
      <c r="V97" s="153"/>
      <c r="W97" s="153"/>
      <c r="X97" s="153"/>
      <c r="Y97" s="153"/>
      <c r="Z97" s="153"/>
      <c r="AA97" s="153"/>
      <c r="AB97" s="153"/>
      <c r="AC97" s="153"/>
      <c r="AD97" s="153"/>
      <c r="AE97" s="153"/>
      <c r="AF97" s="153"/>
      <c r="AG97" s="153"/>
      <c r="AH97" s="153"/>
      <c r="AI97" s="153"/>
    </row>
    <row r="98" spans="1:35" x14ac:dyDescent="0.25">
      <c r="A98" t="s">
        <v>225</v>
      </c>
      <c r="B98" s="153">
        <v>46217506.842658624</v>
      </c>
      <c r="C98" s="153">
        <v>40611713.842658624</v>
      </c>
      <c r="D98" s="153">
        <v>808183</v>
      </c>
      <c r="E98" s="153">
        <v>0</v>
      </c>
      <c r="F98" s="153">
        <v>4496062</v>
      </c>
      <c r="G98" s="153">
        <v>301548</v>
      </c>
      <c r="H98" s="153">
        <v>6667474</v>
      </c>
      <c r="I98" s="153">
        <v>993</v>
      </c>
      <c r="J98" s="153">
        <v>541699.11</v>
      </c>
      <c r="K98" s="153"/>
      <c r="L98" s="153">
        <f t="shared" si="2"/>
        <v>76922</v>
      </c>
      <c r="M98" s="153">
        <v>13183</v>
      </c>
      <c r="N98" s="153">
        <v>90105</v>
      </c>
      <c r="O98" s="153">
        <f t="shared" si="3"/>
        <v>83845</v>
      </c>
      <c r="P98" s="153">
        <v>13932</v>
      </c>
      <c r="Q98" s="153">
        <v>97777</v>
      </c>
      <c r="R98" s="153"/>
      <c r="S98" s="153"/>
      <c r="T98" s="153"/>
      <c r="U98" s="153"/>
      <c r="V98" s="153"/>
      <c r="W98" s="153"/>
      <c r="X98" s="153"/>
      <c r="Y98" s="153"/>
      <c r="Z98" s="153"/>
      <c r="AA98" s="153"/>
      <c r="AB98" s="153"/>
      <c r="AC98" s="153"/>
      <c r="AD98" s="153"/>
      <c r="AE98" s="153"/>
      <c r="AF98" s="153"/>
      <c r="AG98" s="153"/>
      <c r="AH98" s="153"/>
      <c r="AI98" s="153"/>
    </row>
    <row r="99" spans="1:35" x14ac:dyDescent="0.25">
      <c r="A99" t="s">
        <v>226</v>
      </c>
      <c r="B99" s="153">
        <v>43679655.91462291</v>
      </c>
      <c r="C99" s="153">
        <v>35351870.91462291</v>
      </c>
      <c r="D99" s="153">
        <v>4755455</v>
      </c>
      <c r="E99" s="153">
        <v>0</v>
      </c>
      <c r="F99" s="153">
        <v>3383897</v>
      </c>
      <c r="G99" s="153">
        <v>188433</v>
      </c>
      <c r="H99" s="153">
        <v>4794184</v>
      </c>
      <c r="I99" s="153">
        <v>2749</v>
      </c>
      <c r="J99" s="153">
        <v>205162.55</v>
      </c>
      <c r="K99" s="153"/>
      <c r="L99" s="153">
        <f t="shared" si="2"/>
        <v>71681</v>
      </c>
      <c r="M99" s="153">
        <v>22112</v>
      </c>
      <c r="N99" s="153">
        <v>93793</v>
      </c>
      <c r="O99" s="153">
        <f t="shared" si="3"/>
        <v>66354</v>
      </c>
      <c r="P99" s="153">
        <v>16098</v>
      </c>
      <c r="Q99" s="153">
        <v>82452</v>
      </c>
      <c r="R99" s="153"/>
      <c r="S99" s="153"/>
      <c r="T99" s="153"/>
      <c r="U99" s="153"/>
      <c r="V99" s="153"/>
      <c r="W99" s="153"/>
      <c r="X99" s="153"/>
      <c r="Y99" s="153"/>
      <c r="Z99" s="153"/>
      <c r="AA99" s="153"/>
      <c r="AB99" s="153"/>
      <c r="AC99" s="153"/>
      <c r="AD99" s="153"/>
      <c r="AE99" s="153"/>
      <c r="AF99" s="153"/>
      <c r="AG99" s="153"/>
      <c r="AH99" s="153"/>
      <c r="AI99" s="153"/>
    </row>
    <row r="100" spans="1:35" x14ac:dyDescent="0.25">
      <c r="A100" t="s">
        <v>422</v>
      </c>
      <c r="B100" s="153">
        <v>62288462.462250642</v>
      </c>
      <c r="C100" s="153">
        <v>54988268.462250642</v>
      </c>
      <c r="D100" s="153">
        <v>1278828</v>
      </c>
      <c r="E100" s="153">
        <v>0</v>
      </c>
      <c r="F100" s="153">
        <v>5639590</v>
      </c>
      <c r="G100" s="153">
        <v>381776</v>
      </c>
      <c r="H100" s="153">
        <v>10507509</v>
      </c>
      <c r="I100" s="153">
        <v>8910</v>
      </c>
      <c r="J100" s="153">
        <v>759886.14</v>
      </c>
      <c r="K100" s="153"/>
      <c r="L100" s="153">
        <f t="shared" si="2"/>
        <v>111281</v>
      </c>
      <c r="M100" s="153">
        <v>2485</v>
      </c>
      <c r="N100" s="153">
        <v>113766</v>
      </c>
      <c r="O100" s="153">
        <f t="shared" si="3"/>
        <v>103509</v>
      </c>
      <c r="P100" s="153">
        <v>8215</v>
      </c>
      <c r="Q100" s="153">
        <v>111724</v>
      </c>
      <c r="R100" s="153"/>
      <c r="S100" s="153"/>
      <c r="T100" s="153"/>
      <c r="U100" s="153"/>
      <c r="V100" s="153"/>
      <c r="W100" s="153"/>
      <c r="X100" s="153"/>
      <c r="Y100" s="153"/>
      <c r="Z100" s="153"/>
      <c r="AA100" s="153"/>
      <c r="AB100" s="153"/>
      <c r="AC100" s="153"/>
      <c r="AD100" s="153"/>
      <c r="AE100" s="153"/>
      <c r="AF100" s="153"/>
      <c r="AG100" s="153"/>
      <c r="AH100" s="153"/>
      <c r="AI100" s="153"/>
    </row>
    <row r="101" spans="1:35" x14ac:dyDescent="0.25">
      <c r="A101" t="s">
        <v>423</v>
      </c>
      <c r="B101" s="153">
        <v>28752903.55945155</v>
      </c>
      <c r="C101" s="153">
        <v>25903697.55945155</v>
      </c>
      <c r="D101" s="153">
        <v>626401</v>
      </c>
      <c r="E101" s="153">
        <v>0</v>
      </c>
      <c r="F101" s="153">
        <v>1918907</v>
      </c>
      <c r="G101" s="153">
        <v>303898</v>
      </c>
      <c r="H101" s="153">
        <v>4626856</v>
      </c>
      <c r="I101" s="153">
        <v>2125</v>
      </c>
      <c r="J101" s="153">
        <v>279568.34999999998</v>
      </c>
      <c r="K101" s="153"/>
      <c r="L101" s="153">
        <f t="shared" si="2"/>
        <v>47950</v>
      </c>
      <c r="M101" s="153">
        <v>2755</v>
      </c>
      <c r="N101" s="153">
        <v>50705</v>
      </c>
      <c r="O101" s="153">
        <f t="shared" si="3"/>
        <v>46521</v>
      </c>
      <c r="P101" s="153">
        <v>2379</v>
      </c>
      <c r="Q101" s="153">
        <v>48900</v>
      </c>
      <c r="R101" s="153"/>
      <c r="S101" s="153"/>
      <c r="T101" s="153"/>
      <c r="U101" s="153"/>
      <c r="V101" s="153"/>
      <c r="W101" s="153"/>
      <c r="X101" s="153"/>
      <c r="Y101" s="153"/>
      <c r="Z101" s="153"/>
      <c r="AA101" s="153"/>
      <c r="AB101" s="153"/>
      <c r="AC101" s="153"/>
      <c r="AD101" s="153"/>
      <c r="AE101" s="153"/>
      <c r="AF101" s="153"/>
      <c r="AG101" s="153"/>
      <c r="AH101" s="153"/>
      <c r="AI101" s="153"/>
    </row>
    <row r="102" spans="1:35" x14ac:dyDescent="0.25">
      <c r="A102" t="s">
        <v>424</v>
      </c>
      <c r="B102" s="153">
        <v>51483097.428863235</v>
      </c>
      <c r="C102" s="153">
        <v>47978962.428863235</v>
      </c>
      <c r="D102" s="153">
        <v>1317404</v>
      </c>
      <c r="E102" s="153">
        <v>0</v>
      </c>
      <c r="F102" s="153">
        <v>1772699</v>
      </c>
      <c r="G102" s="153">
        <v>414032</v>
      </c>
      <c r="H102" s="153">
        <v>9771800</v>
      </c>
      <c r="I102" s="153">
        <v>20890</v>
      </c>
      <c r="J102" s="153">
        <v>704152.19</v>
      </c>
      <c r="K102" s="153"/>
      <c r="L102" s="153">
        <f t="shared" si="2"/>
        <v>99368</v>
      </c>
      <c r="M102" s="153">
        <v>4205</v>
      </c>
      <c r="N102" s="153">
        <v>103573</v>
      </c>
      <c r="O102" s="153">
        <f t="shared" si="3"/>
        <v>97367</v>
      </c>
      <c r="P102" s="153">
        <v>2615</v>
      </c>
      <c r="Q102" s="153">
        <v>99982</v>
      </c>
      <c r="R102" s="153"/>
      <c r="S102" s="153"/>
      <c r="T102" s="153"/>
      <c r="U102" s="153"/>
      <c r="V102" s="153"/>
      <c r="W102" s="153"/>
      <c r="X102" s="153"/>
      <c r="Y102" s="153"/>
      <c r="Z102" s="153"/>
      <c r="AA102" s="153"/>
      <c r="AB102" s="153"/>
      <c r="AC102" s="153"/>
      <c r="AD102" s="153"/>
      <c r="AE102" s="153"/>
      <c r="AF102" s="153"/>
      <c r="AG102" s="153"/>
      <c r="AH102" s="153"/>
      <c r="AI102" s="153"/>
    </row>
    <row r="103" spans="1:35" x14ac:dyDescent="0.25">
      <c r="A103" t="s">
        <v>425</v>
      </c>
      <c r="B103" s="153">
        <v>43046559.859528318</v>
      </c>
      <c r="C103" s="153">
        <v>36768871.859528318</v>
      </c>
      <c r="D103" s="153">
        <v>1500835</v>
      </c>
      <c r="E103" s="153">
        <v>0</v>
      </c>
      <c r="F103" s="153">
        <v>4483183</v>
      </c>
      <c r="G103" s="153">
        <v>293670</v>
      </c>
      <c r="H103" s="153">
        <v>5362342</v>
      </c>
      <c r="I103" s="153">
        <v>6897</v>
      </c>
      <c r="J103" s="153">
        <v>317352.57</v>
      </c>
      <c r="K103" s="153"/>
      <c r="L103" s="153">
        <f t="shared" si="2"/>
        <v>73509</v>
      </c>
      <c r="M103">
        <v>941</v>
      </c>
      <c r="N103" s="153">
        <v>74450</v>
      </c>
      <c r="O103" s="153">
        <f t="shared" si="3"/>
        <v>71517</v>
      </c>
      <c r="P103">
        <v>783</v>
      </c>
      <c r="Q103" s="153">
        <v>72300</v>
      </c>
      <c r="R103" s="153"/>
      <c r="S103" s="153"/>
      <c r="T103" s="153"/>
      <c r="U103" s="153"/>
      <c r="V103" s="153"/>
      <c r="W103" s="153"/>
      <c r="X103" s="153"/>
      <c r="Y103" s="153"/>
      <c r="Z103" s="153"/>
      <c r="AA103" s="153"/>
      <c r="AB103" s="153"/>
      <c r="AC103" s="153"/>
      <c r="AD103" s="153"/>
      <c r="AE103" s="153"/>
      <c r="AF103" s="153"/>
      <c r="AG103" s="153"/>
      <c r="AH103" s="153"/>
      <c r="AI103" s="153"/>
    </row>
    <row r="104" spans="1:35" x14ac:dyDescent="0.25">
      <c r="A104" t="s">
        <v>467</v>
      </c>
      <c r="B104" s="153">
        <v>29284526.28093636</v>
      </c>
      <c r="C104" s="153">
        <v>23456797.28093636</v>
      </c>
      <c r="D104" s="153">
        <v>265766</v>
      </c>
      <c r="E104" s="153">
        <v>0</v>
      </c>
      <c r="F104" s="153">
        <v>5387563</v>
      </c>
      <c r="G104" s="153">
        <v>174400</v>
      </c>
      <c r="H104" s="153">
        <v>3861701</v>
      </c>
      <c r="I104" s="153">
        <v>290</v>
      </c>
      <c r="J104" s="153">
        <v>160936.65</v>
      </c>
      <c r="K104" s="153"/>
      <c r="L104" s="153">
        <f t="shared" si="2"/>
        <v>46183</v>
      </c>
      <c r="M104" s="153">
        <v>1427</v>
      </c>
      <c r="N104" s="153">
        <v>47610</v>
      </c>
      <c r="O104" s="153">
        <f t="shared" si="3"/>
        <v>45923</v>
      </c>
      <c r="P104">
        <v>183</v>
      </c>
      <c r="Q104" s="153">
        <v>46106</v>
      </c>
      <c r="R104" s="153"/>
      <c r="S104" s="153"/>
      <c r="T104" s="153"/>
      <c r="U104" s="153"/>
      <c r="V104" s="153"/>
      <c r="W104" s="153"/>
      <c r="X104" s="153"/>
      <c r="Y104" s="153"/>
      <c r="Z104" s="153"/>
      <c r="AA104" s="153"/>
      <c r="AB104" s="153"/>
      <c r="AC104" s="153"/>
      <c r="AD104" s="153"/>
      <c r="AE104" s="153"/>
      <c r="AF104" s="153"/>
      <c r="AG104" s="153"/>
      <c r="AH104" s="153"/>
      <c r="AI104" s="153"/>
    </row>
    <row r="105" spans="1:35" x14ac:dyDescent="0.25">
      <c r="A105" t="s">
        <v>426</v>
      </c>
      <c r="B105" s="153">
        <v>34054557.2102824</v>
      </c>
      <c r="C105" s="153">
        <v>31014696.210282404</v>
      </c>
      <c r="D105" s="153">
        <v>458760</v>
      </c>
      <c r="E105" s="153">
        <v>0</v>
      </c>
      <c r="F105" s="153">
        <v>1709091</v>
      </c>
      <c r="G105" s="153">
        <v>872010</v>
      </c>
      <c r="H105" s="153">
        <v>5995874</v>
      </c>
      <c r="I105" s="153">
        <v>4436</v>
      </c>
      <c r="J105" s="153">
        <v>601543.14</v>
      </c>
      <c r="K105" s="153"/>
      <c r="L105" s="153">
        <f t="shared" si="2"/>
        <v>65511</v>
      </c>
      <c r="M105" s="153">
        <v>2538</v>
      </c>
      <c r="N105" s="153">
        <v>68049</v>
      </c>
      <c r="O105" s="153">
        <f t="shared" si="3"/>
        <v>59756</v>
      </c>
      <c r="P105" s="153">
        <v>2247</v>
      </c>
      <c r="Q105" s="153">
        <v>62003</v>
      </c>
      <c r="R105" s="153"/>
      <c r="S105" s="153"/>
      <c r="T105" s="153"/>
      <c r="U105" s="153"/>
      <c r="V105" s="153"/>
      <c r="W105" s="153"/>
      <c r="X105" s="153"/>
      <c r="Y105" s="153"/>
      <c r="Z105" s="153"/>
      <c r="AA105" s="153"/>
      <c r="AB105" s="153"/>
      <c r="AC105" s="153"/>
      <c r="AD105" s="153"/>
      <c r="AE105" s="153"/>
      <c r="AF105" s="153"/>
      <c r="AG105" s="153"/>
      <c r="AH105" s="153"/>
      <c r="AI105" s="153"/>
    </row>
    <row r="106" spans="1:35" x14ac:dyDescent="0.25">
      <c r="A106" t="s">
        <v>344</v>
      </c>
      <c r="B106" s="153">
        <v>67632361.644395947</v>
      </c>
      <c r="C106" s="153">
        <v>61011649.644395947</v>
      </c>
      <c r="D106" s="153">
        <v>767196</v>
      </c>
      <c r="E106" s="153">
        <v>0</v>
      </c>
      <c r="F106" s="153">
        <v>5187225</v>
      </c>
      <c r="G106" s="153">
        <v>666291</v>
      </c>
      <c r="H106" s="153">
        <v>7839733</v>
      </c>
      <c r="I106" s="153">
        <v>13563</v>
      </c>
      <c r="J106" s="153">
        <v>332717.96000000002</v>
      </c>
      <c r="K106" s="153"/>
      <c r="L106" s="153">
        <f t="shared" si="2"/>
        <v>118280</v>
      </c>
      <c r="M106" s="153">
        <v>1868</v>
      </c>
      <c r="N106" s="153">
        <v>120148</v>
      </c>
      <c r="O106" s="153">
        <f t="shared" si="3"/>
        <v>114297</v>
      </c>
      <c r="P106" s="153">
        <v>3570</v>
      </c>
      <c r="Q106" s="153">
        <v>117867</v>
      </c>
      <c r="R106" s="153"/>
      <c r="S106" s="153"/>
      <c r="T106" s="153"/>
      <c r="U106" s="153"/>
      <c r="V106" s="153"/>
      <c r="W106" s="153"/>
      <c r="X106" s="153"/>
      <c r="Y106" s="153"/>
      <c r="Z106" s="153"/>
      <c r="AA106" s="153"/>
      <c r="AB106" s="153"/>
      <c r="AC106" s="153"/>
      <c r="AD106" s="153"/>
      <c r="AE106" s="153"/>
      <c r="AF106" s="153"/>
      <c r="AG106" s="153"/>
      <c r="AH106" s="153"/>
      <c r="AI106" s="153"/>
    </row>
    <row r="107" spans="1:35" x14ac:dyDescent="0.25">
      <c r="A107" t="s">
        <v>390</v>
      </c>
      <c r="B107" s="153">
        <v>64406229.200852476</v>
      </c>
      <c r="C107" s="153">
        <v>56867718.200852476</v>
      </c>
      <c r="D107" s="153">
        <v>1131819</v>
      </c>
      <c r="E107" s="153">
        <v>0</v>
      </c>
      <c r="F107" s="153">
        <v>5867655</v>
      </c>
      <c r="G107" s="153">
        <v>539037</v>
      </c>
      <c r="H107" s="153">
        <v>11566974</v>
      </c>
      <c r="I107" s="153">
        <v>14232</v>
      </c>
      <c r="J107" s="153">
        <v>509448.66</v>
      </c>
      <c r="K107" s="153"/>
      <c r="L107" s="153">
        <f t="shared" si="2"/>
        <v>128160</v>
      </c>
      <c r="M107">
        <v>320</v>
      </c>
      <c r="N107" s="153">
        <v>128480</v>
      </c>
      <c r="O107" s="153">
        <f t="shared" si="3"/>
        <v>122066</v>
      </c>
      <c r="P107">
        <v>967</v>
      </c>
      <c r="Q107" s="153">
        <v>123033</v>
      </c>
      <c r="R107" s="153"/>
      <c r="S107" s="153"/>
      <c r="T107" s="153"/>
      <c r="U107" s="153"/>
      <c r="V107" s="153"/>
      <c r="W107" s="153"/>
      <c r="X107" s="153"/>
      <c r="Y107" s="153"/>
      <c r="Z107" s="153"/>
      <c r="AA107" s="153"/>
      <c r="AB107" s="153"/>
      <c r="AC107" s="153"/>
      <c r="AD107" s="153"/>
      <c r="AE107" s="153"/>
      <c r="AF107" s="153"/>
      <c r="AG107" s="153"/>
      <c r="AH107" s="153"/>
      <c r="AI107" s="153"/>
    </row>
    <row r="108" spans="1:35" x14ac:dyDescent="0.25">
      <c r="A108" t="s">
        <v>427</v>
      </c>
      <c r="B108" s="153">
        <v>31851555.440246444</v>
      </c>
      <c r="C108" s="153">
        <v>27963708.440246444</v>
      </c>
      <c r="D108" s="153">
        <v>1126512</v>
      </c>
      <c r="E108" s="153">
        <v>0</v>
      </c>
      <c r="F108" s="153">
        <v>2574641</v>
      </c>
      <c r="G108" s="153">
        <v>186694</v>
      </c>
      <c r="H108" s="153">
        <v>4014843</v>
      </c>
      <c r="I108" s="153">
        <v>2517</v>
      </c>
      <c r="J108" s="153">
        <v>139855.84</v>
      </c>
      <c r="K108" s="153"/>
      <c r="L108" s="153">
        <f t="shared" si="2"/>
        <v>60953</v>
      </c>
      <c r="M108" s="153">
        <v>3137</v>
      </c>
      <c r="N108" s="153">
        <v>64090</v>
      </c>
      <c r="O108" s="153">
        <f t="shared" si="3"/>
        <v>55756</v>
      </c>
      <c r="P108" s="153">
        <v>2055</v>
      </c>
      <c r="Q108" s="153">
        <v>57811</v>
      </c>
      <c r="R108" s="153"/>
      <c r="S108" s="153"/>
      <c r="T108" s="153"/>
      <c r="U108" s="153"/>
      <c r="V108" s="153"/>
      <c r="W108" s="153"/>
      <c r="X108" s="153"/>
      <c r="Y108" s="153"/>
      <c r="Z108" s="153"/>
      <c r="AA108" s="153"/>
      <c r="AB108" s="153"/>
      <c r="AC108" s="153"/>
      <c r="AD108" s="153"/>
      <c r="AE108" s="153"/>
      <c r="AF108" s="153"/>
      <c r="AG108" s="153"/>
      <c r="AH108" s="153"/>
      <c r="AI108" s="153"/>
    </row>
    <row r="109" spans="1:35" x14ac:dyDescent="0.25">
      <c r="A109" t="s">
        <v>563</v>
      </c>
      <c r="B109" s="153">
        <v>68328211.555864021</v>
      </c>
      <c r="C109" s="153">
        <v>64399609.555864021</v>
      </c>
      <c r="D109" s="153">
        <v>1509653</v>
      </c>
      <c r="E109" s="153">
        <v>0</v>
      </c>
      <c r="F109" s="153">
        <v>1992008</v>
      </c>
      <c r="G109" s="153">
        <v>426941</v>
      </c>
      <c r="H109" s="153">
        <v>13065138</v>
      </c>
      <c r="I109" s="153">
        <v>13858</v>
      </c>
      <c r="J109" s="153">
        <v>227431.64</v>
      </c>
      <c r="K109" s="153"/>
      <c r="L109" s="153">
        <f t="shared" si="2"/>
        <v>131768</v>
      </c>
      <c r="M109" s="153">
        <v>3593</v>
      </c>
      <c r="N109" s="153">
        <v>135361</v>
      </c>
      <c r="O109" s="153">
        <f t="shared" si="3"/>
        <v>129043</v>
      </c>
      <c r="P109" s="153">
        <v>6368</v>
      </c>
      <c r="Q109" s="153">
        <v>135411</v>
      </c>
      <c r="R109" s="153"/>
      <c r="S109" s="153"/>
      <c r="T109" s="153"/>
      <c r="U109" s="153"/>
      <c r="V109" s="153"/>
      <c r="W109" s="153"/>
      <c r="X109" s="153"/>
      <c r="Y109" s="153"/>
      <c r="Z109" s="153"/>
      <c r="AA109" s="153"/>
      <c r="AB109" s="153"/>
      <c r="AC109" s="153"/>
      <c r="AD109" s="153"/>
      <c r="AE109" s="153"/>
      <c r="AF109" s="153"/>
      <c r="AG109" s="153"/>
      <c r="AH109" s="153"/>
      <c r="AI109" s="153"/>
    </row>
    <row r="110" spans="1:35" x14ac:dyDescent="0.25">
      <c r="A110" t="s">
        <v>345</v>
      </c>
      <c r="B110" s="153">
        <v>63571381.245429635</v>
      </c>
      <c r="C110" s="153">
        <v>56203763.245429635</v>
      </c>
      <c r="D110" s="153">
        <v>799640</v>
      </c>
      <c r="E110" s="153">
        <v>0</v>
      </c>
      <c r="F110" s="153">
        <v>6134993</v>
      </c>
      <c r="G110" s="153">
        <v>432985</v>
      </c>
      <c r="H110" s="153">
        <v>12610977</v>
      </c>
      <c r="I110" s="153">
        <v>5294</v>
      </c>
      <c r="J110" s="153">
        <v>1289347.6499999999</v>
      </c>
      <c r="K110" s="153"/>
      <c r="L110" s="153">
        <f t="shared" si="2"/>
        <v>124979</v>
      </c>
      <c r="M110" s="153">
        <v>3888</v>
      </c>
      <c r="N110" s="153">
        <v>128867</v>
      </c>
      <c r="O110" s="153">
        <f t="shared" si="3"/>
        <v>119179</v>
      </c>
      <c r="P110" s="153">
        <v>2700</v>
      </c>
      <c r="Q110" s="153">
        <v>121879</v>
      </c>
      <c r="R110" s="153"/>
      <c r="S110" s="153"/>
      <c r="T110" s="153"/>
      <c r="U110" s="153"/>
      <c r="V110" s="153"/>
      <c r="W110" s="153"/>
      <c r="X110" s="153"/>
      <c r="Y110" s="153"/>
      <c r="Z110" s="153"/>
      <c r="AA110" s="153"/>
      <c r="AB110" s="153"/>
      <c r="AC110" s="153"/>
      <c r="AD110" s="153"/>
      <c r="AE110" s="153"/>
      <c r="AF110" s="153"/>
      <c r="AG110" s="153"/>
      <c r="AH110" s="153"/>
      <c r="AI110" s="153"/>
    </row>
    <row r="111" spans="1:35" x14ac:dyDescent="0.25">
      <c r="A111" t="s">
        <v>346</v>
      </c>
      <c r="B111" s="153">
        <v>153264124.24390063</v>
      </c>
      <c r="C111" s="153">
        <v>118604334.1704784</v>
      </c>
      <c r="D111" s="153">
        <v>3414851</v>
      </c>
      <c r="E111" s="153">
        <v>16793830</v>
      </c>
      <c r="F111" s="153">
        <v>9957548</v>
      </c>
      <c r="G111" s="153">
        <v>4493561.0734222196</v>
      </c>
      <c r="H111" s="153">
        <v>25836978</v>
      </c>
      <c r="I111" s="153">
        <v>8321</v>
      </c>
      <c r="J111" s="153">
        <v>2778328.77</v>
      </c>
      <c r="K111" s="153"/>
      <c r="L111" s="153">
        <f t="shared" si="2"/>
        <v>256353</v>
      </c>
      <c r="M111" s="153">
        <v>4197</v>
      </c>
      <c r="N111" s="153">
        <v>260550</v>
      </c>
      <c r="O111" s="153">
        <f t="shared" si="3"/>
        <v>246727</v>
      </c>
      <c r="P111" s="153">
        <v>5886</v>
      </c>
      <c r="Q111" s="153">
        <v>252613</v>
      </c>
      <c r="R111" s="153"/>
      <c r="S111" s="153"/>
      <c r="T111" s="153"/>
      <c r="U111" s="153"/>
      <c r="V111" s="153"/>
      <c r="W111" s="153"/>
      <c r="X111" s="153"/>
      <c r="Y111" s="153"/>
      <c r="Z111" s="153"/>
      <c r="AA111" s="153"/>
      <c r="AB111" s="153"/>
      <c r="AC111" s="153"/>
      <c r="AD111" s="153"/>
      <c r="AE111" s="153"/>
      <c r="AF111" s="153"/>
      <c r="AG111" s="153"/>
      <c r="AH111" s="153"/>
      <c r="AI111" s="153"/>
    </row>
    <row r="112" spans="1:35" x14ac:dyDescent="0.25">
      <c r="A112" t="s">
        <v>428</v>
      </c>
      <c r="B112" s="153">
        <v>17765726.579087179</v>
      </c>
      <c r="C112" s="153">
        <v>15236706.579087179</v>
      </c>
      <c r="D112" s="153">
        <v>668506</v>
      </c>
      <c r="E112" s="153">
        <v>0</v>
      </c>
      <c r="F112" s="153">
        <v>1759236</v>
      </c>
      <c r="G112" s="153">
        <v>101278</v>
      </c>
      <c r="H112" s="153">
        <v>2038449</v>
      </c>
      <c r="I112" s="153">
        <v>541</v>
      </c>
      <c r="J112" s="153">
        <v>195286.91</v>
      </c>
      <c r="K112" s="153"/>
      <c r="L112" s="153">
        <f t="shared" si="2"/>
        <v>26296</v>
      </c>
      <c r="M112">
        <v>515</v>
      </c>
      <c r="N112" s="153">
        <v>26811</v>
      </c>
      <c r="O112" s="153">
        <f t="shared" si="3"/>
        <v>27023</v>
      </c>
      <c r="P112">
        <v>582</v>
      </c>
      <c r="Q112" s="153">
        <v>27605</v>
      </c>
      <c r="R112" s="153"/>
      <c r="S112" s="153"/>
      <c r="T112" s="153"/>
      <c r="U112" s="153"/>
      <c r="V112" s="153"/>
      <c r="W112" s="153"/>
      <c r="X112" s="153"/>
      <c r="Y112" s="153"/>
      <c r="Z112" s="153"/>
      <c r="AA112" s="153"/>
      <c r="AB112" s="153"/>
      <c r="AC112" s="153"/>
      <c r="AD112" s="153"/>
      <c r="AE112" s="153"/>
      <c r="AF112" s="153"/>
      <c r="AG112" s="153"/>
      <c r="AH112" s="153"/>
      <c r="AI112" s="153"/>
    </row>
    <row r="113" spans="1:35" x14ac:dyDescent="0.25">
      <c r="A113" t="s">
        <v>148</v>
      </c>
      <c r="B113" s="153">
        <v>489781080.78172702</v>
      </c>
      <c r="C113" s="153">
        <v>348845672.70726985</v>
      </c>
      <c r="D113" s="153">
        <v>12277453</v>
      </c>
      <c r="E113" s="153">
        <v>70390479</v>
      </c>
      <c r="F113" s="153">
        <v>28694513</v>
      </c>
      <c r="G113" s="153">
        <v>29572963.074457161</v>
      </c>
      <c r="H113" s="153">
        <v>148742032</v>
      </c>
      <c r="I113" s="153">
        <v>95953</v>
      </c>
      <c r="J113" s="153">
        <v>3432452.64</v>
      </c>
      <c r="K113" s="153"/>
      <c r="L113" s="153">
        <f t="shared" si="2"/>
        <v>993125</v>
      </c>
      <c r="N113" s="309">
        <v>993125</v>
      </c>
      <c r="O113" s="153">
        <f t="shared" si="3"/>
        <v>993125</v>
      </c>
      <c r="P113" s="153">
        <v>73023</v>
      </c>
      <c r="Q113" s="153">
        <v>1066148</v>
      </c>
      <c r="R113" s="153"/>
      <c r="S113" s="153"/>
      <c r="T113" s="153"/>
      <c r="U113" s="153"/>
      <c r="V113" s="153"/>
      <c r="W113" s="153"/>
      <c r="X113" s="153"/>
      <c r="Y113" s="153"/>
      <c r="Z113" s="153"/>
      <c r="AA113" s="153"/>
      <c r="AB113" s="153"/>
      <c r="AC113" s="153"/>
      <c r="AD113" s="153"/>
      <c r="AE113" s="153"/>
      <c r="AF113" s="153"/>
      <c r="AG113" s="153"/>
      <c r="AH113" s="153"/>
      <c r="AI113" s="153"/>
    </row>
    <row r="114" spans="1:35" x14ac:dyDescent="0.25">
      <c r="A114" t="s">
        <v>468</v>
      </c>
      <c r="B114" s="153">
        <v>20460145.889113411</v>
      </c>
      <c r="C114" s="153">
        <v>18012277.889113411</v>
      </c>
      <c r="D114" s="153">
        <v>222902</v>
      </c>
      <c r="E114" s="153">
        <v>0</v>
      </c>
      <c r="F114" s="153">
        <v>2123284</v>
      </c>
      <c r="G114" s="153">
        <v>101682</v>
      </c>
      <c r="H114" s="153">
        <v>2279054</v>
      </c>
      <c r="I114" s="153">
        <v>743</v>
      </c>
      <c r="J114" s="153">
        <v>67806</v>
      </c>
      <c r="K114" s="153"/>
      <c r="L114" s="153">
        <f t="shared" si="2"/>
        <v>33356</v>
      </c>
      <c r="M114" s="153">
        <v>1413</v>
      </c>
      <c r="N114" s="153">
        <v>34769</v>
      </c>
      <c r="O114" s="153">
        <f t="shared" si="3"/>
        <v>33855</v>
      </c>
      <c r="P114">
        <v>589</v>
      </c>
      <c r="Q114" s="153">
        <v>34444</v>
      </c>
      <c r="R114" s="153"/>
      <c r="S114" s="153"/>
      <c r="T114" s="153"/>
      <c r="U114" s="153"/>
      <c r="V114" s="153"/>
      <c r="W114" s="153"/>
      <c r="X114" s="153"/>
      <c r="Y114" s="153"/>
      <c r="Z114" s="153"/>
      <c r="AA114" s="153"/>
      <c r="AB114" s="153"/>
      <c r="AC114" s="153"/>
      <c r="AD114" s="153"/>
      <c r="AE114" s="153"/>
      <c r="AF114" s="153"/>
      <c r="AG114" s="153"/>
      <c r="AH114" s="153"/>
      <c r="AI114" s="153"/>
    </row>
    <row r="115" spans="1:35" x14ac:dyDescent="0.25">
      <c r="A115" t="s">
        <v>191</v>
      </c>
      <c r="B115" s="153">
        <v>33621531.189302549</v>
      </c>
      <c r="C115" s="153">
        <v>30847987.189302549</v>
      </c>
      <c r="D115" s="153">
        <v>260951</v>
      </c>
      <c r="E115" s="153">
        <v>0</v>
      </c>
      <c r="F115" s="153">
        <v>2326884</v>
      </c>
      <c r="G115" s="153">
        <v>185709</v>
      </c>
      <c r="H115" s="153">
        <v>4892069</v>
      </c>
      <c r="I115" s="153">
        <v>16846</v>
      </c>
      <c r="J115" s="153">
        <v>151555.41</v>
      </c>
      <c r="K115" s="153"/>
      <c r="L115" s="153">
        <f t="shared" si="2"/>
        <v>56448</v>
      </c>
      <c r="M115">
        <v>5</v>
      </c>
      <c r="N115" s="153">
        <v>56453</v>
      </c>
      <c r="O115" s="153">
        <f t="shared" si="3"/>
        <v>54960</v>
      </c>
      <c r="P115">
        <v>5</v>
      </c>
      <c r="Q115" s="153">
        <v>54965</v>
      </c>
      <c r="R115" s="153"/>
      <c r="S115" s="153"/>
      <c r="T115" s="153"/>
      <c r="U115" s="153"/>
      <c r="V115" s="153"/>
      <c r="W115" s="153"/>
      <c r="X115" s="153"/>
      <c r="Y115" s="153"/>
      <c r="Z115" s="153"/>
      <c r="AA115" s="153"/>
      <c r="AB115" s="153"/>
      <c r="AC115" s="153"/>
      <c r="AD115" s="153"/>
      <c r="AE115" s="153"/>
      <c r="AF115" s="153"/>
      <c r="AG115" s="153"/>
      <c r="AH115" s="153"/>
      <c r="AI115" s="153"/>
    </row>
    <row r="116" spans="1:35" x14ac:dyDescent="0.25">
      <c r="A116" t="s">
        <v>429</v>
      </c>
      <c r="B116" s="153">
        <v>16779208.261696715</v>
      </c>
      <c r="C116" s="153">
        <v>14819037.261696715</v>
      </c>
      <c r="D116" s="153">
        <v>194674</v>
      </c>
      <c r="E116" s="153">
        <v>0</v>
      </c>
      <c r="F116" s="153">
        <v>1705705</v>
      </c>
      <c r="G116" s="153">
        <v>59792</v>
      </c>
      <c r="H116" s="153">
        <v>1394705</v>
      </c>
      <c r="I116" s="153">
        <v>668</v>
      </c>
      <c r="J116" s="153">
        <v>54060.800000000003</v>
      </c>
      <c r="K116" s="153"/>
      <c r="L116" s="153">
        <f t="shared" si="2"/>
        <v>33058</v>
      </c>
      <c r="M116" s="153">
        <v>1240</v>
      </c>
      <c r="N116" s="153">
        <v>34298</v>
      </c>
      <c r="O116" s="153">
        <f t="shared" si="3"/>
        <v>35128</v>
      </c>
      <c r="P116">
        <v>320</v>
      </c>
      <c r="Q116" s="153">
        <v>35448</v>
      </c>
      <c r="R116" s="153"/>
      <c r="S116" s="153"/>
      <c r="T116" s="153"/>
      <c r="U116" s="153"/>
      <c r="V116" s="153"/>
      <c r="W116" s="153"/>
      <c r="X116" s="153"/>
      <c r="Y116" s="153"/>
      <c r="Z116" s="153"/>
      <c r="AA116" s="153"/>
      <c r="AB116" s="153"/>
      <c r="AC116" s="153"/>
      <c r="AD116" s="153"/>
      <c r="AE116" s="153"/>
      <c r="AF116" s="153"/>
      <c r="AG116" s="153"/>
      <c r="AH116" s="153"/>
      <c r="AI116" s="153"/>
    </row>
    <row r="117" spans="1:35" x14ac:dyDescent="0.25">
      <c r="A117" t="s">
        <v>301</v>
      </c>
      <c r="B117" s="153">
        <v>307564154.96990454</v>
      </c>
      <c r="C117" s="153">
        <v>229304539.80536705</v>
      </c>
      <c r="D117" s="153">
        <v>2700845</v>
      </c>
      <c r="E117" s="153">
        <v>43762543</v>
      </c>
      <c r="F117" s="153">
        <v>16391563</v>
      </c>
      <c r="G117" s="153">
        <v>15404664.16453753</v>
      </c>
      <c r="H117" s="153">
        <v>55056263</v>
      </c>
      <c r="I117" s="153">
        <v>16631</v>
      </c>
      <c r="J117" s="153">
        <v>4785594.6500000004</v>
      </c>
      <c r="K117" s="153"/>
      <c r="L117" s="153">
        <f t="shared" si="2"/>
        <v>527256</v>
      </c>
      <c r="M117" s="153">
        <v>16108</v>
      </c>
      <c r="N117" s="153">
        <v>543364</v>
      </c>
      <c r="O117" s="153">
        <f t="shared" si="3"/>
        <v>499188</v>
      </c>
      <c r="P117" s="153">
        <v>14031</v>
      </c>
      <c r="Q117" s="153">
        <v>513219</v>
      </c>
      <c r="R117" s="153"/>
      <c r="S117" s="153"/>
      <c r="T117" s="153"/>
      <c r="U117" s="153"/>
      <c r="V117" s="153"/>
      <c r="W117" s="153"/>
      <c r="X117" s="153"/>
      <c r="Y117" s="153"/>
      <c r="Z117" s="153"/>
      <c r="AA117" s="153"/>
      <c r="AB117" s="153"/>
      <c r="AC117" s="153"/>
      <c r="AD117" s="153"/>
      <c r="AE117" s="153"/>
      <c r="AF117" s="153"/>
      <c r="AG117" s="153"/>
      <c r="AH117" s="153"/>
      <c r="AI117" s="153"/>
    </row>
    <row r="118" spans="1:35" x14ac:dyDescent="0.25">
      <c r="A118" t="s">
        <v>302</v>
      </c>
      <c r="B118" s="153">
        <v>177165501.75548124</v>
      </c>
      <c r="C118" s="153">
        <v>164056907.75548124</v>
      </c>
      <c r="D118" s="153">
        <v>4545564</v>
      </c>
      <c r="E118" s="153">
        <v>0</v>
      </c>
      <c r="F118" s="153">
        <v>6148998</v>
      </c>
      <c r="G118" s="153">
        <v>2221162</v>
      </c>
      <c r="H118" s="153">
        <v>30017449</v>
      </c>
      <c r="I118" s="153">
        <v>21152</v>
      </c>
      <c r="J118" s="153">
        <v>1859598.25</v>
      </c>
      <c r="K118" s="153"/>
      <c r="L118" s="153">
        <f t="shared" si="2"/>
        <v>415292</v>
      </c>
      <c r="N118" s="309">
        <v>415292</v>
      </c>
      <c r="O118" s="153">
        <f t="shared" si="3"/>
        <v>415292</v>
      </c>
      <c r="P118" s="153">
        <v>30923</v>
      </c>
      <c r="Q118" s="153">
        <v>446215</v>
      </c>
      <c r="R118" s="153"/>
      <c r="S118" s="153"/>
      <c r="T118" s="153"/>
      <c r="U118" s="153"/>
      <c r="V118" s="153"/>
      <c r="W118" s="153"/>
      <c r="X118" s="153"/>
      <c r="Y118" s="153"/>
      <c r="Z118" s="153"/>
      <c r="AA118" s="153"/>
      <c r="AB118" s="153"/>
      <c r="AC118" s="153"/>
      <c r="AD118" s="153"/>
      <c r="AE118" s="153"/>
      <c r="AF118" s="153"/>
      <c r="AG118" s="153"/>
      <c r="AH118" s="153"/>
      <c r="AI118" s="153"/>
    </row>
    <row r="119" spans="1:35" x14ac:dyDescent="0.25">
      <c r="A119" t="s">
        <v>430</v>
      </c>
      <c r="B119" s="153">
        <v>42470164.287458926</v>
      </c>
      <c r="C119" s="153">
        <v>36415844.287458926</v>
      </c>
      <c r="D119" s="153">
        <v>602617</v>
      </c>
      <c r="E119" s="153">
        <v>0</v>
      </c>
      <c r="F119" s="153">
        <v>5095329</v>
      </c>
      <c r="G119" s="153">
        <v>356374</v>
      </c>
      <c r="H119" s="153">
        <v>6893778</v>
      </c>
      <c r="I119" s="153">
        <v>2504</v>
      </c>
      <c r="J119" s="153">
        <v>873684.64</v>
      </c>
      <c r="K119" s="153"/>
      <c r="L119" s="153">
        <f t="shared" si="2"/>
        <v>73617</v>
      </c>
      <c r="M119" s="153">
        <v>1744</v>
      </c>
      <c r="N119" s="153">
        <v>75361</v>
      </c>
      <c r="O119" s="153">
        <f t="shared" si="3"/>
        <v>70461</v>
      </c>
      <c r="P119" s="153">
        <v>2631</v>
      </c>
      <c r="Q119" s="153">
        <v>73092</v>
      </c>
      <c r="R119" s="153"/>
      <c r="S119" s="153"/>
      <c r="T119" s="153"/>
      <c r="U119" s="153"/>
      <c r="V119" s="153"/>
      <c r="W119" s="153"/>
      <c r="X119" s="153"/>
      <c r="Y119" s="153"/>
      <c r="Z119" s="153"/>
      <c r="AA119" s="153"/>
      <c r="AB119" s="153"/>
      <c r="AC119" s="153"/>
      <c r="AD119" s="153"/>
      <c r="AE119" s="153"/>
      <c r="AF119" s="153"/>
      <c r="AG119" s="153"/>
      <c r="AH119" s="153"/>
      <c r="AI119" s="153"/>
    </row>
    <row r="120" spans="1:35" x14ac:dyDescent="0.25">
      <c r="A120" t="s">
        <v>192</v>
      </c>
      <c r="B120" s="153">
        <v>91470561.053350896</v>
      </c>
      <c r="C120" s="153">
        <v>78961745.053350896</v>
      </c>
      <c r="D120" s="153">
        <v>2868747</v>
      </c>
      <c r="E120" s="153">
        <v>0</v>
      </c>
      <c r="F120" s="153">
        <v>8963154</v>
      </c>
      <c r="G120" s="153">
        <v>676915</v>
      </c>
      <c r="H120" s="153">
        <v>13207575</v>
      </c>
      <c r="I120" s="153">
        <v>19615</v>
      </c>
      <c r="J120" s="153">
        <v>748998.11</v>
      </c>
      <c r="K120" s="153"/>
      <c r="L120" s="153">
        <f t="shared" si="2"/>
        <v>163521</v>
      </c>
      <c r="M120" s="153">
        <v>2057</v>
      </c>
      <c r="N120" s="153">
        <v>165578</v>
      </c>
      <c r="O120" s="153">
        <f t="shared" si="3"/>
        <v>161397</v>
      </c>
      <c r="P120" s="153">
        <v>2173</v>
      </c>
      <c r="Q120" s="153">
        <v>163570</v>
      </c>
      <c r="R120" s="153"/>
      <c r="S120" s="153"/>
      <c r="T120" s="153"/>
      <c r="U120" s="153"/>
      <c r="V120" s="153"/>
      <c r="W120" s="153"/>
      <c r="X120" s="153"/>
      <c r="Y120" s="153"/>
      <c r="Z120" s="153"/>
      <c r="AA120" s="153"/>
      <c r="AB120" s="153"/>
      <c r="AC120" s="153"/>
      <c r="AD120" s="153"/>
      <c r="AE120" s="153"/>
      <c r="AF120" s="153"/>
      <c r="AG120" s="153"/>
      <c r="AH120" s="153"/>
      <c r="AI120" s="153"/>
    </row>
    <row r="121" spans="1:35" x14ac:dyDescent="0.25">
      <c r="A121" t="s">
        <v>228</v>
      </c>
      <c r="B121" s="153">
        <v>69553355.257526785</v>
      </c>
      <c r="C121" s="153">
        <v>63018620.257526785</v>
      </c>
      <c r="D121" s="153">
        <v>1150359</v>
      </c>
      <c r="E121" s="153">
        <v>0</v>
      </c>
      <c r="F121" s="153">
        <v>4839167</v>
      </c>
      <c r="G121" s="153">
        <v>545209</v>
      </c>
      <c r="H121" s="153">
        <v>12683528</v>
      </c>
      <c r="I121" s="153">
        <v>1440</v>
      </c>
      <c r="J121" s="153">
        <v>1518568.43</v>
      </c>
      <c r="K121" s="153"/>
      <c r="L121" s="153">
        <f t="shared" si="2"/>
        <v>173522</v>
      </c>
      <c r="M121" s="153">
        <v>8155</v>
      </c>
      <c r="N121" s="153">
        <v>181677</v>
      </c>
      <c r="O121" s="153">
        <f t="shared" si="3"/>
        <v>132237</v>
      </c>
      <c r="P121" s="153">
        <v>6773</v>
      </c>
      <c r="Q121" s="153">
        <v>139010</v>
      </c>
      <c r="R121" s="153"/>
      <c r="S121" s="153"/>
      <c r="T121" s="153"/>
      <c r="U121" s="153"/>
      <c r="V121" s="153"/>
      <c r="W121" s="153"/>
      <c r="X121" s="153"/>
      <c r="Y121" s="153"/>
      <c r="Z121" s="153"/>
      <c r="AA121" s="153"/>
      <c r="AB121" s="153"/>
      <c r="AC121" s="153"/>
      <c r="AD121" s="153"/>
      <c r="AE121" s="153"/>
      <c r="AF121" s="153"/>
      <c r="AG121" s="153"/>
      <c r="AH121" s="153"/>
      <c r="AI121" s="153"/>
    </row>
    <row r="122" spans="1:35" x14ac:dyDescent="0.25">
      <c r="A122" t="s">
        <v>347</v>
      </c>
      <c r="B122" s="153">
        <v>22473567.862716284</v>
      </c>
      <c r="C122" s="153">
        <v>20381735.862716284</v>
      </c>
      <c r="D122" s="153">
        <v>803481</v>
      </c>
      <c r="E122" s="153">
        <v>0</v>
      </c>
      <c r="F122" s="153">
        <v>1024845</v>
      </c>
      <c r="G122" s="153">
        <v>263506</v>
      </c>
      <c r="H122" s="153">
        <v>2235960</v>
      </c>
      <c r="I122" s="153">
        <v>0</v>
      </c>
      <c r="J122" s="153">
        <v>137269.38</v>
      </c>
      <c r="K122" s="153"/>
      <c r="L122" s="153">
        <f t="shared" si="2"/>
        <v>36075</v>
      </c>
      <c r="M122" s="153">
        <v>1286</v>
      </c>
      <c r="N122" s="153">
        <v>37361</v>
      </c>
      <c r="O122" s="153">
        <f t="shared" si="3"/>
        <v>35319</v>
      </c>
      <c r="P122" s="153">
        <v>1527</v>
      </c>
      <c r="Q122" s="153">
        <v>36846</v>
      </c>
      <c r="R122" s="153"/>
      <c r="S122" s="153"/>
      <c r="T122" s="153"/>
      <c r="U122" s="153"/>
      <c r="V122" s="153"/>
      <c r="W122" s="153"/>
      <c r="X122" s="153"/>
      <c r="Y122" s="153"/>
      <c r="Z122" s="153"/>
      <c r="AA122" s="153"/>
      <c r="AB122" s="153"/>
      <c r="AC122" s="153"/>
      <c r="AD122" s="153"/>
      <c r="AE122" s="153"/>
      <c r="AF122" s="153"/>
      <c r="AG122" s="153"/>
      <c r="AH122" s="153"/>
      <c r="AI122" s="153"/>
    </row>
    <row r="123" spans="1:35" x14ac:dyDescent="0.25">
      <c r="A123" t="s">
        <v>171</v>
      </c>
      <c r="B123" s="153">
        <v>29048752.830832351</v>
      </c>
      <c r="C123" s="153">
        <v>26069055.830832351</v>
      </c>
      <c r="D123" s="153">
        <v>374759</v>
      </c>
      <c r="E123" s="153">
        <v>0</v>
      </c>
      <c r="F123" s="153">
        <v>2106185</v>
      </c>
      <c r="G123" s="153">
        <v>498753</v>
      </c>
      <c r="H123" s="153">
        <v>7504216</v>
      </c>
      <c r="I123" s="153">
        <v>3525</v>
      </c>
      <c r="J123" s="153">
        <v>294293.38</v>
      </c>
      <c r="K123" s="153"/>
      <c r="L123" s="153">
        <f t="shared" si="2"/>
        <v>54827</v>
      </c>
      <c r="M123">
        <v>0</v>
      </c>
      <c r="N123" s="153">
        <v>54827</v>
      </c>
      <c r="O123" s="153">
        <f t="shared" si="3"/>
        <v>53332</v>
      </c>
      <c r="P123" s="153">
        <v>2413</v>
      </c>
      <c r="Q123" s="153">
        <v>55745</v>
      </c>
      <c r="R123" s="153"/>
      <c r="S123" s="153"/>
      <c r="T123" s="153"/>
      <c r="U123" s="153"/>
      <c r="V123" s="153"/>
      <c r="W123" s="153"/>
      <c r="X123" s="153"/>
      <c r="Y123" s="153"/>
      <c r="Z123" s="153"/>
      <c r="AA123" s="153"/>
      <c r="AB123" s="153"/>
      <c r="AC123" s="153"/>
      <c r="AD123" s="153"/>
      <c r="AE123" s="153"/>
      <c r="AF123" s="153"/>
      <c r="AG123" s="153"/>
      <c r="AH123" s="153"/>
      <c r="AI123" s="153"/>
    </row>
    <row r="124" spans="1:35" x14ac:dyDescent="0.25">
      <c r="A124" t="s">
        <v>229</v>
      </c>
      <c r="B124" s="153">
        <v>14790707.930704422</v>
      </c>
      <c r="C124" s="153">
        <v>13555147.930704422</v>
      </c>
      <c r="D124" s="153">
        <v>303981</v>
      </c>
      <c r="E124" s="153">
        <v>0</v>
      </c>
      <c r="F124" s="153">
        <v>826267</v>
      </c>
      <c r="G124" s="153">
        <v>105312</v>
      </c>
      <c r="H124" s="153">
        <v>1703548</v>
      </c>
      <c r="I124" s="153">
        <v>2212</v>
      </c>
      <c r="J124" s="153">
        <v>110091.4</v>
      </c>
      <c r="K124" s="153"/>
      <c r="L124" s="153">
        <f t="shared" si="2"/>
        <v>24600</v>
      </c>
      <c r="M124" s="153">
        <v>1612</v>
      </c>
      <c r="N124" s="153">
        <v>26212</v>
      </c>
      <c r="O124" s="153">
        <f t="shared" si="3"/>
        <v>23870</v>
      </c>
      <c r="P124" s="153">
        <v>1062</v>
      </c>
      <c r="Q124" s="153">
        <v>24932</v>
      </c>
      <c r="R124" s="153"/>
      <c r="S124" s="153"/>
      <c r="T124" s="153"/>
      <c r="U124" s="153"/>
      <c r="V124" s="153"/>
      <c r="W124" s="153"/>
      <c r="X124" s="153"/>
      <c r="Y124" s="153"/>
      <c r="Z124" s="153"/>
      <c r="AA124" s="153"/>
      <c r="AB124" s="153"/>
      <c r="AC124" s="153"/>
      <c r="AD124" s="153"/>
      <c r="AE124" s="153"/>
      <c r="AF124" s="153"/>
      <c r="AG124" s="153"/>
      <c r="AH124" s="153"/>
      <c r="AI124" s="153"/>
    </row>
    <row r="125" spans="1:35" x14ac:dyDescent="0.25">
      <c r="A125" t="s">
        <v>303</v>
      </c>
      <c r="B125" s="153">
        <v>55619209.298109479</v>
      </c>
      <c r="C125" s="153">
        <v>50793035.298109479</v>
      </c>
      <c r="D125" s="153">
        <v>585826</v>
      </c>
      <c r="E125" s="153">
        <v>0</v>
      </c>
      <c r="F125" s="153">
        <v>3882056</v>
      </c>
      <c r="G125" s="153">
        <v>358292</v>
      </c>
      <c r="H125" s="153">
        <v>11396994</v>
      </c>
      <c r="I125" s="153">
        <v>6551</v>
      </c>
      <c r="J125" s="153">
        <v>1273933.57</v>
      </c>
      <c r="K125" s="153"/>
      <c r="L125" s="153">
        <f t="shared" si="2"/>
        <v>37285</v>
      </c>
      <c r="M125" s="153">
        <v>3173</v>
      </c>
      <c r="N125" s="153">
        <v>40458</v>
      </c>
      <c r="O125" s="153">
        <f t="shared" si="3"/>
        <v>90890</v>
      </c>
      <c r="P125" s="153">
        <v>1606</v>
      </c>
      <c r="Q125" s="153">
        <v>92496</v>
      </c>
      <c r="R125" s="153"/>
      <c r="S125" s="153"/>
      <c r="T125" s="153"/>
      <c r="U125" s="153"/>
      <c r="V125" s="153"/>
      <c r="W125" s="153"/>
      <c r="X125" s="153"/>
      <c r="Y125" s="153"/>
      <c r="Z125" s="153"/>
      <c r="AA125" s="153"/>
      <c r="AB125" s="153"/>
      <c r="AC125" s="153"/>
      <c r="AD125" s="153"/>
      <c r="AE125" s="153"/>
      <c r="AF125" s="153"/>
      <c r="AG125" s="153"/>
      <c r="AH125" s="153"/>
      <c r="AI125" s="153"/>
    </row>
    <row r="126" spans="1:35" x14ac:dyDescent="0.25">
      <c r="A126" t="s">
        <v>304</v>
      </c>
      <c r="B126" s="153">
        <v>29487899.784541219</v>
      </c>
      <c r="C126" s="153">
        <v>27576186.784541219</v>
      </c>
      <c r="D126" s="153">
        <v>276334</v>
      </c>
      <c r="E126" s="153">
        <v>0</v>
      </c>
      <c r="F126" s="153">
        <v>1506490</v>
      </c>
      <c r="G126" s="153">
        <v>128889</v>
      </c>
      <c r="H126" s="153">
        <v>3595263</v>
      </c>
      <c r="I126" s="153">
        <v>1511</v>
      </c>
      <c r="J126" s="153">
        <v>54060.800000000003</v>
      </c>
      <c r="K126" s="153"/>
      <c r="L126" s="153">
        <f t="shared" si="2"/>
        <v>53223</v>
      </c>
      <c r="M126" s="153">
        <v>1340</v>
      </c>
      <c r="N126" s="153">
        <v>54563</v>
      </c>
      <c r="O126" s="153">
        <f t="shared" si="3"/>
        <v>52804</v>
      </c>
      <c r="P126" s="153">
        <v>2903</v>
      </c>
      <c r="Q126" s="153">
        <v>55707</v>
      </c>
      <c r="R126" s="153"/>
      <c r="S126" s="153"/>
      <c r="T126" s="153"/>
      <c r="U126" s="153"/>
      <c r="V126" s="153"/>
      <c r="W126" s="153"/>
      <c r="X126" s="153"/>
      <c r="Y126" s="153"/>
      <c r="Z126" s="153"/>
      <c r="AA126" s="153"/>
      <c r="AB126" s="153"/>
      <c r="AC126" s="153"/>
      <c r="AD126" s="153"/>
      <c r="AE126" s="153"/>
      <c r="AF126" s="153"/>
      <c r="AG126" s="153"/>
      <c r="AH126" s="153"/>
      <c r="AI126" s="153"/>
    </row>
    <row r="127" spans="1:35" x14ac:dyDescent="0.25">
      <c r="A127" t="s">
        <v>230</v>
      </c>
      <c r="B127" s="153">
        <v>27072672.814592525</v>
      </c>
      <c r="C127" s="153">
        <v>21801845.814592525</v>
      </c>
      <c r="D127" s="153">
        <v>2953525</v>
      </c>
      <c r="E127" s="153">
        <v>0</v>
      </c>
      <c r="F127" s="153">
        <v>2167424</v>
      </c>
      <c r="G127" s="153">
        <v>149878</v>
      </c>
      <c r="H127" s="153">
        <v>2698167</v>
      </c>
      <c r="I127" s="153">
        <v>448</v>
      </c>
      <c r="J127" s="153">
        <v>201867.01</v>
      </c>
      <c r="K127" s="153"/>
      <c r="L127" s="153">
        <f t="shared" si="2"/>
        <v>43851</v>
      </c>
      <c r="M127">
        <v>505</v>
      </c>
      <c r="N127" s="153">
        <v>44356</v>
      </c>
      <c r="O127" s="153">
        <f t="shared" si="3"/>
        <v>40668</v>
      </c>
      <c r="P127">
        <v>199</v>
      </c>
      <c r="Q127" s="153">
        <v>40867</v>
      </c>
      <c r="R127" s="153"/>
      <c r="S127" s="153"/>
      <c r="T127" s="153"/>
      <c r="U127" s="153"/>
      <c r="V127" s="153"/>
      <c r="W127" s="153"/>
      <c r="X127" s="153"/>
      <c r="Y127" s="153"/>
      <c r="Z127" s="153"/>
      <c r="AA127" s="153"/>
      <c r="AB127" s="153"/>
      <c r="AC127" s="153"/>
      <c r="AD127" s="153"/>
      <c r="AE127" s="153"/>
      <c r="AF127" s="153"/>
      <c r="AG127" s="153"/>
      <c r="AH127" s="153"/>
      <c r="AI127" s="153"/>
    </row>
    <row r="128" spans="1:35" x14ac:dyDescent="0.25">
      <c r="A128" t="s">
        <v>172</v>
      </c>
      <c r="B128" s="153">
        <v>84114390.499440089</v>
      </c>
      <c r="C128" s="153">
        <v>74093342.499440089</v>
      </c>
      <c r="D128" s="153">
        <v>1494758</v>
      </c>
      <c r="E128" s="153">
        <v>0</v>
      </c>
      <c r="F128" s="153">
        <v>7956590</v>
      </c>
      <c r="G128" s="153">
        <v>569700</v>
      </c>
      <c r="H128" s="153">
        <v>18893597</v>
      </c>
      <c r="I128" s="153">
        <v>23635</v>
      </c>
      <c r="J128" s="153">
        <v>663120.5</v>
      </c>
      <c r="K128" s="153"/>
      <c r="L128" s="153">
        <f t="shared" si="2"/>
        <v>150589</v>
      </c>
      <c r="M128" s="153">
        <v>2874</v>
      </c>
      <c r="N128" s="153">
        <v>153463</v>
      </c>
      <c r="O128" s="153">
        <f t="shared" si="3"/>
        <v>156214</v>
      </c>
      <c r="P128" s="153">
        <v>3502</v>
      </c>
      <c r="Q128" s="153">
        <v>159716</v>
      </c>
      <c r="R128" s="153"/>
      <c r="S128" s="153"/>
      <c r="T128" s="153"/>
      <c r="U128" s="153"/>
      <c r="V128" s="153"/>
      <c r="W128" s="153"/>
      <c r="X128" s="153"/>
      <c r="Y128" s="153"/>
      <c r="Z128" s="153"/>
      <c r="AA128" s="153"/>
      <c r="AB128" s="153"/>
      <c r="AC128" s="153"/>
      <c r="AD128" s="153"/>
      <c r="AE128" s="153"/>
      <c r="AF128" s="153"/>
      <c r="AG128" s="153"/>
      <c r="AH128" s="153"/>
      <c r="AI128" s="153"/>
    </row>
    <row r="129" spans="1:35" x14ac:dyDescent="0.25">
      <c r="A129" t="s">
        <v>305</v>
      </c>
      <c r="B129" s="153">
        <v>83775462.670677379</v>
      </c>
      <c r="C129" s="153">
        <v>74079555.670677379</v>
      </c>
      <c r="D129" s="153">
        <v>4873051</v>
      </c>
      <c r="E129" s="153">
        <v>0</v>
      </c>
      <c r="F129" s="153">
        <v>4253790</v>
      </c>
      <c r="G129" s="153">
        <v>569066</v>
      </c>
      <c r="H129" s="153">
        <v>13549965</v>
      </c>
      <c r="I129" s="153">
        <v>8997</v>
      </c>
      <c r="J129" s="153">
        <v>1156946.57</v>
      </c>
      <c r="K129" s="153"/>
      <c r="L129" s="153">
        <f t="shared" si="2"/>
        <v>156338</v>
      </c>
      <c r="M129" s="153">
        <v>8895</v>
      </c>
      <c r="N129" s="153">
        <v>165233</v>
      </c>
      <c r="O129" s="153">
        <f t="shared" si="3"/>
        <v>143066</v>
      </c>
      <c r="P129" s="153">
        <v>9133</v>
      </c>
      <c r="Q129" s="153">
        <v>152199</v>
      </c>
      <c r="R129" s="153"/>
      <c r="S129" s="153"/>
      <c r="T129" s="153"/>
      <c r="U129" s="153"/>
      <c r="V129" s="153"/>
      <c r="W129" s="153"/>
      <c r="X129" s="153"/>
      <c r="Y129" s="153"/>
      <c r="Z129" s="153"/>
      <c r="AA129" s="153"/>
      <c r="AB129" s="153"/>
      <c r="AC129" s="153"/>
      <c r="AD129" s="153"/>
      <c r="AE129" s="153"/>
      <c r="AF129" s="153"/>
      <c r="AG129" s="153"/>
      <c r="AH129" s="153"/>
      <c r="AI129" s="153"/>
    </row>
    <row r="130" spans="1:35" x14ac:dyDescent="0.25">
      <c r="A130" t="s">
        <v>469</v>
      </c>
      <c r="B130" s="153">
        <v>248840403.41231132</v>
      </c>
      <c r="C130" s="153">
        <v>165623903.73361483</v>
      </c>
      <c r="D130" s="153">
        <v>2318854</v>
      </c>
      <c r="E130" s="153">
        <v>37658392</v>
      </c>
      <c r="F130" s="153">
        <v>28739142</v>
      </c>
      <c r="G130" s="153">
        <v>14500111.678696489</v>
      </c>
      <c r="H130" s="153">
        <v>60919292</v>
      </c>
      <c r="I130" s="153">
        <v>10779</v>
      </c>
      <c r="J130" s="153">
        <v>3718481.91</v>
      </c>
      <c r="K130" s="153"/>
      <c r="L130" s="153">
        <f t="shared" si="2"/>
        <v>398254</v>
      </c>
      <c r="M130" s="153">
        <v>5100</v>
      </c>
      <c r="N130" s="153">
        <v>403354</v>
      </c>
      <c r="O130" s="153">
        <f t="shared" si="3"/>
        <v>382449</v>
      </c>
      <c r="P130" s="153">
        <v>6259</v>
      </c>
      <c r="Q130" s="153">
        <v>388708</v>
      </c>
      <c r="R130" s="153"/>
      <c r="S130" s="153"/>
      <c r="T130" s="153"/>
      <c r="U130" s="153"/>
      <c r="V130" s="153"/>
      <c r="W130" s="153"/>
      <c r="X130" s="153"/>
      <c r="Y130" s="153"/>
      <c r="Z130" s="153"/>
      <c r="AA130" s="153"/>
      <c r="AB130" s="153"/>
      <c r="AC130" s="153"/>
      <c r="AD130" s="153"/>
      <c r="AE130" s="153"/>
      <c r="AF130" s="153"/>
      <c r="AG130" s="153"/>
      <c r="AH130" s="153"/>
      <c r="AI130" s="153"/>
    </row>
    <row r="131" spans="1:35" x14ac:dyDescent="0.25">
      <c r="A131" t="s">
        <v>431</v>
      </c>
      <c r="B131" s="153">
        <v>19114063.22080772</v>
      </c>
      <c r="C131" s="153">
        <v>17775742.22080772</v>
      </c>
      <c r="D131" s="153">
        <v>194636</v>
      </c>
      <c r="E131" s="153">
        <v>0</v>
      </c>
      <c r="F131" s="153">
        <v>1033738</v>
      </c>
      <c r="G131" s="153">
        <v>109947</v>
      </c>
      <c r="H131" s="153">
        <v>1945134</v>
      </c>
      <c r="I131" s="153">
        <v>1695</v>
      </c>
      <c r="J131" s="153">
        <v>62340.73</v>
      </c>
      <c r="K131" s="153"/>
      <c r="L131" s="153">
        <f t="shared" ref="L131:L194" si="4">SUM(-M131,N131)</f>
        <v>35349</v>
      </c>
      <c r="M131">
        <v>286</v>
      </c>
      <c r="N131" s="153">
        <v>35635</v>
      </c>
      <c r="O131" s="153">
        <f t="shared" ref="O131:O193" si="5">SUM(-P131,Q131)</f>
        <v>33529</v>
      </c>
      <c r="P131">
        <v>438</v>
      </c>
      <c r="Q131" s="153">
        <v>33967</v>
      </c>
      <c r="R131" s="153"/>
      <c r="S131" s="153"/>
      <c r="T131" s="153"/>
      <c r="U131" s="153"/>
      <c r="V131" s="153"/>
      <c r="W131" s="153"/>
      <c r="X131" s="153"/>
      <c r="Y131" s="153"/>
      <c r="Z131" s="153"/>
      <c r="AA131" s="153"/>
      <c r="AB131" s="153"/>
      <c r="AC131" s="153"/>
      <c r="AD131" s="153"/>
      <c r="AE131" s="153"/>
      <c r="AF131" s="153"/>
      <c r="AG131" s="153"/>
      <c r="AH131" s="153"/>
      <c r="AI131" s="153"/>
    </row>
    <row r="132" spans="1:35" x14ac:dyDescent="0.25">
      <c r="A132" t="s">
        <v>306</v>
      </c>
      <c r="B132" s="153">
        <v>26018280.956524402</v>
      </c>
      <c r="C132" s="153">
        <v>24443512.956524402</v>
      </c>
      <c r="D132" s="153">
        <v>337457</v>
      </c>
      <c r="E132" s="153">
        <v>0</v>
      </c>
      <c r="F132" s="153">
        <v>1131603</v>
      </c>
      <c r="G132" s="153">
        <v>105708</v>
      </c>
      <c r="H132" s="153">
        <v>3658927</v>
      </c>
      <c r="I132" s="153">
        <v>2119</v>
      </c>
      <c r="J132" s="153">
        <v>54060.800000000003</v>
      </c>
      <c r="K132" s="153"/>
      <c r="L132" s="153">
        <f t="shared" si="4"/>
        <v>55936</v>
      </c>
      <c r="M132">
        <v>352</v>
      </c>
      <c r="N132" s="153">
        <v>56288</v>
      </c>
      <c r="O132" s="153">
        <f t="shared" si="5"/>
        <v>50849</v>
      </c>
      <c r="P132">
        <v>905</v>
      </c>
      <c r="Q132" s="153">
        <v>51754</v>
      </c>
      <c r="R132" s="153"/>
      <c r="S132" s="153"/>
      <c r="T132" s="153"/>
      <c r="U132" s="153"/>
      <c r="V132" s="153"/>
      <c r="W132" s="153"/>
      <c r="X132" s="153"/>
      <c r="Y132" s="153"/>
      <c r="Z132" s="153"/>
      <c r="AA132" s="153"/>
      <c r="AB132" s="153"/>
      <c r="AC132" s="153"/>
      <c r="AD132" s="153"/>
      <c r="AE132" s="153"/>
      <c r="AF132" s="153"/>
      <c r="AG132" s="153"/>
      <c r="AH132" s="153"/>
      <c r="AI132" s="153"/>
    </row>
    <row r="133" spans="1:35" x14ac:dyDescent="0.25">
      <c r="A133" t="s">
        <v>193</v>
      </c>
      <c r="B133" s="153">
        <v>50228981.764921039</v>
      </c>
      <c r="C133" s="153">
        <v>44975067.764921039</v>
      </c>
      <c r="D133" s="153">
        <v>1295444</v>
      </c>
      <c r="E133" s="153">
        <v>0</v>
      </c>
      <c r="F133" s="153">
        <v>3576010</v>
      </c>
      <c r="G133" s="153">
        <v>382460</v>
      </c>
      <c r="H133" s="153">
        <v>6227521</v>
      </c>
      <c r="I133" s="153">
        <v>6586</v>
      </c>
      <c r="J133" s="153">
        <v>213046.54</v>
      </c>
      <c r="K133" s="153"/>
      <c r="L133" s="153">
        <f t="shared" si="4"/>
        <v>87386</v>
      </c>
      <c r="M133" s="153">
        <v>3414</v>
      </c>
      <c r="N133" s="153">
        <v>90800</v>
      </c>
      <c r="O133" s="153">
        <f t="shared" si="5"/>
        <v>85670</v>
      </c>
      <c r="P133" s="153">
        <v>2222</v>
      </c>
      <c r="Q133" s="153">
        <v>87892</v>
      </c>
      <c r="R133" s="153"/>
      <c r="S133" s="153"/>
      <c r="T133" s="153"/>
      <c r="U133" s="153"/>
      <c r="V133" s="153"/>
      <c r="W133" s="153"/>
      <c r="X133" s="153"/>
      <c r="Y133" s="153"/>
      <c r="Z133" s="153"/>
      <c r="AA133" s="153"/>
      <c r="AB133" s="153"/>
      <c r="AC133" s="153"/>
      <c r="AD133" s="153"/>
      <c r="AE133" s="153"/>
      <c r="AF133" s="153"/>
      <c r="AG133" s="153"/>
      <c r="AH133" s="153"/>
      <c r="AI133" s="153"/>
    </row>
    <row r="134" spans="1:35" x14ac:dyDescent="0.25">
      <c r="A134" t="s">
        <v>348</v>
      </c>
      <c r="B134" s="153">
        <v>52393637.193424702</v>
      </c>
      <c r="C134" s="153">
        <v>50976831.193424702</v>
      </c>
      <c r="D134" s="153">
        <v>848675</v>
      </c>
      <c r="E134" s="153">
        <v>0</v>
      </c>
      <c r="F134" s="153">
        <v>231206</v>
      </c>
      <c r="G134" s="153">
        <v>336925</v>
      </c>
      <c r="H134" s="153">
        <v>12711782</v>
      </c>
      <c r="I134" s="153">
        <v>4642</v>
      </c>
      <c r="J134" s="153">
        <v>881455.72</v>
      </c>
      <c r="K134" s="153"/>
      <c r="L134" s="153">
        <f t="shared" si="4"/>
        <v>100838</v>
      </c>
      <c r="M134">
        <v>123</v>
      </c>
      <c r="N134" s="153">
        <v>100961</v>
      </c>
      <c r="O134" s="153">
        <f t="shared" si="5"/>
        <v>96016</v>
      </c>
      <c r="P134">
        <v>256</v>
      </c>
      <c r="Q134" s="153">
        <v>96272</v>
      </c>
      <c r="R134" s="153"/>
      <c r="S134" s="153"/>
      <c r="T134" s="153"/>
      <c r="U134" s="153"/>
      <c r="V134" s="153"/>
      <c r="W134" s="153"/>
      <c r="X134" s="153"/>
      <c r="Y134" s="153"/>
      <c r="Z134" s="153"/>
      <c r="AA134" s="153"/>
      <c r="AB134" s="153"/>
      <c r="AC134" s="153"/>
      <c r="AD134" s="153"/>
      <c r="AE134" s="153"/>
      <c r="AF134" s="153"/>
      <c r="AG134" s="153"/>
      <c r="AH134" s="153"/>
      <c r="AI134" s="153"/>
    </row>
    <row r="135" spans="1:35" x14ac:dyDescent="0.25">
      <c r="A135" t="s">
        <v>432</v>
      </c>
      <c r="B135" s="153">
        <v>184099448.41635418</v>
      </c>
      <c r="C135" s="153">
        <v>133489756.3317991</v>
      </c>
      <c r="D135" s="153">
        <v>4549214</v>
      </c>
      <c r="E135" s="153">
        <v>20968562</v>
      </c>
      <c r="F135" s="153">
        <v>18461510</v>
      </c>
      <c r="G135" s="153">
        <v>6630406.0845550597</v>
      </c>
      <c r="H135" s="153">
        <v>38181557</v>
      </c>
      <c r="I135" s="153">
        <v>26318</v>
      </c>
      <c r="J135" s="153">
        <v>4303724.3499999996</v>
      </c>
      <c r="K135" s="153"/>
      <c r="L135" s="153">
        <f t="shared" si="4"/>
        <v>366931</v>
      </c>
      <c r="M135" s="153">
        <v>11829</v>
      </c>
      <c r="N135" s="153">
        <v>378760</v>
      </c>
      <c r="O135" s="153">
        <f t="shared" si="5"/>
        <v>335052</v>
      </c>
      <c r="P135" s="153">
        <v>18426</v>
      </c>
      <c r="Q135" s="153">
        <v>353478</v>
      </c>
      <c r="R135" s="153"/>
      <c r="S135" s="153"/>
      <c r="T135" s="153"/>
      <c r="U135" s="153"/>
      <c r="V135" s="153"/>
      <c r="W135" s="153"/>
      <c r="X135" s="153"/>
      <c r="Y135" s="153"/>
      <c r="Z135" s="153"/>
      <c r="AA135" s="153"/>
      <c r="AB135" s="153"/>
      <c r="AC135" s="153"/>
      <c r="AD135" s="153"/>
      <c r="AE135" s="153"/>
      <c r="AF135" s="153"/>
      <c r="AG135" s="153"/>
      <c r="AH135" s="153"/>
      <c r="AI135" s="153"/>
    </row>
    <row r="136" spans="1:35" x14ac:dyDescent="0.25">
      <c r="A136" t="s">
        <v>349</v>
      </c>
      <c r="B136" s="153">
        <v>35542624.621319406</v>
      </c>
      <c r="C136" s="153">
        <v>33724139.621319406</v>
      </c>
      <c r="D136" s="153">
        <v>480283</v>
      </c>
      <c r="E136" s="153">
        <v>0</v>
      </c>
      <c r="F136" s="153">
        <v>1032658</v>
      </c>
      <c r="G136" s="153">
        <v>305544</v>
      </c>
      <c r="H136" s="153">
        <v>4802756</v>
      </c>
      <c r="I136" s="153">
        <v>328</v>
      </c>
      <c r="J136" s="153">
        <v>212568.37</v>
      </c>
      <c r="K136" s="153"/>
      <c r="L136" s="153">
        <f t="shared" si="4"/>
        <v>73061</v>
      </c>
      <c r="M136" s="153">
        <v>1197</v>
      </c>
      <c r="N136" s="153">
        <v>74258</v>
      </c>
      <c r="O136" s="153">
        <f t="shared" si="5"/>
        <v>65036</v>
      </c>
      <c r="P136">
        <v>349</v>
      </c>
      <c r="Q136" s="153">
        <v>65385</v>
      </c>
      <c r="R136" s="153"/>
      <c r="S136" s="153"/>
      <c r="T136" s="153"/>
      <c r="U136" s="153"/>
      <c r="V136" s="153"/>
      <c r="W136" s="153"/>
      <c r="X136" s="153"/>
      <c r="Y136" s="153"/>
      <c r="Z136" s="153"/>
      <c r="AA136" s="153"/>
      <c r="AB136" s="153"/>
      <c r="AC136" s="153"/>
      <c r="AD136" s="153"/>
      <c r="AE136" s="153"/>
      <c r="AF136" s="153"/>
      <c r="AG136" s="153"/>
      <c r="AH136" s="153"/>
      <c r="AI136" s="153"/>
    </row>
    <row r="137" spans="1:35" x14ac:dyDescent="0.25">
      <c r="A137" t="s">
        <v>512</v>
      </c>
      <c r="B137" s="153">
        <v>141250126.37341124</v>
      </c>
      <c r="C137" s="153">
        <v>120426053.37341124</v>
      </c>
      <c r="D137" s="153">
        <v>6316867</v>
      </c>
      <c r="E137" s="153">
        <v>0</v>
      </c>
      <c r="F137" s="153">
        <v>12485937</v>
      </c>
      <c r="G137" s="153">
        <v>2021269</v>
      </c>
      <c r="H137" s="153">
        <v>36261395</v>
      </c>
      <c r="I137" s="153">
        <v>43087</v>
      </c>
      <c r="J137" s="153">
        <v>2013830.93</v>
      </c>
      <c r="K137" s="153"/>
      <c r="L137" s="153">
        <f t="shared" si="4"/>
        <v>289907</v>
      </c>
      <c r="M137" s="153">
        <v>13838</v>
      </c>
      <c r="N137" s="153">
        <v>303745</v>
      </c>
      <c r="O137" s="153">
        <f t="shared" si="5"/>
        <v>284648</v>
      </c>
      <c r="P137" s="153">
        <v>7500</v>
      </c>
      <c r="Q137" s="153">
        <v>292148</v>
      </c>
      <c r="R137" s="153"/>
      <c r="S137" s="153"/>
      <c r="T137" s="153"/>
      <c r="U137" s="153"/>
      <c r="V137" s="153"/>
      <c r="W137" s="153"/>
      <c r="X137" s="153"/>
      <c r="Y137" s="153"/>
      <c r="Z137" s="153"/>
      <c r="AA137" s="153"/>
      <c r="AB137" s="153"/>
      <c r="AC137" s="153"/>
      <c r="AD137" s="153"/>
      <c r="AE137" s="153"/>
      <c r="AF137" s="153"/>
      <c r="AG137" s="153"/>
      <c r="AH137" s="153"/>
      <c r="AI137" s="153"/>
    </row>
    <row r="138" spans="1:35" x14ac:dyDescent="0.25">
      <c r="A138" t="s">
        <v>747</v>
      </c>
      <c r="B138" s="153">
        <v>89971027.945989192</v>
      </c>
      <c r="C138" s="153">
        <v>76338996.945989192</v>
      </c>
      <c r="D138" s="153">
        <v>2807096</v>
      </c>
      <c r="E138" s="153">
        <v>0</v>
      </c>
      <c r="F138" s="153">
        <v>8450728</v>
      </c>
      <c r="G138" s="153">
        <v>2357139</v>
      </c>
      <c r="H138" s="153">
        <v>15291214</v>
      </c>
      <c r="I138" s="153">
        <v>23234</v>
      </c>
      <c r="J138" s="153">
        <v>527023.23</v>
      </c>
      <c r="K138" s="153"/>
      <c r="L138" s="153">
        <f t="shared" si="4"/>
        <v>151531</v>
      </c>
      <c r="M138" s="153"/>
      <c r="N138" s="309">
        <v>151531</v>
      </c>
      <c r="O138" s="153">
        <f t="shared" si="5"/>
        <v>151531</v>
      </c>
      <c r="P138" s="153">
        <v>6477</v>
      </c>
      <c r="Q138" s="153">
        <v>158008</v>
      </c>
      <c r="R138" s="153"/>
      <c r="S138" s="153"/>
      <c r="T138" s="153"/>
      <c r="U138" s="153"/>
      <c r="V138" s="153"/>
      <c r="W138" s="153"/>
      <c r="X138" s="153"/>
      <c r="Y138" s="153"/>
      <c r="Z138" s="153"/>
      <c r="AA138" s="153"/>
      <c r="AB138" s="153"/>
      <c r="AC138" s="153"/>
      <c r="AD138" s="153"/>
      <c r="AE138" s="153"/>
      <c r="AF138" s="153"/>
      <c r="AG138" s="153"/>
      <c r="AH138" s="153"/>
      <c r="AI138" s="153"/>
    </row>
    <row r="139" spans="1:35" x14ac:dyDescent="0.25">
      <c r="A139" t="s">
        <v>231</v>
      </c>
      <c r="B139" s="153">
        <v>20248187.578800421</v>
      </c>
      <c r="C139" s="153">
        <v>18402968.578800421</v>
      </c>
      <c r="D139" s="153">
        <v>215248</v>
      </c>
      <c r="E139" s="153">
        <v>0</v>
      </c>
      <c r="F139" s="153">
        <v>1457500</v>
      </c>
      <c r="G139" s="153">
        <v>172471</v>
      </c>
      <c r="H139" s="153">
        <v>3737582</v>
      </c>
      <c r="I139" s="153">
        <v>6692</v>
      </c>
      <c r="J139" s="153">
        <v>62615.91</v>
      </c>
      <c r="K139" s="153"/>
      <c r="L139" s="153">
        <f t="shared" si="4"/>
        <v>37986</v>
      </c>
      <c r="M139">
        <v>315</v>
      </c>
      <c r="N139" s="153">
        <v>38301</v>
      </c>
      <c r="O139" s="153">
        <f t="shared" si="5"/>
        <v>39607</v>
      </c>
      <c r="P139">
        <v>464</v>
      </c>
      <c r="Q139" s="153">
        <v>40071</v>
      </c>
      <c r="R139" s="153"/>
      <c r="S139" s="153"/>
      <c r="T139" s="153"/>
      <c r="U139" s="153"/>
      <c r="V139" s="153"/>
      <c r="W139" s="153"/>
      <c r="X139" s="153"/>
      <c r="Y139" s="153"/>
      <c r="Z139" s="153"/>
      <c r="AA139" s="153"/>
      <c r="AB139" s="153"/>
      <c r="AC139" s="153"/>
      <c r="AD139" s="153"/>
      <c r="AE139" s="153"/>
      <c r="AF139" s="153"/>
      <c r="AG139" s="153"/>
      <c r="AH139" s="153"/>
      <c r="AI139" s="153"/>
    </row>
    <row r="140" spans="1:35" x14ac:dyDescent="0.25">
      <c r="A140" t="s">
        <v>433</v>
      </c>
      <c r="B140" s="153">
        <v>55165507.500198752</v>
      </c>
      <c r="C140" s="153">
        <v>50298227.500198752</v>
      </c>
      <c r="D140" s="153">
        <v>774576</v>
      </c>
      <c r="E140" s="153">
        <v>0</v>
      </c>
      <c r="F140" s="153">
        <v>3749092</v>
      </c>
      <c r="G140" s="153">
        <v>343612</v>
      </c>
      <c r="H140" s="153">
        <v>8803699</v>
      </c>
      <c r="I140" s="153">
        <v>11544</v>
      </c>
      <c r="J140" s="153">
        <v>605934.41</v>
      </c>
      <c r="K140" s="153"/>
      <c r="L140" s="153">
        <f t="shared" si="4"/>
        <v>105391</v>
      </c>
      <c r="M140">
        <v>532</v>
      </c>
      <c r="N140" s="153">
        <v>105923</v>
      </c>
      <c r="O140" s="153">
        <f t="shared" si="5"/>
        <v>110471</v>
      </c>
      <c r="P140">
        <v>423</v>
      </c>
      <c r="Q140" s="153">
        <v>110894</v>
      </c>
      <c r="R140" s="153"/>
      <c r="S140" s="153"/>
      <c r="T140" s="153"/>
      <c r="U140" s="153"/>
      <c r="V140" s="153"/>
      <c r="W140" s="153"/>
      <c r="X140" s="153"/>
      <c r="Y140" s="153"/>
      <c r="Z140" s="153"/>
      <c r="AA140" s="153"/>
      <c r="AB140" s="153"/>
      <c r="AC140" s="153"/>
      <c r="AD140" s="153"/>
      <c r="AE140" s="153"/>
      <c r="AF140" s="153"/>
      <c r="AG140" s="153"/>
      <c r="AH140" s="153"/>
      <c r="AI140" s="153"/>
    </row>
    <row r="141" spans="1:35" x14ac:dyDescent="0.25">
      <c r="A141" t="s">
        <v>350</v>
      </c>
      <c r="B141" s="153">
        <v>28486839.068587635</v>
      </c>
      <c r="C141" s="153">
        <v>26255918.068587635</v>
      </c>
      <c r="D141" s="153">
        <v>378057</v>
      </c>
      <c r="E141" s="153">
        <v>0</v>
      </c>
      <c r="F141" s="153">
        <v>1682506</v>
      </c>
      <c r="G141" s="153">
        <v>170358</v>
      </c>
      <c r="H141" s="153">
        <v>3838787</v>
      </c>
      <c r="I141" s="153">
        <v>6687</v>
      </c>
      <c r="J141" s="153">
        <v>254003.82</v>
      </c>
      <c r="K141" s="153"/>
      <c r="L141" s="153">
        <f t="shared" si="4"/>
        <v>47667</v>
      </c>
      <c r="M141" s="153">
        <v>2103</v>
      </c>
      <c r="N141" s="153">
        <v>49770</v>
      </c>
      <c r="O141" s="153">
        <f t="shared" si="5"/>
        <v>45521</v>
      </c>
      <c r="P141" s="153">
        <v>4238</v>
      </c>
      <c r="Q141" s="153">
        <v>49759</v>
      </c>
      <c r="R141" s="153"/>
      <c r="S141" s="153"/>
      <c r="T141" s="153"/>
      <c r="U141" s="153"/>
      <c r="V141" s="153"/>
      <c r="W141" s="153"/>
      <c r="X141" s="153"/>
      <c r="Y141" s="153"/>
      <c r="Z141" s="153"/>
      <c r="AA141" s="153"/>
      <c r="AB141" s="153"/>
      <c r="AC141" s="153"/>
      <c r="AD141" s="153"/>
      <c r="AE141" s="153"/>
      <c r="AF141" s="153"/>
      <c r="AG141" s="153"/>
      <c r="AH141" s="153"/>
      <c r="AI141" s="153"/>
    </row>
    <row r="142" spans="1:35" x14ac:dyDescent="0.25">
      <c r="A142" t="s">
        <v>434</v>
      </c>
      <c r="B142" s="153">
        <v>18603683.940925784</v>
      </c>
      <c r="C142" s="153">
        <v>16689942.940925783</v>
      </c>
      <c r="D142" s="153">
        <v>222977</v>
      </c>
      <c r="E142" s="153">
        <v>0</v>
      </c>
      <c r="F142" s="153">
        <v>1506496</v>
      </c>
      <c r="G142" s="153">
        <v>184268</v>
      </c>
      <c r="H142" s="153">
        <v>1609397</v>
      </c>
      <c r="I142" s="153">
        <v>4211</v>
      </c>
      <c r="J142" s="153">
        <v>54060.800000000003</v>
      </c>
      <c r="K142" s="153"/>
      <c r="L142" s="153">
        <f t="shared" si="4"/>
        <v>36537</v>
      </c>
      <c r="M142" s="153">
        <v>1511</v>
      </c>
      <c r="N142" s="153">
        <v>38048</v>
      </c>
      <c r="O142" s="153">
        <f t="shared" si="5"/>
        <v>32679</v>
      </c>
      <c r="P142">
        <v>882</v>
      </c>
      <c r="Q142" s="153">
        <v>33561</v>
      </c>
      <c r="R142" s="153"/>
      <c r="S142" s="153"/>
      <c r="T142" s="153"/>
      <c r="U142" s="153"/>
      <c r="V142" s="153"/>
      <c r="W142" s="153"/>
      <c r="X142" s="153"/>
      <c r="Y142" s="153"/>
      <c r="Z142" s="153"/>
      <c r="AA142" s="153"/>
      <c r="AB142" s="153"/>
      <c r="AC142" s="153"/>
      <c r="AD142" s="153"/>
      <c r="AE142" s="153"/>
      <c r="AF142" s="153"/>
      <c r="AG142" s="153"/>
      <c r="AH142" s="153"/>
      <c r="AI142" s="153"/>
    </row>
    <row r="143" spans="1:35" x14ac:dyDescent="0.25">
      <c r="A143" t="s">
        <v>307</v>
      </c>
      <c r="B143" s="153">
        <v>151973512.9776141</v>
      </c>
      <c r="C143" s="153">
        <v>120986465.22496246</v>
      </c>
      <c r="D143" s="153">
        <v>2228541</v>
      </c>
      <c r="E143" s="153">
        <v>15956896</v>
      </c>
      <c r="F143" s="153">
        <v>7402611</v>
      </c>
      <c r="G143" s="153">
        <v>5398999.75265163</v>
      </c>
      <c r="H143" s="153">
        <v>29652390</v>
      </c>
      <c r="I143" s="153">
        <v>23066</v>
      </c>
      <c r="J143" s="153">
        <v>1610249.81</v>
      </c>
      <c r="K143" s="153"/>
      <c r="L143" s="153">
        <f t="shared" si="4"/>
        <v>255149</v>
      </c>
      <c r="M143" s="153">
        <v>6232</v>
      </c>
      <c r="N143" s="153">
        <v>261381</v>
      </c>
      <c r="O143" s="153">
        <f t="shared" si="5"/>
        <v>244283</v>
      </c>
      <c r="P143" s="153">
        <v>17184</v>
      </c>
      <c r="Q143" s="153">
        <v>261467</v>
      </c>
      <c r="R143" s="153"/>
      <c r="S143" s="153"/>
      <c r="T143" s="153"/>
      <c r="U143" s="153"/>
      <c r="V143" s="153"/>
      <c r="W143" s="153"/>
      <c r="X143" s="153"/>
      <c r="Y143" s="153"/>
      <c r="Z143" s="153"/>
      <c r="AA143" s="153"/>
      <c r="AB143" s="153"/>
      <c r="AC143" s="153"/>
      <c r="AD143" s="153"/>
      <c r="AE143" s="153"/>
      <c r="AF143" s="153"/>
      <c r="AG143" s="153"/>
      <c r="AH143" s="153"/>
      <c r="AI143" s="153"/>
    </row>
    <row r="144" spans="1:35" x14ac:dyDescent="0.25">
      <c r="A144" t="s">
        <v>748</v>
      </c>
      <c r="B144" s="153">
        <v>102856646.88217674</v>
      </c>
      <c r="C144" s="153">
        <v>95827446.882176742</v>
      </c>
      <c r="D144" s="153">
        <v>1982126</v>
      </c>
      <c r="E144" s="153">
        <v>0</v>
      </c>
      <c r="F144" s="153">
        <v>4240206</v>
      </c>
      <c r="G144" s="153">
        <v>812793</v>
      </c>
      <c r="H144" s="153">
        <v>12602252</v>
      </c>
      <c r="I144" s="153">
        <v>4881</v>
      </c>
      <c r="J144" s="153">
        <v>377416.3</v>
      </c>
      <c r="K144" s="153"/>
      <c r="L144" s="153">
        <f t="shared" si="4"/>
        <v>177267</v>
      </c>
      <c r="M144" s="153"/>
      <c r="N144" s="309">
        <v>177267</v>
      </c>
      <c r="O144" s="153">
        <f t="shared" si="5"/>
        <v>177267</v>
      </c>
      <c r="P144" s="153">
        <v>8531</v>
      </c>
      <c r="Q144" s="153">
        <v>185798</v>
      </c>
      <c r="R144" s="153"/>
      <c r="S144" s="153"/>
      <c r="T144" s="153"/>
      <c r="U144" s="153"/>
      <c r="V144" s="153"/>
      <c r="W144" s="153"/>
      <c r="X144" s="153"/>
      <c r="Y144" s="153"/>
      <c r="Z144" s="153"/>
      <c r="AA144" s="153"/>
      <c r="AB144" s="153"/>
      <c r="AC144" s="153"/>
      <c r="AD144" s="153"/>
      <c r="AE144" s="153"/>
      <c r="AF144" s="153"/>
      <c r="AG144" s="153"/>
      <c r="AH144" s="153"/>
      <c r="AI144" s="153"/>
    </row>
    <row r="145" spans="1:35" x14ac:dyDescent="0.25">
      <c r="A145" t="s">
        <v>194</v>
      </c>
      <c r="B145" s="153">
        <v>46307856</v>
      </c>
      <c r="C145" s="153">
        <v>42519190</v>
      </c>
      <c r="D145" s="153">
        <v>947639</v>
      </c>
      <c r="E145" s="153">
        <v>0</v>
      </c>
      <c r="F145" s="153">
        <v>2512081</v>
      </c>
      <c r="G145" s="153">
        <v>328946</v>
      </c>
      <c r="H145" s="153">
        <v>5924752</v>
      </c>
      <c r="I145" s="153">
        <v>16623</v>
      </c>
      <c r="J145" s="153">
        <v>157244.1</v>
      </c>
      <c r="K145" s="153"/>
      <c r="L145" s="153">
        <f t="shared" si="4"/>
        <v>77649</v>
      </c>
      <c r="M145" s="153">
        <v>8890</v>
      </c>
      <c r="N145" s="153">
        <v>86539</v>
      </c>
      <c r="O145" s="153">
        <f t="shared" si="5"/>
        <v>73217</v>
      </c>
      <c r="P145" s="153">
        <v>13654</v>
      </c>
      <c r="Q145" s="153">
        <v>86871</v>
      </c>
      <c r="R145" s="153"/>
      <c r="S145" s="153"/>
      <c r="T145" s="153"/>
      <c r="U145" s="153"/>
      <c r="V145" s="153"/>
      <c r="W145" s="153"/>
      <c r="X145" s="153"/>
      <c r="Y145" s="153"/>
      <c r="Z145" s="153"/>
      <c r="AA145" s="153"/>
      <c r="AB145" s="153"/>
      <c r="AC145" s="153"/>
      <c r="AD145" s="153"/>
      <c r="AE145" s="153"/>
      <c r="AF145" s="153"/>
      <c r="AG145" s="153"/>
      <c r="AH145" s="153"/>
      <c r="AI145" s="153"/>
    </row>
    <row r="146" spans="1:35" x14ac:dyDescent="0.25">
      <c r="A146" t="s">
        <v>308</v>
      </c>
      <c r="B146" s="153">
        <v>63220649</v>
      </c>
      <c r="C146" s="153">
        <v>57954862</v>
      </c>
      <c r="D146" s="153">
        <v>1308289</v>
      </c>
      <c r="E146" s="153">
        <v>0</v>
      </c>
      <c r="F146" s="153">
        <v>3105127</v>
      </c>
      <c r="G146" s="153">
        <v>852371</v>
      </c>
      <c r="H146" s="153">
        <v>9153117</v>
      </c>
      <c r="I146" s="153">
        <v>7667</v>
      </c>
      <c r="J146" s="153">
        <v>611040.19999999995</v>
      </c>
      <c r="K146" s="153"/>
      <c r="L146" s="153">
        <f t="shared" si="4"/>
        <v>97414</v>
      </c>
      <c r="M146" s="153">
        <v>2001</v>
      </c>
      <c r="N146" s="153">
        <v>99415</v>
      </c>
      <c r="O146" s="153">
        <f t="shared" si="5"/>
        <v>96164</v>
      </c>
      <c r="P146" s="153">
        <v>8073</v>
      </c>
      <c r="Q146" s="153">
        <v>104237</v>
      </c>
      <c r="R146" s="153"/>
      <c r="S146" s="153"/>
      <c r="T146" s="153"/>
      <c r="U146" s="153"/>
      <c r="V146" s="153"/>
      <c r="W146" s="153"/>
      <c r="X146" s="153"/>
      <c r="Y146" s="153"/>
      <c r="Z146" s="153"/>
      <c r="AA146" s="153"/>
      <c r="AB146" s="153"/>
      <c r="AC146" s="153"/>
      <c r="AD146" s="153"/>
      <c r="AE146" s="153"/>
      <c r="AF146" s="153"/>
      <c r="AG146" s="153"/>
      <c r="AH146" s="153"/>
      <c r="AI146" s="153"/>
    </row>
    <row r="147" spans="1:35" x14ac:dyDescent="0.25">
      <c r="A147" t="s">
        <v>134</v>
      </c>
      <c r="B147" s="153">
        <v>124635314</v>
      </c>
      <c r="C147" s="153">
        <v>83730015</v>
      </c>
      <c r="D147" s="153">
        <v>3554295</v>
      </c>
      <c r="E147" s="153">
        <v>0</v>
      </c>
      <c r="F147" s="153">
        <v>36519300</v>
      </c>
      <c r="G147" s="153">
        <v>831704</v>
      </c>
      <c r="H147" s="153">
        <v>19918527</v>
      </c>
      <c r="I147" s="153">
        <v>18832</v>
      </c>
      <c r="J147" s="153">
        <v>1609253.31</v>
      </c>
      <c r="K147" s="153"/>
      <c r="L147" s="153">
        <f t="shared" si="4"/>
        <v>193155</v>
      </c>
      <c r="M147" s="153">
        <v>1152</v>
      </c>
      <c r="N147" s="153">
        <v>194307</v>
      </c>
      <c r="O147" s="153">
        <f t="shared" si="5"/>
        <v>165197</v>
      </c>
      <c r="P147" s="153">
        <v>5324</v>
      </c>
      <c r="Q147" s="153">
        <v>170521</v>
      </c>
      <c r="R147" s="153"/>
      <c r="S147" s="153"/>
      <c r="T147" s="153"/>
      <c r="U147" s="153"/>
      <c r="V147" s="153"/>
      <c r="W147" s="153"/>
      <c r="X147" s="153"/>
      <c r="Y147" s="153"/>
      <c r="Z147" s="153"/>
      <c r="AA147" s="153"/>
      <c r="AB147" s="153"/>
      <c r="AC147" s="153"/>
      <c r="AD147" s="153"/>
      <c r="AE147" s="153"/>
      <c r="AF147" s="153"/>
      <c r="AG147" s="153"/>
      <c r="AH147" s="153"/>
      <c r="AI147" s="153"/>
    </row>
    <row r="148" spans="1:35" x14ac:dyDescent="0.25">
      <c r="A148" t="s">
        <v>309</v>
      </c>
      <c r="B148" s="153">
        <v>131976592</v>
      </c>
      <c r="C148" s="153">
        <v>109243920</v>
      </c>
      <c r="D148" s="153">
        <v>1985456</v>
      </c>
      <c r="E148" s="153">
        <v>11513686</v>
      </c>
      <c r="F148" s="153">
        <v>6130239</v>
      </c>
      <c r="G148" s="153">
        <v>3103291</v>
      </c>
      <c r="H148" s="153">
        <v>24595528</v>
      </c>
      <c r="I148" s="153">
        <v>23005</v>
      </c>
      <c r="J148" s="153">
        <v>1966117.13</v>
      </c>
      <c r="K148" s="153"/>
      <c r="L148" s="153">
        <f t="shared" si="4"/>
        <v>222198</v>
      </c>
      <c r="M148" s="153">
        <v>7927</v>
      </c>
      <c r="N148" s="153">
        <v>230125</v>
      </c>
      <c r="O148" s="153">
        <f t="shared" si="5"/>
        <v>213337</v>
      </c>
      <c r="P148" s="153">
        <v>7764</v>
      </c>
      <c r="Q148" s="153">
        <v>221101</v>
      </c>
      <c r="R148" s="153"/>
      <c r="S148" s="153"/>
      <c r="T148" s="153"/>
      <c r="U148" s="153"/>
      <c r="V148" s="153"/>
      <c r="W148" s="153"/>
      <c r="X148" s="153"/>
      <c r="Y148" s="153"/>
      <c r="Z148" s="153"/>
      <c r="AA148" s="153"/>
      <c r="AB148" s="153"/>
      <c r="AC148" s="153"/>
      <c r="AD148" s="153"/>
      <c r="AE148" s="153"/>
      <c r="AF148" s="153"/>
      <c r="AG148" s="153"/>
      <c r="AH148" s="153"/>
      <c r="AI148" s="153"/>
    </row>
    <row r="149" spans="1:35" x14ac:dyDescent="0.25">
      <c r="A149" t="s">
        <v>470</v>
      </c>
      <c r="B149" s="153">
        <v>54654781</v>
      </c>
      <c r="C149" s="153">
        <v>48588642</v>
      </c>
      <c r="D149" s="153">
        <v>1553164</v>
      </c>
      <c r="E149" s="153">
        <v>0</v>
      </c>
      <c r="F149" s="153">
        <v>4132629</v>
      </c>
      <c r="G149" s="153">
        <v>380346</v>
      </c>
      <c r="H149" s="153">
        <v>6653623</v>
      </c>
      <c r="I149" s="153">
        <v>9365</v>
      </c>
      <c r="J149" s="153">
        <v>252972.09</v>
      </c>
      <c r="K149" s="153"/>
      <c r="L149" s="153">
        <f t="shared" si="4"/>
        <v>99497</v>
      </c>
      <c r="M149" s="153">
        <v>3841</v>
      </c>
      <c r="N149" s="153">
        <v>103338</v>
      </c>
      <c r="O149" s="153">
        <f t="shared" si="5"/>
        <v>94497</v>
      </c>
      <c r="P149" s="153">
        <v>2368</v>
      </c>
      <c r="Q149" s="153">
        <v>96865</v>
      </c>
      <c r="R149" s="153"/>
      <c r="S149" s="153"/>
      <c r="T149" s="153"/>
      <c r="U149" s="153"/>
      <c r="V149" s="153"/>
      <c r="W149" s="153"/>
      <c r="X149" s="153"/>
      <c r="Y149" s="153"/>
      <c r="Z149" s="153"/>
      <c r="AA149" s="153"/>
      <c r="AB149" s="153"/>
      <c r="AC149" s="153"/>
      <c r="AD149" s="153"/>
      <c r="AE149" s="153"/>
      <c r="AF149" s="153"/>
      <c r="AG149" s="153"/>
      <c r="AH149" s="153"/>
      <c r="AI149" s="153"/>
    </row>
    <row r="150" spans="1:35" x14ac:dyDescent="0.25">
      <c r="A150" t="s">
        <v>269</v>
      </c>
      <c r="B150" s="153">
        <v>56100525</v>
      </c>
      <c r="C150" s="153">
        <v>53117619</v>
      </c>
      <c r="D150" s="153">
        <v>1894746</v>
      </c>
      <c r="E150" s="153">
        <v>0</v>
      </c>
      <c r="F150" s="153">
        <v>778966</v>
      </c>
      <c r="G150" s="153">
        <v>309194</v>
      </c>
      <c r="H150" s="153">
        <v>7354895</v>
      </c>
      <c r="I150" s="153">
        <v>7996</v>
      </c>
      <c r="J150" s="153">
        <v>126595.02</v>
      </c>
      <c r="K150" s="153"/>
      <c r="L150" s="153">
        <f t="shared" si="4"/>
        <v>117893</v>
      </c>
      <c r="M150" s="153">
        <v>6694</v>
      </c>
      <c r="N150" s="153">
        <v>124587</v>
      </c>
      <c r="O150" s="153">
        <f t="shared" si="5"/>
        <v>114327</v>
      </c>
      <c r="P150" s="153">
        <v>4836</v>
      </c>
      <c r="Q150" s="153">
        <v>119163</v>
      </c>
      <c r="R150" s="153"/>
      <c r="S150" s="153"/>
      <c r="T150" s="153"/>
      <c r="U150" s="153"/>
      <c r="V150" s="153"/>
      <c r="W150" s="153"/>
      <c r="X150" s="153"/>
      <c r="Y150" s="153"/>
      <c r="Z150" s="153"/>
      <c r="AA150" s="153"/>
      <c r="AB150" s="153"/>
      <c r="AC150" s="153"/>
      <c r="AD150" s="153"/>
      <c r="AE150" s="153"/>
      <c r="AF150" s="153"/>
      <c r="AG150" s="153"/>
      <c r="AH150" s="153"/>
      <c r="AI150" s="153"/>
    </row>
    <row r="151" spans="1:35" x14ac:dyDescent="0.25">
      <c r="A151" t="s">
        <v>310</v>
      </c>
      <c r="B151" s="153">
        <v>54497688</v>
      </c>
      <c r="C151" s="153">
        <v>51166982</v>
      </c>
      <c r="D151" s="153">
        <v>1040597</v>
      </c>
      <c r="E151" s="153">
        <v>0</v>
      </c>
      <c r="F151" s="153">
        <v>2001179</v>
      </c>
      <c r="G151" s="153">
        <v>288930</v>
      </c>
      <c r="H151" s="153">
        <v>11307876</v>
      </c>
      <c r="I151" s="153">
        <v>13917</v>
      </c>
      <c r="J151" s="153">
        <v>452418.87</v>
      </c>
      <c r="K151" s="153"/>
      <c r="L151" s="153">
        <f t="shared" si="4"/>
        <v>90416</v>
      </c>
      <c r="M151" s="153">
        <v>11914</v>
      </c>
      <c r="N151" s="153">
        <v>102330</v>
      </c>
      <c r="O151" s="153">
        <f t="shared" si="5"/>
        <v>87146</v>
      </c>
      <c r="P151" s="153">
        <v>7141</v>
      </c>
      <c r="Q151" s="153">
        <v>94287</v>
      </c>
      <c r="R151" s="153"/>
      <c r="S151" s="153"/>
      <c r="T151" s="153"/>
      <c r="U151" s="153"/>
      <c r="V151" s="153"/>
      <c r="W151" s="153"/>
      <c r="X151" s="153"/>
      <c r="Y151" s="153"/>
      <c r="Z151" s="153"/>
      <c r="AA151" s="153"/>
      <c r="AB151" s="153"/>
      <c r="AC151" s="153"/>
      <c r="AD151" s="153"/>
      <c r="AE151" s="153"/>
      <c r="AF151" s="153"/>
      <c r="AG151" s="153"/>
      <c r="AH151" s="153"/>
      <c r="AI151" s="153"/>
    </row>
    <row r="152" spans="1:35" x14ac:dyDescent="0.25">
      <c r="A152" t="s">
        <v>391</v>
      </c>
      <c r="B152" s="153">
        <v>41447727</v>
      </c>
      <c r="C152" s="153">
        <v>36177293</v>
      </c>
      <c r="D152" s="153">
        <v>825802</v>
      </c>
      <c r="E152" s="153">
        <v>0</v>
      </c>
      <c r="F152" s="153">
        <v>3911901</v>
      </c>
      <c r="G152" s="153">
        <v>532731</v>
      </c>
      <c r="H152" s="153">
        <v>5106742</v>
      </c>
      <c r="I152" s="153">
        <v>6453</v>
      </c>
      <c r="J152" s="153">
        <v>218420.15</v>
      </c>
      <c r="K152" s="153"/>
      <c r="L152" s="153">
        <f t="shared" si="4"/>
        <v>64588</v>
      </c>
      <c r="M152" s="153">
        <v>1792</v>
      </c>
      <c r="N152" s="153">
        <v>66380</v>
      </c>
      <c r="O152" s="153">
        <f t="shared" si="5"/>
        <v>62461</v>
      </c>
      <c r="P152">
        <v>413</v>
      </c>
      <c r="Q152" s="153">
        <v>62874</v>
      </c>
      <c r="R152" s="153"/>
      <c r="S152" s="153"/>
      <c r="T152" s="153"/>
      <c r="U152" s="153"/>
      <c r="V152" s="153"/>
      <c r="W152" s="153"/>
      <c r="X152" s="153"/>
      <c r="Y152" s="153"/>
      <c r="Z152" s="153"/>
      <c r="AA152" s="153"/>
      <c r="AB152" s="153"/>
      <c r="AC152" s="153"/>
      <c r="AD152" s="153"/>
      <c r="AE152" s="153"/>
      <c r="AF152" s="153"/>
      <c r="AG152" s="153"/>
      <c r="AH152" s="153"/>
      <c r="AI152" s="153"/>
    </row>
    <row r="153" spans="1:35" x14ac:dyDescent="0.25">
      <c r="A153" t="s">
        <v>270</v>
      </c>
      <c r="B153" s="153">
        <v>45678978</v>
      </c>
      <c r="C153" s="153">
        <v>42440195</v>
      </c>
      <c r="D153" s="153">
        <v>577192</v>
      </c>
      <c r="E153" s="153">
        <v>0</v>
      </c>
      <c r="F153" s="153">
        <v>2392730</v>
      </c>
      <c r="G153" s="153">
        <v>4889606</v>
      </c>
      <c r="H153" s="153">
        <v>7400992</v>
      </c>
      <c r="I153" s="153">
        <v>11616</v>
      </c>
      <c r="J153" s="153">
        <v>475218.81</v>
      </c>
      <c r="K153" s="153"/>
      <c r="L153" s="153">
        <f t="shared" si="4"/>
        <v>72745</v>
      </c>
      <c r="M153" s="153">
        <v>2072</v>
      </c>
      <c r="N153" s="153">
        <v>74817</v>
      </c>
      <c r="O153" s="153">
        <f t="shared" si="5"/>
        <v>72578</v>
      </c>
      <c r="P153" s="153">
        <v>2015</v>
      </c>
      <c r="Q153" s="153">
        <v>74593</v>
      </c>
      <c r="R153" s="153"/>
      <c r="S153" s="153"/>
      <c r="T153" s="153"/>
      <c r="U153" s="153"/>
      <c r="V153" s="153"/>
      <c r="W153" s="153"/>
      <c r="X153" s="153"/>
      <c r="Y153" s="153"/>
      <c r="Z153" s="153"/>
      <c r="AA153" s="153"/>
      <c r="AB153" s="153"/>
      <c r="AC153" s="153"/>
      <c r="AD153" s="153"/>
      <c r="AE153" s="153"/>
      <c r="AF153" s="153"/>
      <c r="AG153" s="153"/>
      <c r="AH153" s="153"/>
      <c r="AI153" s="153"/>
    </row>
    <row r="154" spans="1:35" x14ac:dyDescent="0.25">
      <c r="A154" t="s">
        <v>351</v>
      </c>
      <c r="B154" s="153">
        <v>29197944</v>
      </c>
      <c r="C154" s="153">
        <v>28133135</v>
      </c>
      <c r="D154" s="153">
        <v>798948</v>
      </c>
      <c r="E154" s="153">
        <v>0</v>
      </c>
      <c r="F154" s="153">
        <v>88048</v>
      </c>
      <c r="G154" s="153">
        <v>177813</v>
      </c>
      <c r="H154" s="153">
        <v>3851725</v>
      </c>
      <c r="I154" s="153">
        <v>1801</v>
      </c>
      <c r="J154" s="153">
        <v>180135.26</v>
      </c>
      <c r="K154" s="153"/>
      <c r="L154" s="153">
        <f t="shared" si="4"/>
        <v>58312</v>
      </c>
      <c r="M154">
        <v>521</v>
      </c>
      <c r="N154" s="153">
        <v>58833</v>
      </c>
      <c r="O154" s="153">
        <f t="shared" si="5"/>
        <v>56880</v>
      </c>
      <c r="P154" s="153">
        <v>1522</v>
      </c>
      <c r="Q154" s="153">
        <v>58402</v>
      </c>
      <c r="R154" s="153"/>
      <c r="S154" s="153"/>
      <c r="T154" s="153"/>
      <c r="U154" s="153"/>
      <c r="V154" s="153"/>
      <c r="W154" s="153"/>
      <c r="X154" s="153"/>
      <c r="Y154" s="153"/>
      <c r="Z154" s="153"/>
      <c r="AA154" s="153"/>
      <c r="AB154" s="153"/>
      <c r="AC154" s="153"/>
      <c r="AD154" s="153"/>
      <c r="AE154" s="153"/>
      <c r="AF154" s="153"/>
      <c r="AG154" s="153"/>
      <c r="AH154" s="153"/>
      <c r="AI154" s="153"/>
    </row>
    <row r="155" spans="1:35" x14ac:dyDescent="0.25">
      <c r="A155" t="s">
        <v>195</v>
      </c>
      <c r="B155" s="153">
        <v>80275752</v>
      </c>
      <c r="C155" s="153">
        <v>71985763</v>
      </c>
      <c r="D155" s="153">
        <v>1846704</v>
      </c>
      <c r="E155" s="153">
        <v>0</v>
      </c>
      <c r="F155" s="153">
        <v>5726923</v>
      </c>
      <c r="G155" s="153">
        <v>716362</v>
      </c>
      <c r="H155" s="153">
        <v>11400260</v>
      </c>
      <c r="I155" s="153">
        <v>11440</v>
      </c>
      <c r="J155" s="153">
        <v>808602.46</v>
      </c>
      <c r="K155" s="153"/>
      <c r="L155" s="153">
        <f t="shared" si="4"/>
        <v>171238</v>
      </c>
      <c r="M155" s="153">
        <v>8702</v>
      </c>
      <c r="N155" s="153">
        <v>179940</v>
      </c>
      <c r="O155" s="153">
        <f t="shared" si="5"/>
        <v>157761</v>
      </c>
      <c r="P155" s="153">
        <v>9221</v>
      </c>
      <c r="Q155" s="153">
        <v>166982</v>
      </c>
      <c r="R155" s="153"/>
      <c r="S155" s="153"/>
      <c r="T155" s="153"/>
      <c r="U155" s="153"/>
      <c r="V155" s="153"/>
      <c r="W155" s="153"/>
      <c r="X155" s="153"/>
      <c r="Y155" s="153"/>
      <c r="Z155" s="153"/>
      <c r="AA155" s="153"/>
      <c r="AB155" s="153"/>
      <c r="AC155" s="153"/>
      <c r="AD155" s="153"/>
      <c r="AE155" s="153"/>
      <c r="AF155" s="153"/>
      <c r="AG155" s="153"/>
      <c r="AH155" s="153"/>
      <c r="AI155" s="153"/>
    </row>
    <row r="156" spans="1:35" x14ac:dyDescent="0.25">
      <c r="A156" t="s">
        <v>392</v>
      </c>
      <c r="B156" s="153">
        <v>15813456</v>
      </c>
      <c r="C156" s="153">
        <v>14756901</v>
      </c>
      <c r="D156" s="153">
        <v>275977</v>
      </c>
      <c r="E156" s="153">
        <v>0</v>
      </c>
      <c r="F156" s="153">
        <v>606429</v>
      </c>
      <c r="G156" s="153">
        <v>174149</v>
      </c>
      <c r="H156" s="153">
        <v>1314190</v>
      </c>
      <c r="I156" s="153">
        <v>2732</v>
      </c>
      <c r="J156" s="153">
        <v>79643.350000000006</v>
      </c>
      <c r="K156" s="153"/>
      <c r="L156" s="153">
        <f t="shared" si="4"/>
        <v>31130</v>
      </c>
      <c r="M156" s="153">
        <v>1088</v>
      </c>
      <c r="N156" s="153">
        <v>32218</v>
      </c>
      <c r="O156" s="153">
        <f t="shared" si="5"/>
        <v>29209</v>
      </c>
      <c r="P156" s="153">
        <v>1264</v>
      </c>
      <c r="Q156" s="153">
        <v>30473</v>
      </c>
      <c r="R156" s="153"/>
      <c r="S156" s="153"/>
      <c r="T156" s="153"/>
      <c r="U156" s="153"/>
      <c r="V156" s="153"/>
      <c r="W156" s="153"/>
      <c r="X156" s="153"/>
      <c r="Y156" s="153"/>
      <c r="Z156" s="153"/>
      <c r="AA156" s="153"/>
      <c r="AB156" s="153"/>
      <c r="AC156" s="153"/>
      <c r="AD156" s="153"/>
      <c r="AE156" s="153"/>
      <c r="AF156" s="153"/>
      <c r="AG156" s="153"/>
      <c r="AH156" s="153"/>
      <c r="AI156" s="153"/>
    </row>
    <row r="157" spans="1:35" x14ac:dyDescent="0.25">
      <c r="A157" t="s">
        <v>352</v>
      </c>
      <c r="B157" s="153">
        <v>83227946</v>
      </c>
      <c r="C157" s="153">
        <v>74950926</v>
      </c>
      <c r="D157" s="153">
        <v>1527556</v>
      </c>
      <c r="E157" s="153">
        <v>0</v>
      </c>
      <c r="F157" s="153">
        <v>6266333</v>
      </c>
      <c r="G157" s="153">
        <v>483131</v>
      </c>
      <c r="H157" s="153">
        <v>12032726</v>
      </c>
      <c r="I157" s="153">
        <v>1256</v>
      </c>
      <c r="J157" s="153">
        <v>1334391.7</v>
      </c>
      <c r="K157" s="153"/>
      <c r="L157" s="153">
        <f t="shared" si="4"/>
        <v>163109</v>
      </c>
      <c r="M157" s="153">
        <v>18291</v>
      </c>
      <c r="N157" s="153">
        <v>181400</v>
      </c>
      <c r="O157" s="153">
        <f t="shared" si="5"/>
        <v>163938</v>
      </c>
      <c r="P157" s="153">
        <v>15530</v>
      </c>
      <c r="Q157" s="153">
        <v>179468</v>
      </c>
      <c r="R157" s="153"/>
      <c r="S157" s="153"/>
      <c r="T157" s="153"/>
      <c r="U157" s="153"/>
      <c r="V157" s="153"/>
      <c r="W157" s="153"/>
      <c r="X157" s="153"/>
      <c r="Y157" s="153"/>
      <c r="Z157" s="153"/>
      <c r="AA157" s="153"/>
      <c r="AB157" s="153"/>
      <c r="AC157" s="153"/>
      <c r="AD157" s="153"/>
      <c r="AE157" s="153"/>
      <c r="AF157" s="153"/>
      <c r="AG157" s="153"/>
      <c r="AH157" s="153"/>
      <c r="AI157" s="153"/>
    </row>
    <row r="158" spans="1:35" x14ac:dyDescent="0.25">
      <c r="A158" t="s">
        <v>471</v>
      </c>
      <c r="B158" s="153">
        <v>100197702</v>
      </c>
      <c r="C158" s="153">
        <v>78466797</v>
      </c>
      <c r="D158" s="153">
        <v>1178170</v>
      </c>
      <c r="E158" s="153">
        <v>0</v>
      </c>
      <c r="F158" s="153">
        <v>19761594</v>
      </c>
      <c r="G158" s="153">
        <v>791141</v>
      </c>
      <c r="H158" s="153">
        <v>27509428</v>
      </c>
      <c r="I158" s="153">
        <v>4472</v>
      </c>
      <c r="J158" s="153">
        <v>1803182.63</v>
      </c>
      <c r="K158" s="153"/>
      <c r="L158" s="153">
        <f t="shared" si="4"/>
        <v>156944</v>
      </c>
      <c r="M158" s="153">
        <v>4188</v>
      </c>
      <c r="N158" s="153">
        <v>161132</v>
      </c>
      <c r="O158" s="153">
        <f t="shared" si="5"/>
        <v>152716</v>
      </c>
      <c r="P158" s="153">
        <v>5925</v>
      </c>
      <c r="Q158" s="153">
        <v>158641</v>
      </c>
      <c r="R158" s="153"/>
      <c r="S158" s="153"/>
      <c r="T158" s="153"/>
      <c r="U158" s="153"/>
      <c r="V158" s="153"/>
      <c r="W158" s="153"/>
      <c r="X158" s="153"/>
      <c r="Y158" s="153"/>
      <c r="Z158" s="153"/>
      <c r="AA158" s="153"/>
      <c r="AB158" s="153"/>
      <c r="AC158" s="153"/>
      <c r="AD158" s="153"/>
      <c r="AE158" s="153"/>
      <c r="AF158" s="153"/>
      <c r="AG158" s="153"/>
      <c r="AH158" s="153"/>
      <c r="AI158" s="153"/>
    </row>
    <row r="159" spans="1:35" x14ac:dyDescent="0.25">
      <c r="A159" t="s">
        <v>311</v>
      </c>
      <c r="B159" s="153">
        <v>26212745</v>
      </c>
      <c r="C159" s="153">
        <v>24482601</v>
      </c>
      <c r="D159" s="153">
        <v>664925</v>
      </c>
      <c r="E159" s="153">
        <v>0</v>
      </c>
      <c r="F159" s="153">
        <v>822881</v>
      </c>
      <c r="G159" s="153">
        <v>242338</v>
      </c>
      <c r="H159" s="153">
        <v>2579825</v>
      </c>
      <c r="I159" s="153">
        <v>2319</v>
      </c>
      <c r="J159" s="153">
        <v>111257.13</v>
      </c>
      <c r="K159" s="153"/>
      <c r="L159" s="153">
        <f t="shared" si="4"/>
        <v>53063</v>
      </c>
      <c r="M159" s="153">
        <v>2896</v>
      </c>
      <c r="N159" s="153">
        <v>55959</v>
      </c>
      <c r="O159" s="153">
        <f t="shared" si="5"/>
        <v>51125</v>
      </c>
      <c r="P159" s="153">
        <v>1298</v>
      </c>
      <c r="Q159" s="153">
        <v>52423</v>
      </c>
      <c r="R159" s="153"/>
      <c r="S159" s="153"/>
      <c r="T159" s="153"/>
      <c r="U159" s="153"/>
      <c r="V159" s="153"/>
      <c r="W159" s="153"/>
      <c r="X159" s="153"/>
      <c r="Y159" s="153"/>
      <c r="Z159" s="153"/>
      <c r="AA159" s="153"/>
      <c r="AB159" s="153"/>
      <c r="AC159" s="153"/>
      <c r="AD159" s="153"/>
      <c r="AE159" s="153"/>
      <c r="AF159" s="153"/>
      <c r="AG159" s="153"/>
      <c r="AH159" s="153"/>
      <c r="AI159" s="153"/>
    </row>
    <row r="160" spans="1:35" x14ac:dyDescent="0.25">
      <c r="A160" t="s">
        <v>354</v>
      </c>
      <c r="B160" s="153">
        <v>40859148</v>
      </c>
      <c r="C160" s="153">
        <v>36712204</v>
      </c>
      <c r="D160" s="153">
        <v>1504166</v>
      </c>
      <c r="E160" s="153">
        <v>0</v>
      </c>
      <c r="F160" s="153">
        <v>2358187</v>
      </c>
      <c r="G160" s="153">
        <v>284591</v>
      </c>
      <c r="H160" s="153">
        <v>6699614</v>
      </c>
      <c r="I160" s="153">
        <v>398</v>
      </c>
      <c r="J160" s="153">
        <v>357310.93</v>
      </c>
      <c r="K160" s="153"/>
      <c r="L160" s="153">
        <f t="shared" si="4"/>
        <v>71478</v>
      </c>
      <c r="M160" s="153">
        <v>1506</v>
      </c>
      <c r="N160" s="153">
        <v>72984</v>
      </c>
      <c r="O160" s="153">
        <f t="shared" si="5"/>
        <v>66544</v>
      </c>
      <c r="P160" s="153">
        <v>1967</v>
      </c>
      <c r="Q160" s="153">
        <v>68511</v>
      </c>
      <c r="R160" s="153"/>
      <c r="S160" s="153"/>
      <c r="T160" s="153"/>
      <c r="U160" s="153"/>
      <c r="V160" s="153"/>
      <c r="W160" s="153"/>
      <c r="X160" s="153"/>
      <c r="Y160" s="153"/>
      <c r="Z160" s="153"/>
      <c r="AA160" s="153"/>
      <c r="AB160" s="153"/>
      <c r="AC160" s="153"/>
      <c r="AD160" s="153"/>
      <c r="AE160" s="153"/>
      <c r="AF160" s="153"/>
      <c r="AG160" s="153"/>
      <c r="AH160" s="153"/>
      <c r="AI160" s="153"/>
    </row>
    <row r="161" spans="1:35" x14ac:dyDescent="0.25">
      <c r="A161" t="s">
        <v>549</v>
      </c>
      <c r="B161" s="153">
        <v>73292057</v>
      </c>
      <c r="C161" s="153">
        <v>67543257</v>
      </c>
      <c r="D161" s="153">
        <v>1908709</v>
      </c>
      <c r="E161" s="153">
        <v>0</v>
      </c>
      <c r="F161" s="153">
        <v>3236066</v>
      </c>
      <c r="G161" s="153">
        <v>604025</v>
      </c>
      <c r="H161" s="153">
        <v>9545083</v>
      </c>
      <c r="I161" s="153">
        <v>23082</v>
      </c>
      <c r="J161" s="153">
        <v>692418.8</v>
      </c>
      <c r="K161" s="153"/>
      <c r="L161" s="153">
        <f t="shared" si="4"/>
        <v>132745</v>
      </c>
      <c r="M161" s="153">
        <v>6380</v>
      </c>
      <c r="N161" s="153">
        <v>139125</v>
      </c>
      <c r="O161" s="153">
        <f t="shared" si="5"/>
        <v>145078</v>
      </c>
      <c r="P161" s="153">
        <v>7034</v>
      </c>
      <c r="Q161" s="153">
        <v>152112</v>
      </c>
      <c r="R161" s="153"/>
      <c r="S161" s="153"/>
      <c r="T161" s="153"/>
      <c r="U161" s="153"/>
      <c r="V161" s="153"/>
      <c r="W161" s="153"/>
      <c r="X161" s="153"/>
      <c r="Y161" s="153"/>
      <c r="Z161" s="153"/>
      <c r="AA161" s="153"/>
      <c r="AB161" s="153"/>
      <c r="AC161" s="153"/>
      <c r="AD161" s="153"/>
      <c r="AE161" s="153"/>
      <c r="AF161" s="153"/>
      <c r="AG161" s="153"/>
      <c r="AH161" s="153"/>
      <c r="AI161" s="153"/>
    </row>
    <row r="162" spans="1:35" x14ac:dyDescent="0.25">
      <c r="A162" t="s">
        <v>435</v>
      </c>
      <c r="B162" s="153">
        <v>28160188</v>
      </c>
      <c r="C162" s="153">
        <v>24717592</v>
      </c>
      <c r="D162" s="153">
        <v>629068</v>
      </c>
      <c r="E162" s="153">
        <v>0</v>
      </c>
      <c r="F162" s="153">
        <v>2609542</v>
      </c>
      <c r="G162" s="153">
        <v>203986</v>
      </c>
      <c r="H162" s="153">
        <v>3334681</v>
      </c>
      <c r="I162" s="153">
        <v>3419</v>
      </c>
      <c r="J162" s="153">
        <v>143993.13</v>
      </c>
      <c r="K162" s="153"/>
      <c r="L162" s="153">
        <f t="shared" si="4"/>
        <v>43992</v>
      </c>
      <c r="M162" s="153">
        <v>3182</v>
      </c>
      <c r="N162" s="153">
        <v>47174</v>
      </c>
      <c r="O162" s="153">
        <f t="shared" si="5"/>
        <v>41635</v>
      </c>
      <c r="P162" s="153">
        <v>1071</v>
      </c>
      <c r="Q162" s="153">
        <v>42706</v>
      </c>
      <c r="R162" s="153"/>
      <c r="S162" s="153"/>
      <c r="T162" s="153"/>
      <c r="U162" s="153"/>
      <c r="V162" s="153"/>
      <c r="W162" s="153"/>
      <c r="X162" s="153"/>
      <c r="Y162" s="153"/>
      <c r="Z162" s="153"/>
      <c r="AA162" s="153"/>
      <c r="AB162" s="153"/>
      <c r="AC162" s="153"/>
      <c r="AD162" s="153"/>
      <c r="AE162" s="153"/>
      <c r="AF162" s="153"/>
      <c r="AG162" s="153"/>
      <c r="AH162" s="153"/>
      <c r="AI162" s="153"/>
    </row>
    <row r="163" spans="1:35" x14ac:dyDescent="0.25">
      <c r="A163" t="s">
        <v>436</v>
      </c>
      <c r="B163" s="153">
        <v>20409399</v>
      </c>
      <c r="C163" s="153">
        <v>17131723</v>
      </c>
      <c r="D163" s="153">
        <v>1098311</v>
      </c>
      <c r="E163" s="153">
        <v>0</v>
      </c>
      <c r="F163" s="153">
        <v>1990831</v>
      </c>
      <c r="G163" s="153">
        <v>188534</v>
      </c>
      <c r="H163" s="153">
        <v>2093837</v>
      </c>
      <c r="I163" s="153">
        <v>0</v>
      </c>
      <c r="J163" s="153">
        <v>146379.17000000001</v>
      </c>
      <c r="K163" s="153"/>
      <c r="L163" s="153">
        <f t="shared" si="4"/>
        <v>32911</v>
      </c>
      <c r="M163" s="153">
        <v>1292</v>
      </c>
      <c r="N163" s="153">
        <v>34203</v>
      </c>
      <c r="O163" s="153">
        <f t="shared" si="5"/>
        <v>31528</v>
      </c>
      <c r="P163">
        <v>842</v>
      </c>
      <c r="Q163" s="153">
        <v>32370</v>
      </c>
      <c r="R163" s="153"/>
      <c r="S163" s="153"/>
      <c r="T163" s="153"/>
      <c r="U163" s="153"/>
      <c r="V163" s="153"/>
      <c r="W163" s="153"/>
      <c r="X163" s="153"/>
      <c r="Y163" s="153"/>
      <c r="Z163" s="153"/>
      <c r="AA163" s="153"/>
      <c r="AB163" s="153"/>
      <c r="AC163" s="153"/>
      <c r="AD163" s="153"/>
      <c r="AE163" s="153"/>
      <c r="AF163" s="153"/>
      <c r="AG163" s="153"/>
      <c r="AH163" s="153"/>
      <c r="AI163" s="153"/>
    </row>
    <row r="164" spans="1:35" x14ac:dyDescent="0.25">
      <c r="A164" t="s">
        <v>472</v>
      </c>
      <c r="B164" s="153">
        <v>70253114</v>
      </c>
      <c r="C164" s="153">
        <v>57702104</v>
      </c>
      <c r="D164" s="153">
        <v>1302630</v>
      </c>
      <c r="E164" s="153">
        <v>0</v>
      </c>
      <c r="F164" s="153">
        <v>10771803</v>
      </c>
      <c r="G164" s="153">
        <v>476577</v>
      </c>
      <c r="H164" s="153">
        <v>14099338</v>
      </c>
      <c r="I164" s="153">
        <v>4336</v>
      </c>
      <c r="J164" s="153">
        <v>863724.08</v>
      </c>
      <c r="K164" s="153"/>
      <c r="L164" s="153">
        <f t="shared" si="4"/>
        <v>103620</v>
      </c>
      <c r="M164" s="153">
        <v>20707</v>
      </c>
      <c r="N164" s="153">
        <v>124327</v>
      </c>
      <c r="O164" s="153">
        <f t="shared" si="5"/>
        <v>103358</v>
      </c>
      <c r="P164" s="153">
        <v>12742</v>
      </c>
      <c r="Q164" s="153">
        <v>116100</v>
      </c>
      <c r="R164" s="153"/>
      <c r="S164" s="153"/>
      <c r="T164" s="153"/>
      <c r="U164" s="153"/>
      <c r="V164" s="153"/>
      <c r="W164" s="153"/>
      <c r="X164" s="153"/>
      <c r="Y164" s="153"/>
      <c r="Z164" s="153"/>
      <c r="AA164" s="153"/>
      <c r="AB164" s="153"/>
      <c r="AC164" s="153"/>
      <c r="AD164" s="153"/>
      <c r="AE164" s="153"/>
      <c r="AF164" s="153"/>
      <c r="AG164" s="153"/>
      <c r="AH164" s="153"/>
      <c r="AI164" s="153"/>
    </row>
    <row r="165" spans="1:35" x14ac:dyDescent="0.25">
      <c r="A165" t="s">
        <v>312</v>
      </c>
      <c r="B165" s="153">
        <v>12932007</v>
      </c>
      <c r="C165" s="153">
        <v>12351318</v>
      </c>
      <c r="D165" s="153">
        <v>233554</v>
      </c>
      <c r="E165" s="153">
        <v>0</v>
      </c>
      <c r="F165" s="153">
        <v>241077</v>
      </c>
      <c r="G165" s="153">
        <v>106058</v>
      </c>
      <c r="H165" s="153">
        <v>1609352</v>
      </c>
      <c r="I165" s="153">
        <v>1212</v>
      </c>
      <c r="J165" s="153">
        <v>54060.800000000003</v>
      </c>
      <c r="K165" s="153"/>
      <c r="L165" s="153">
        <f t="shared" si="4"/>
        <v>22533</v>
      </c>
      <c r="M165" s="153">
        <v>1665</v>
      </c>
      <c r="N165" s="153">
        <v>24198</v>
      </c>
      <c r="O165" s="153">
        <f t="shared" si="5"/>
        <v>19630</v>
      </c>
      <c r="P165">
        <v>612</v>
      </c>
      <c r="Q165" s="153">
        <v>20242</v>
      </c>
      <c r="R165" s="153"/>
      <c r="S165" s="153"/>
      <c r="T165" s="153"/>
      <c r="U165" s="153"/>
      <c r="V165" s="153"/>
      <c r="W165" s="153"/>
      <c r="X165" s="153"/>
      <c r="Y165" s="153"/>
      <c r="Z165" s="153"/>
      <c r="AA165" s="153"/>
      <c r="AB165" s="153"/>
      <c r="AC165" s="153"/>
      <c r="AD165" s="153"/>
      <c r="AE165" s="153"/>
      <c r="AF165" s="153"/>
      <c r="AG165" s="153"/>
      <c r="AH165" s="153"/>
      <c r="AI165" s="153"/>
    </row>
    <row r="166" spans="1:35" x14ac:dyDescent="0.25">
      <c r="A166" t="s">
        <v>313</v>
      </c>
      <c r="B166" s="153">
        <v>32913394</v>
      </c>
      <c r="C166" s="153">
        <v>30250688</v>
      </c>
      <c r="D166" s="153">
        <v>931067</v>
      </c>
      <c r="E166" s="153">
        <v>0</v>
      </c>
      <c r="F166" s="153">
        <v>1508830</v>
      </c>
      <c r="G166" s="153">
        <v>222809</v>
      </c>
      <c r="H166" s="153">
        <v>4566133</v>
      </c>
      <c r="I166" s="153">
        <v>2893</v>
      </c>
      <c r="J166" s="153">
        <v>283806.06</v>
      </c>
      <c r="K166" s="153"/>
      <c r="L166" s="153">
        <f t="shared" si="4"/>
        <v>66496</v>
      </c>
      <c r="M166" s="153">
        <v>2386</v>
      </c>
      <c r="N166" s="153">
        <v>68882</v>
      </c>
      <c r="O166" s="153">
        <f t="shared" si="5"/>
        <v>60049</v>
      </c>
      <c r="P166" s="153">
        <v>3311</v>
      </c>
      <c r="Q166" s="153">
        <v>63360</v>
      </c>
      <c r="R166" s="153"/>
      <c r="S166" s="153"/>
      <c r="T166" s="153"/>
      <c r="U166" s="153"/>
      <c r="V166" s="153"/>
      <c r="W166" s="153"/>
      <c r="X166" s="153"/>
      <c r="Y166" s="153"/>
      <c r="Z166" s="153"/>
      <c r="AA166" s="153"/>
      <c r="AB166" s="153"/>
      <c r="AC166" s="153"/>
      <c r="AD166" s="153"/>
      <c r="AE166" s="153"/>
      <c r="AF166" s="153"/>
      <c r="AG166" s="153"/>
      <c r="AH166" s="153"/>
      <c r="AI166" s="153"/>
    </row>
    <row r="167" spans="1:35" x14ac:dyDescent="0.25">
      <c r="A167" t="s">
        <v>355</v>
      </c>
      <c r="B167" s="153">
        <v>64461513</v>
      </c>
      <c r="C167" s="153">
        <v>62467832</v>
      </c>
      <c r="D167" s="153">
        <v>1398076</v>
      </c>
      <c r="E167" s="153">
        <v>0</v>
      </c>
      <c r="F167" s="153">
        <v>223395</v>
      </c>
      <c r="G167" s="153">
        <v>372210</v>
      </c>
      <c r="H167" s="153">
        <v>8695146</v>
      </c>
      <c r="I167" s="153">
        <v>4737</v>
      </c>
      <c r="J167" s="153">
        <v>251256.18</v>
      </c>
      <c r="K167" s="153"/>
      <c r="L167" s="153">
        <f t="shared" si="4"/>
        <v>148264</v>
      </c>
      <c r="M167" s="153">
        <v>4164</v>
      </c>
      <c r="N167" s="153">
        <v>152428</v>
      </c>
      <c r="O167" s="153">
        <f t="shared" si="5"/>
        <v>144831</v>
      </c>
      <c r="P167" s="153">
        <v>5107</v>
      </c>
      <c r="Q167" s="153">
        <v>149938</v>
      </c>
      <c r="R167" s="153"/>
      <c r="S167" s="153"/>
      <c r="T167" s="153"/>
      <c r="U167" s="153"/>
      <c r="V167" s="153"/>
      <c r="W167" s="153"/>
      <c r="X167" s="153"/>
      <c r="Y167" s="153"/>
      <c r="Z167" s="153"/>
      <c r="AA167" s="153"/>
      <c r="AB167" s="153"/>
      <c r="AC167" s="153"/>
      <c r="AD167" s="153"/>
      <c r="AE167" s="153"/>
      <c r="AF167" s="153"/>
      <c r="AG167" s="153"/>
      <c r="AH167" s="153"/>
      <c r="AI167" s="153"/>
    </row>
    <row r="168" spans="1:35" x14ac:dyDescent="0.25">
      <c r="A168" t="s">
        <v>314</v>
      </c>
      <c r="B168" s="153">
        <v>11569869</v>
      </c>
      <c r="C168" s="153">
        <v>11114827</v>
      </c>
      <c r="D168" s="153">
        <v>71405</v>
      </c>
      <c r="E168" s="153">
        <v>0</v>
      </c>
      <c r="F168" s="153">
        <v>319038</v>
      </c>
      <c r="G168" s="153">
        <v>64599</v>
      </c>
      <c r="H168" s="153">
        <v>1644142</v>
      </c>
      <c r="I168" s="153">
        <v>1511</v>
      </c>
      <c r="J168" s="153">
        <v>54060.800000000003</v>
      </c>
      <c r="K168" s="153"/>
      <c r="L168" s="153">
        <f t="shared" si="4"/>
        <v>23559</v>
      </c>
      <c r="M168">
        <v>525</v>
      </c>
      <c r="N168" s="153">
        <v>24084</v>
      </c>
      <c r="O168" s="153">
        <f t="shared" si="5"/>
        <v>23305</v>
      </c>
      <c r="P168">
        <v>315</v>
      </c>
      <c r="Q168" s="153">
        <v>23620</v>
      </c>
      <c r="R168" s="153"/>
      <c r="S168" s="153"/>
      <c r="T168" s="153"/>
      <c r="U168" s="153"/>
      <c r="V168" s="153"/>
      <c r="W168" s="153"/>
      <c r="X168" s="153"/>
      <c r="Y168" s="153"/>
      <c r="Z168" s="153"/>
      <c r="AA168" s="153"/>
      <c r="AB168" s="153"/>
      <c r="AC168" s="153"/>
      <c r="AD168" s="153"/>
      <c r="AE168" s="153"/>
      <c r="AF168" s="153"/>
      <c r="AG168" s="153"/>
      <c r="AH168" s="153"/>
      <c r="AI168" s="153"/>
    </row>
    <row r="169" spans="1:35" x14ac:dyDescent="0.25">
      <c r="A169" t="s">
        <v>173</v>
      </c>
      <c r="B169" s="153">
        <v>314584291</v>
      </c>
      <c r="C169" s="153">
        <v>211815677</v>
      </c>
      <c r="D169" s="153">
        <v>6535106</v>
      </c>
      <c r="E169" s="153">
        <v>57359547</v>
      </c>
      <c r="F169" s="153">
        <v>13951569</v>
      </c>
      <c r="G169" s="153">
        <v>24922392</v>
      </c>
      <c r="H169" s="153">
        <v>76555550</v>
      </c>
      <c r="I169" s="153">
        <v>51533</v>
      </c>
      <c r="J169" s="153">
        <v>2554474.63</v>
      </c>
      <c r="K169" s="153"/>
      <c r="L169" s="153">
        <f t="shared" si="4"/>
        <v>569915</v>
      </c>
      <c r="M169" s="153">
        <v>20320</v>
      </c>
      <c r="N169" s="153">
        <v>590235</v>
      </c>
      <c r="O169" s="153">
        <f t="shared" si="5"/>
        <v>661828</v>
      </c>
      <c r="P169" s="153">
        <v>17797</v>
      </c>
      <c r="Q169" s="153">
        <v>679625</v>
      </c>
      <c r="R169" s="153"/>
      <c r="S169" s="153"/>
      <c r="T169" s="153"/>
      <c r="U169" s="153"/>
      <c r="V169" s="153"/>
      <c r="W169" s="153"/>
      <c r="X169" s="153"/>
      <c r="Y169" s="153"/>
      <c r="Z169" s="153"/>
      <c r="AA169" s="153"/>
      <c r="AB169" s="153"/>
      <c r="AC169" s="153"/>
      <c r="AD169" s="153"/>
      <c r="AE169" s="153"/>
      <c r="AF169" s="153"/>
      <c r="AG169" s="153"/>
      <c r="AH169" s="153"/>
      <c r="AI169" s="153"/>
    </row>
    <row r="170" spans="1:35" x14ac:dyDescent="0.25">
      <c r="A170" t="s">
        <v>357</v>
      </c>
      <c r="B170" s="153">
        <v>256770793</v>
      </c>
      <c r="C170" s="153">
        <v>185685925</v>
      </c>
      <c r="D170" s="153">
        <v>3026129</v>
      </c>
      <c r="E170" s="153">
        <v>33148738</v>
      </c>
      <c r="F170" s="153">
        <v>20531303</v>
      </c>
      <c r="G170" s="153">
        <v>14378698</v>
      </c>
      <c r="H170" s="153">
        <v>51656750</v>
      </c>
      <c r="I170" s="153">
        <v>16865</v>
      </c>
      <c r="J170" s="153">
        <v>3061174.52</v>
      </c>
      <c r="K170" s="153"/>
      <c r="L170" s="153">
        <f t="shared" si="4"/>
        <v>480055</v>
      </c>
      <c r="M170" s="153">
        <v>49046</v>
      </c>
      <c r="N170" s="153">
        <v>529101</v>
      </c>
      <c r="O170" s="153">
        <f t="shared" si="5"/>
        <v>467877</v>
      </c>
      <c r="P170" s="153">
        <v>53082</v>
      </c>
      <c r="Q170" s="153">
        <v>520959</v>
      </c>
      <c r="R170" s="153"/>
      <c r="S170" s="153"/>
      <c r="T170" s="153"/>
      <c r="U170" s="153"/>
      <c r="V170" s="153"/>
      <c r="W170" s="153"/>
      <c r="X170" s="153"/>
      <c r="Y170" s="153"/>
      <c r="Z170" s="153"/>
      <c r="AA170" s="153"/>
      <c r="AB170" s="153"/>
      <c r="AC170" s="153"/>
      <c r="AD170" s="153"/>
      <c r="AE170" s="153"/>
      <c r="AF170" s="153"/>
      <c r="AG170" s="153"/>
      <c r="AH170" s="153"/>
      <c r="AI170" s="153"/>
    </row>
    <row r="171" spans="1:35" x14ac:dyDescent="0.25">
      <c r="A171" t="s">
        <v>358</v>
      </c>
      <c r="B171" s="153">
        <v>33207312</v>
      </c>
      <c r="C171" s="153">
        <v>32311539</v>
      </c>
      <c r="D171" s="153">
        <v>560590</v>
      </c>
      <c r="E171" s="153">
        <v>0</v>
      </c>
      <c r="F171" s="153">
        <v>170087</v>
      </c>
      <c r="G171" s="153">
        <v>165096</v>
      </c>
      <c r="H171" s="153">
        <v>5346057</v>
      </c>
      <c r="I171" s="153">
        <v>4615</v>
      </c>
      <c r="J171" s="153">
        <v>230418.92</v>
      </c>
      <c r="K171" s="153"/>
      <c r="L171" s="153">
        <f t="shared" si="4"/>
        <v>65624</v>
      </c>
      <c r="M171" s="153">
        <v>5281</v>
      </c>
      <c r="N171" s="153">
        <v>70905</v>
      </c>
      <c r="O171" s="153">
        <f t="shared" si="5"/>
        <v>59694</v>
      </c>
      <c r="P171" s="153">
        <v>4835</v>
      </c>
      <c r="Q171" s="153">
        <v>64529</v>
      </c>
      <c r="R171" s="153"/>
      <c r="S171" s="153"/>
      <c r="T171" s="153"/>
      <c r="U171" s="153"/>
      <c r="V171" s="153"/>
      <c r="W171" s="153"/>
      <c r="X171" s="153"/>
      <c r="Y171" s="153"/>
      <c r="Z171" s="153"/>
      <c r="AA171" s="153"/>
      <c r="AB171" s="153"/>
      <c r="AC171" s="153"/>
      <c r="AD171" s="153"/>
      <c r="AE171" s="153"/>
      <c r="AF171" s="153"/>
      <c r="AG171" s="153"/>
      <c r="AH171" s="153"/>
      <c r="AI171" s="153"/>
    </row>
    <row r="172" spans="1:35" x14ac:dyDescent="0.25">
      <c r="A172" t="s">
        <v>359</v>
      </c>
      <c r="B172" s="153">
        <v>105486641</v>
      </c>
      <c r="C172" s="153">
        <v>99954844</v>
      </c>
      <c r="D172" s="153">
        <v>1818064</v>
      </c>
      <c r="E172" s="153">
        <v>0</v>
      </c>
      <c r="F172" s="153">
        <v>3128532</v>
      </c>
      <c r="G172" s="153">
        <v>585201</v>
      </c>
      <c r="H172" s="153">
        <v>24729914</v>
      </c>
      <c r="I172" s="153">
        <v>14891</v>
      </c>
      <c r="J172" s="153">
        <v>1191933.27</v>
      </c>
      <c r="K172" s="153"/>
      <c r="L172" s="153">
        <f t="shared" si="4"/>
        <v>205680</v>
      </c>
      <c r="M172" s="153">
        <v>17491</v>
      </c>
      <c r="N172" s="153">
        <v>223171</v>
      </c>
      <c r="O172" s="153">
        <f t="shared" si="5"/>
        <v>186600</v>
      </c>
      <c r="P172" s="153">
        <v>11485</v>
      </c>
      <c r="Q172" s="153">
        <v>198085</v>
      </c>
      <c r="R172" s="153"/>
      <c r="S172" s="153"/>
      <c r="T172" s="153"/>
      <c r="U172" s="153"/>
      <c r="V172" s="153"/>
      <c r="W172" s="153"/>
      <c r="X172" s="153"/>
      <c r="Y172" s="153"/>
      <c r="Z172" s="153"/>
      <c r="AA172" s="153"/>
      <c r="AB172" s="153"/>
      <c r="AC172" s="153"/>
      <c r="AD172" s="153"/>
      <c r="AE172" s="153"/>
      <c r="AF172" s="153"/>
      <c r="AG172" s="153"/>
      <c r="AH172" s="153"/>
      <c r="AI172" s="153"/>
    </row>
    <row r="173" spans="1:35" x14ac:dyDescent="0.25">
      <c r="A173" t="s">
        <v>496</v>
      </c>
      <c r="B173" s="153">
        <v>133969960</v>
      </c>
      <c r="C173" s="153">
        <v>121198656</v>
      </c>
      <c r="D173" s="153">
        <v>3938135</v>
      </c>
      <c r="E173" s="153">
        <v>0</v>
      </c>
      <c r="F173" s="153">
        <v>6985182</v>
      </c>
      <c r="G173" s="153">
        <v>1847987</v>
      </c>
      <c r="H173" s="153">
        <v>33804129</v>
      </c>
      <c r="I173" s="153">
        <v>56075</v>
      </c>
      <c r="J173" s="153">
        <v>4013815.09</v>
      </c>
      <c r="K173" s="153"/>
      <c r="L173" s="153">
        <f t="shared" si="4"/>
        <v>281862</v>
      </c>
      <c r="M173" s="153">
        <v>8527</v>
      </c>
      <c r="N173" s="153">
        <v>290389</v>
      </c>
      <c r="O173" s="153">
        <f t="shared" si="5"/>
        <v>260898</v>
      </c>
      <c r="P173" s="153">
        <v>7274</v>
      </c>
      <c r="Q173" s="153">
        <v>268172</v>
      </c>
      <c r="R173" s="153"/>
      <c r="S173" s="153"/>
      <c r="T173" s="153"/>
      <c r="U173" s="153"/>
      <c r="V173" s="153"/>
      <c r="W173" s="153"/>
      <c r="X173" s="153"/>
      <c r="Y173" s="153"/>
      <c r="Z173" s="153"/>
      <c r="AA173" s="153"/>
      <c r="AB173" s="153"/>
      <c r="AC173" s="153"/>
      <c r="AD173" s="153"/>
      <c r="AE173" s="153"/>
      <c r="AF173" s="153"/>
      <c r="AG173" s="153"/>
      <c r="AH173" s="153"/>
      <c r="AI173" s="153"/>
    </row>
    <row r="174" spans="1:35" x14ac:dyDescent="0.25">
      <c r="A174" t="s">
        <v>473</v>
      </c>
      <c r="B174" s="153">
        <v>47739793</v>
      </c>
      <c r="C174" s="153">
        <v>42130596</v>
      </c>
      <c r="D174" s="153">
        <v>2394718</v>
      </c>
      <c r="E174" s="153">
        <v>0</v>
      </c>
      <c r="F174" s="153">
        <v>2918543</v>
      </c>
      <c r="G174" s="153">
        <v>295936</v>
      </c>
      <c r="H174" s="153">
        <v>5270322</v>
      </c>
      <c r="I174" s="153">
        <v>2460</v>
      </c>
      <c r="J174" s="153">
        <v>226933.29</v>
      </c>
      <c r="K174" s="153"/>
      <c r="L174" s="153">
        <f t="shared" si="4"/>
        <v>73943</v>
      </c>
      <c r="M174" s="153">
        <v>9151</v>
      </c>
      <c r="N174" s="153">
        <v>83094</v>
      </c>
      <c r="O174" s="153">
        <f t="shared" si="5"/>
        <v>72630</v>
      </c>
      <c r="P174" s="153">
        <v>5990</v>
      </c>
      <c r="Q174" s="153">
        <v>78620</v>
      </c>
      <c r="R174" s="153"/>
      <c r="S174" s="153"/>
      <c r="T174" s="153"/>
      <c r="U174" s="153"/>
      <c r="V174" s="153"/>
      <c r="W174" s="153"/>
      <c r="X174" s="153"/>
      <c r="Y174" s="153"/>
      <c r="Z174" s="153"/>
      <c r="AA174" s="153"/>
      <c r="AB174" s="153"/>
      <c r="AC174" s="153"/>
      <c r="AD174" s="153"/>
      <c r="AE174" s="153"/>
      <c r="AF174" s="153"/>
      <c r="AG174" s="153"/>
      <c r="AH174" s="153"/>
      <c r="AI174" s="153"/>
    </row>
    <row r="175" spans="1:35" x14ac:dyDescent="0.25">
      <c r="A175" t="s">
        <v>271</v>
      </c>
      <c r="B175" s="153">
        <v>32806569</v>
      </c>
      <c r="C175" s="153">
        <v>30378648</v>
      </c>
      <c r="D175" s="153">
        <v>722448</v>
      </c>
      <c r="E175" s="153">
        <v>0</v>
      </c>
      <c r="F175" s="153">
        <v>1516888</v>
      </c>
      <c r="G175" s="153">
        <v>188585</v>
      </c>
      <c r="H175" s="153">
        <v>4434163</v>
      </c>
      <c r="I175" s="153">
        <v>3654</v>
      </c>
      <c r="J175" s="153">
        <v>63303.86</v>
      </c>
      <c r="K175" s="153"/>
      <c r="L175" s="153">
        <f t="shared" si="4"/>
        <v>55285</v>
      </c>
      <c r="M175" s="153">
        <v>3038</v>
      </c>
      <c r="N175" s="153">
        <v>58323</v>
      </c>
      <c r="O175" s="153">
        <f t="shared" si="5"/>
        <v>53829</v>
      </c>
      <c r="P175" s="153">
        <v>1671</v>
      </c>
      <c r="Q175" s="153">
        <v>55500</v>
      </c>
      <c r="R175" s="153"/>
      <c r="S175" s="153"/>
      <c r="T175" s="153"/>
      <c r="U175" s="153"/>
      <c r="V175" s="153"/>
      <c r="W175" s="153"/>
      <c r="X175" s="153"/>
      <c r="Y175" s="153"/>
      <c r="Z175" s="153"/>
      <c r="AA175" s="153"/>
      <c r="AB175" s="153"/>
      <c r="AC175" s="153"/>
      <c r="AD175" s="153"/>
      <c r="AE175" s="153"/>
      <c r="AF175" s="153"/>
      <c r="AG175" s="153"/>
      <c r="AH175" s="153"/>
      <c r="AI175" s="153"/>
    </row>
    <row r="176" spans="1:35" x14ac:dyDescent="0.25">
      <c r="A176" t="s">
        <v>233</v>
      </c>
      <c r="B176" s="153">
        <v>58692800</v>
      </c>
      <c r="C176" s="153">
        <v>52919810</v>
      </c>
      <c r="D176" s="153">
        <v>967407</v>
      </c>
      <c r="E176" s="153">
        <v>0</v>
      </c>
      <c r="F176" s="153">
        <v>4409984</v>
      </c>
      <c r="G176" s="153">
        <v>395599</v>
      </c>
      <c r="H176" s="153">
        <v>8098633</v>
      </c>
      <c r="I176" s="153">
        <v>14449</v>
      </c>
      <c r="J176" s="153">
        <v>265004.06</v>
      </c>
      <c r="K176" s="153"/>
      <c r="L176" s="153">
        <f t="shared" si="4"/>
        <v>101438</v>
      </c>
      <c r="M176" s="153">
        <v>4229</v>
      </c>
      <c r="N176" s="153">
        <v>105667</v>
      </c>
      <c r="O176" s="153">
        <f t="shared" si="5"/>
        <v>98671</v>
      </c>
      <c r="P176" s="153">
        <v>2159</v>
      </c>
      <c r="Q176" s="153">
        <v>100830</v>
      </c>
      <c r="R176" s="153"/>
      <c r="S176" s="153"/>
      <c r="T176" s="153"/>
      <c r="U176" s="153"/>
      <c r="V176" s="153"/>
      <c r="W176" s="153"/>
      <c r="X176" s="153"/>
      <c r="Y176" s="153"/>
      <c r="Z176" s="153"/>
      <c r="AA176" s="153"/>
      <c r="AB176" s="153"/>
      <c r="AC176" s="153"/>
      <c r="AD176" s="153"/>
      <c r="AE176" s="153"/>
      <c r="AF176" s="153"/>
      <c r="AG176" s="153"/>
      <c r="AH176" s="153"/>
      <c r="AI176" s="153"/>
    </row>
    <row r="177" spans="1:35" x14ac:dyDescent="0.25">
      <c r="A177" t="s">
        <v>360</v>
      </c>
      <c r="B177" s="153">
        <v>28013590</v>
      </c>
      <c r="C177" s="153">
        <v>25819530</v>
      </c>
      <c r="D177" s="153">
        <v>365543</v>
      </c>
      <c r="E177" s="153">
        <v>0</v>
      </c>
      <c r="F177" s="153">
        <v>1681618</v>
      </c>
      <c r="G177" s="153">
        <v>146899</v>
      </c>
      <c r="H177" s="153">
        <v>3670341</v>
      </c>
      <c r="I177" s="153">
        <v>747</v>
      </c>
      <c r="J177" s="153">
        <v>143636.88</v>
      </c>
      <c r="K177" s="153"/>
      <c r="L177" s="153">
        <f t="shared" si="4"/>
        <v>51364</v>
      </c>
      <c r="M177" s="153">
        <v>4213</v>
      </c>
      <c r="N177" s="153">
        <v>55577</v>
      </c>
      <c r="O177" s="153">
        <f t="shared" si="5"/>
        <v>49257</v>
      </c>
      <c r="P177" s="153">
        <v>5305</v>
      </c>
      <c r="Q177" s="153">
        <v>54562</v>
      </c>
      <c r="R177" s="153"/>
      <c r="S177" s="153"/>
      <c r="T177" s="153"/>
      <c r="U177" s="153"/>
      <c r="V177" s="153"/>
      <c r="W177" s="153"/>
      <c r="X177" s="153"/>
      <c r="Y177" s="153"/>
      <c r="Z177" s="153"/>
      <c r="AA177" s="153"/>
      <c r="AB177" s="153"/>
      <c r="AC177" s="153"/>
      <c r="AD177" s="153"/>
      <c r="AE177" s="153"/>
      <c r="AF177" s="153"/>
      <c r="AG177" s="153"/>
      <c r="AH177" s="153"/>
      <c r="AI177" s="153"/>
    </row>
    <row r="178" spans="1:35" x14ac:dyDescent="0.25">
      <c r="A178" t="s">
        <v>234</v>
      </c>
      <c r="B178" s="153">
        <v>47750015</v>
      </c>
      <c r="C178" s="153">
        <v>41274696</v>
      </c>
      <c r="D178" s="153">
        <v>3699593</v>
      </c>
      <c r="E178" s="153">
        <v>0</v>
      </c>
      <c r="F178" s="153">
        <v>2455284</v>
      </c>
      <c r="G178" s="153">
        <v>320442</v>
      </c>
      <c r="H178" s="153">
        <v>6436119</v>
      </c>
      <c r="I178" s="153">
        <v>5587</v>
      </c>
      <c r="J178" s="153">
        <v>214514.06</v>
      </c>
      <c r="K178" s="153"/>
      <c r="L178" s="153">
        <f t="shared" si="4"/>
        <v>75410</v>
      </c>
      <c r="M178" s="153">
        <v>6105</v>
      </c>
      <c r="N178" s="153">
        <v>81515</v>
      </c>
      <c r="O178" s="153">
        <f t="shared" si="5"/>
        <v>70534</v>
      </c>
      <c r="P178" s="153">
        <v>3635</v>
      </c>
      <c r="Q178" s="153">
        <v>74169</v>
      </c>
      <c r="R178" s="153"/>
      <c r="S178" s="153"/>
      <c r="T178" s="153"/>
      <c r="U178" s="153"/>
      <c r="V178" s="153"/>
      <c r="W178" s="153"/>
      <c r="X178" s="153"/>
      <c r="Y178" s="153"/>
      <c r="Z178" s="153"/>
      <c r="AA178" s="153"/>
      <c r="AB178" s="153"/>
      <c r="AC178" s="153"/>
      <c r="AD178" s="153"/>
      <c r="AE178" s="153"/>
      <c r="AF178" s="153"/>
      <c r="AG178" s="153"/>
      <c r="AH178" s="153"/>
      <c r="AI178" s="153"/>
    </row>
    <row r="179" spans="1:35" x14ac:dyDescent="0.25">
      <c r="A179" t="s">
        <v>437</v>
      </c>
      <c r="B179" s="153">
        <v>30389207</v>
      </c>
      <c r="C179" s="153">
        <v>26885772</v>
      </c>
      <c r="D179" s="153">
        <v>411046</v>
      </c>
      <c r="E179" s="153">
        <v>0</v>
      </c>
      <c r="F179" s="153">
        <v>2910489</v>
      </c>
      <c r="G179" s="153">
        <v>181900</v>
      </c>
      <c r="H179" s="153">
        <v>3803642</v>
      </c>
      <c r="I179" s="153">
        <v>14584</v>
      </c>
      <c r="J179" s="153">
        <v>297338.08</v>
      </c>
      <c r="K179" s="153"/>
      <c r="L179" s="153">
        <f t="shared" si="4"/>
        <v>51950</v>
      </c>
      <c r="M179">
        <v>944</v>
      </c>
      <c r="N179" s="153">
        <v>52894</v>
      </c>
      <c r="O179" s="153">
        <f t="shared" si="5"/>
        <v>49978</v>
      </c>
      <c r="P179">
        <v>785</v>
      </c>
      <c r="Q179" s="153">
        <v>50763</v>
      </c>
      <c r="R179" s="153"/>
      <c r="S179" s="153"/>
      <c r="T179" s="153"/>
      <c r="U179" s="153"/>
      <c r="V179" s="153"/>
      <c r="W179" s="153"/>
      <c r="X179" s="153"/>
      <c r="Y179" s="153"/>
      <c r="Z179" s="153"/>
      <c r="AA179" s="153"/>
      <c r="AB179" s="153"/>
      <c r="AC179" s="153"/>
      <c r="AD179" s="153"/>
      <c r="AE179" s="153"/>
      <c r="AF179" s="153"/>
      <c r="AG179" s="153"/>
      <c r="AH179" s="153"/>
      <c r="AI179" s="153"/>
    </row>
    <row r="180" spans="1:35" x14ac:dyDescent="0.25">
      <c r="A180" t="s">
        <v>272</v>
      </c>
      <c r="B180" s="153">
        <v>17630977</v>
      </c>
      <c r="C180" s="153">
        <v>16168645</v>
      </c>
      <c r="D180" s="153">
        <v>540362</v>
      </c>
      <c r="E180" s="153">
        <v>0</v>
      </c>
      <c r="F180" s="153">
        <v>735452</v>
      </c>
      <c r="G180" s="153">
        <v>186518</v>
      </c>
      <c r="H180" s="153">
        <v>1769498</v>
      </c>
      <c r="I180" s="153">
        <v>2355</v>
      </c>
      <c r="J180" s="153">
        <v>220822.13</v>
      </c>
      <c r="K180" s="153"/>
      <c r="L180" s="153">
        <f t="shared" si="4"/>
        <v>27206</v>
      </c>
      <c r="M180">
        <v>145</v>
      </c>
      <c r="N180" s="153">
        <v>27351</v>
      </c>
      <c r="O180" s="153">
        <f t="shared" si="5"/>
        <v>25565</v>
      </c>
      <c r="P180">
        <v>351</v>
      </c>
      <c r="Q180" s="153">
        <v>25916</v>
      </c>
      <c r="R180" s="153"/>
      <c r="S180" s="153"/>
      <c r="T180" s="153"/>
      <c r="U180" s="153"/>
      <c r="V180" s="153"/>
      <c r="W180" s="153"/>
      <c r="X180" s="153"/>
      <c r="Y180" s="153"/>
      <c r="Z180" s="153"/>
      <c r="AA180" s="153"/>
      <c r="AB180" s="153"/>
      <c r="AC180" s="153"/>
      <c r="AD180" s="153"/>
      <c r="AE180" s="153"/>
      <c r="AF180" s="153"/>
      <c r="AG180" s="153"/>
      <c r="AH180" s="153"/>
      <c r="AI180" s="153"/>
    </row>
    <row r="181" spans="1:35" x14ac:dyDescent="0.25">
      <c r="A181" t="s">
        <v>153</v>
      </c>
      <c r="B181" s="153">
        <v>17481815</v>
      </c>
      <c r="C181" s="153">
        <v>15069311</v>
      </c>
      <c r="D181" s="153">
        <v>799554</v>
      </c>
      <c r="E181" s="153">
        <v>0</v>
      </c>
      <c r="F181" s="153">
        <v>939163</v>
      </c>
      <c r="G181" s="153">
        <v>673787</v>
      </c>
      <c r="H181" s="153">
        <v>3146294</v>
      </c>
      <c r="I181" s="153">
        <v>506</v>
      </c>
      <c r="J181" s="153">
        <v>65175.82</v>
      </c>
      <c r="K181" s="153"/>
      <c r="L181" s="153">
        <f t="shared" si="4"/>
        <v>29991</v>
      </c>
      <c r="M181" s="153">
        <v>1988</v>
      </c>
      <c r="N181" s="153">
        <v>31979</v>
      </c>
      <c r="O181" s="153">
        <f t="shared" si="5"/>
        <v>29627</v>
      </c>
      <c r="P181">
        <v>377</v>
      </c>
      <c r="Q181" s="153">
        <v>30004</v>
      </c>
      <c r="R181" s="153"/>
      <c r="S181" s="153"/>
      <c r="T181" s="153"/>
      <c r="U181" s="153"/>
      <c r="V181" s="153"/>
      <c r="W181" s="153"/>
      <c r="X181" s="153"/>
      <c r="Y181" s="153"/>
      <c r="Z181" s="153"/>
      <c r="AA181" s="153"/>
      <c r="AB181" s="153"/>
      <c r="AC181" s="153"/>
      <c r="AD181" s="153"/>
      <c r="AE181" s="153"/>
      <c r="AF181" s="153"/>
      <c r="AG181" s="153"/>
      <c r="AH181" s="153"/>
      <c r="AI181" s="153"/>
    </row>
    <row r="182" spans="1:35" x14ac:dyDescent="0.25">
      <c r="A182" t="s">
        <v>196</v>
      </c>
      <c r="B182" s="153">
        <v>33364937</v>
      </c>
      <c r="C182" s="153">
        <v>29243205</v>
      </c>
      <c r="D182" s="153">
        <v>535451</v>
      </c>
      <c r="E182" s="153">
        <v>0</v>
      </c>
      <c r="F182" s="153">
        <v>3285649</v>
      </c>
      <c r="G182" s="153">
        <v>300632</v>
      </c>
      <c r="H182" s="153">
        <v>5081923</v>
      </c>
      <c r="I182" s="153">
        <v>8161</v>
      </c>
      <c r="J182" s="153">
        <v>312131.59000000003</v>
      </c>
      <c r="K182" s="153"/>
      <c r="L182" s="153">
        <f t="shared" si="4"/>
        <v>61508</v>
      </c>
      <c r="M182" s="153">
        <v>2457</v>
      </c>
      <c r="N182" s="153">
        <v>63965</v>
      </c>
      <c r="O182" s="153">
        <f t="shared" si="5"/>
        <v>54675</v>
      </c>
      <c r="P182" s="153">
        <v>1222</v>
      </c>
      <c r="Q182" s="153">
        <v>55897</v>
      </c>
      <c r="R182" s="153"/>
      <c r="S182" s="153"/>
      <c r="T182" s="153"/>
      <c r="U182" s="153"/>
      <c r="V182" s="153"/>
      <c r="W182" s="153"/>
      <c r="X182" s="153"/>
      <c r="Y182" s="153"/>
      <c r="Z182" s="153"/>
      <c r="AA182" s="153"/>
      <c r="AB182" s="153"/>
      <c r="AC182" s="153"/>
      <c r="AD182" s="153"/>
      <c r="AE182" s="153"/>
      <c r="AF182" s="153"/>
      <c r="AG182" s="153"/>
      <c r="AH182" s="153"/>
      <c r="AI182" s="153"/>
    </row>
    <row r="183" spans="1:35" x14ac:dyDescent="0.25">
      <c r="A183" t="s">
        <v>235</v>
      </c>
      <c r="B183" s="153">
        <v>29129639.670973033</v>
      </c>
      <c r="C183" s="153">
        <v>26341716.670973033</v>
      </c>
      <c r="D183" s="153">
        <v>490605</v>
      </c>
      <c r="E183" s="153">
        <v>0</v>
      </c>
      <c r="F183" s="153">
        <v>2092201</v>
      </c>
      <c r="G183" s="153">
        <v>205117</v>
      </c>
      <c r="H183" s="153">
        <v>3662054</v>
      </c>
      <c r="I183" s="153">
        <v>3383</v>
      </c>
      <c r="J183" s="153">
        <v>400481</v>
      </c>
      <c r="K183" s="153"/>
      <c r="L183" s="153">
        <f t="shared" si="4"/>
        <v>50715</v>
      </c>
      <c r="M183">
        <v>705</v>
      </c>
      <c r="N183" s="153">
        <v>51420</v>
      </c>
      <c r="O183" s="153">
        <f t="shared" si="5"/>
        <v>49324</v>
      </c>
      <c r="P183">
        <v>611</v>
      </c>
      <c r="Q183" s="153">
        <v>49935</v>
      </c>
      <c r="R183" s="153"/>
      <c r="S183" s="153"/>
      <c r="T183" s="153"/>
      <c r="U183" s="153"/>
      <c r="V183" s="153"/>
      <c r="W183" s="153"/>
      <c r="X183" s="153"/>
      <c r="Y183" s="153"/>
      <c r="Z183" s="153"/>
      <c r="AA183" s="153"/>
      <c r="AB183" s="153"/>
      <c r="AC183" s="153"/>
      <c r="AD183" s="153"/>
      <c r="AE183" s="153"/>
      <c r="AF183" s="153"/>
      <c r="AG183" s="153"/>
      <c r="AH183" s="153"/>
      <c r="AI183" s="153"/>
    </row>
    <row r="184" spans="1:35" x14ac:dyDescent="0.25">
      <c r="A184" t="s">
        <v>474</v>
      </c>
      <c r="B184" s="153">
        <v>32857827.076723829</v>
      </c>
      <c r="C184" s="153">
        <v>29002278.076723829</v>
      </c>
      <c r="D184" s="153">
        <v>849744</v>
      </c>
      <c r="E184" s="153">
        <v>0</v>
      </c>
      <c r="F184" s="153">
        <v>2363951</v>
      </c>
      <c r="G184" s="153">
        <v>173562</v>
      </c>
      <c r="H184" s="153">
        <v>4086490</v>
      </c>
      <c r="I184" s="153">
        <v>2104</v>
      </c>
      <c r="J184" s="153">
        <v>81665.95</v>
      </c>
      <c r="K184" s="153"/>
      <c r="L184" s="153">
        <f t="shared" si="4"/>
        <v>51906</v>
      </c>
      <c r="M184" s="153">
        <v>4877</v>
      </c>
      <c r="N184" s="153">
        <v>56783</v>
      </c>
      <c r="O184" s="153">
        <f t="shared" si="5"/>
        <v>50322</v>
      </c>
      <c r="P184" s="153">
        <v>4583</v>
      </c>
      <c r="Q184" s="153">
        <v>54905</v>
      </c>
      <c r="R184" s="153"/>
      <c r="S184" s="153"/>
      <c r="T184" s="153"/>
      <c r="U184" s="153"/>
      <c r="V184" s="153"/>
      <c r="W184" s="153"/>
      <c r="X184" s="153"/>
      <c r="Y184" s="153"/>
      <c r="Z184" s="153"/>
      <c r="AA184" s="153"/>
      <c r="AB184" s="153"/>
      <c r="AC184" s="153"/>
      <c r="AD184" s="153"/>
      <c r="AE184" s="153"/>
      <c r="AF184" s="153"/>
      <c r="AG184" s="153"/>
      <c r="AH184" s="153"/>
      <c r="AI184" s="153"/>
    </row>
    <row r="185" spans="1:35" x14ac:dyDescent="0.25">
      <c r="A185" t="s">
        <v>361</v>
      </c>
      <c r="B185" s="153">
        <v>51175752.556056671</v>
      </c>
      <c r="C185" s="153">
        <v>45469112.556056671</v>
      </c>
      <c r="D185" s="153">
        <v>1127319</v>
      </c>
      <c r="E185" s="153">
        <v>0</v>
      </c>
      <c r="F185" s="153">
        <v>4193213</v>
      </c>
      <c r="G185" s="153">
        <v>650231</v>
      </c>
      <c r="H185" s="153">
        <v>12163083</v>
      </c>
      <c r="I185" s="153">
        <v>2408</v>
      </c>
      <c r="J185" s="153">
        <v>1538466.62</v>
      </c>
      <c r="K185" s="153"/>
      <c r="L185" s="153">
        <f t="shared" si="4"/>
        <v>88772</v>
      </c>
      <c r="M185">
        <v>33</v>
      </c>
      <c r="N185" s="153">
        <v>88805</v>
      </c>
      <c r="O185" s="153">
        <f t="shared" si="5"/>
        <v>88586</v>
      </c>
      <c r="P185">
        <v>611</v>
      </c>
      <c r="Q185" s="153">
        <v>89197</v>
      </c>
      <c r="R185" s="153"/>
      <c r="S185" s="153"/>
      <c r="T185" s="153"/>
      <c r="U185" s="153"/>
      <c r="V185" s="153"/>
      <c r="W185" s="153"/>
      <c r="X185" s="153"/>
      <c r="Y185" s="153"/>
      <c r="Z185" s="153"/>
      <c r="AA185" s="153"/>
      <c r="AB185" s="153"/>
      <c r="AC185" s="153"/>
      <c r="AD185" s="153"/>
      <c r="AE185" s="153"/>
      <c r="AF185" s="153"/>
      <c r="AG185" s="153"/>
      <c r="AH185" s="153"/>
      <c r="AI185" s="153"/>
    </row>
    <row r="186" spans="1:35" x14ac:dyDescent="0.25">
      <c r="A186" t="s">
        <v>475</v>
      </c>
      <c r="B186" s="153">
        <v>254654024.56826916</v>
      </c>
      <c r="C186" s="153">
        <v>187140250.92878073</v>
      </c>
      <c r="D186" s="153">
        <v>3480201</v>
      </c>
      <c r="E186" s="153">
        <v>29705337</v>
      </c>
      <c r="F186" s="153">
        <v>20930964</v>
      </c>
      <c r="G186" s="153">
        <v>13397271.63948844</v>
      </c>
      <c r="H186" s="153">
        <v>63996046</v>
      </c>
      <c r="I186" s="153">
        <v>21518</v>
      </c>
      <c r="J186" s="153">
        <v>2755791.83</v>
      </c>
      <c r="K186" s="153"/>
      <c r="L186" s="153">
        <f t="shared" si="4"/>
        <v>618421</v>
      </c>
      <c r="M186" s="153">
        <v>27302</v>
      </c>
      <c r="N186" s="153">
        <v>645723</v>
      </c>
      <c r="O186" s="153">
        <f t="shared" si="5"/>
        <v>487284</v>
      </c>
      <c r="P186" s="153">
        <v>25539</v>
      </c>
      <c r="Q186" s="153">
        <v>512823</v>
      </c>
      <c r="R186" s="153"/>
      <c r="S186" s="153"/>
      <c r="T186" s="153"/>
      <c r="U186" s="153"/>
      <c r="V186" s="153"/>
      <c r="W186" s="153"/>
      <c r="X186" s="153"/>
      <c r="Y186" s="153"/>
      <c r="Z186" s="153"/>
      <c r="AA186" s="153"/>
      <c r="AB186" s="153"/>
      <c r="AC186" s="153"/>
      <c r="AD186" s="153"/>
      <c r="AE186" s="153"/>
      <c r="AF186" s="153"/>
      <c r="AG186" s="153"/>
      <c r="AH186" s="153"/>
      <c r="AI186" s="153"/>
    </row>
    <row r="187" spans="1:35" x14ac:dyDescent="0.25">
      <c r="A187" t="s">
        <v>315</v>
      </c>
      <c r="B187" s="153">
        <v>59304003.982874647</v>
      </c>
      <c r="C187" s="153">
        <v>54294238.982874647</v>
      </c>
      <c r="D187" s="153">
        <v>1957576</v>
      </c>
      <c r="E187" s="153">
        <v>0</v>
      </c>
      <c r="F187" s="153">
        <v>2557683</v>
      </c>
      <c r="G187" s="153">
        <v>494506</v>
      </c>
      <c r="H187" s="153">
        <v>8240823</v>
      </c>
      <c r="I187" s="153">
        <v>10093</v>
      </c>
      <c r="J187" s="153">
        <v>609614.56999999995</v>
      </c>
      <c r="K187" s="153"/>
      <c r="L187" s="153">
        <f t="shared" si="4"/>
        <v>97186</v>
      </c>
      <c r="M187">
        <v>0</v>
      </c>
      <c r="N187" s="153">
        <v>97186</v>
      </c>
      <c r="O187" s="153">
        <f t="shared" si="5"/>
        <v>91834</v>
      </c>
      <c r="P187">
        <v>0</v>
      </c>
      <c r="Q187" s="153">
        <v>91834</v>
      </c>
      <c r="R187" s="153"/>
      <c r="S187" s="153"/>
      <c r="T187" s="153"/>
      <c r="U187" s="153"/>
      <c r="V187" s="153"/>
      <c r="W187" s="153"/>
      <c r="X187" s="153"/>
      <c r="Y187" s="153"/>
      <c r="Z187" s="153"/>
      <c r="AA187" s="153"/>
      <c r="AB187" s="153"/>
      <c r="AC187" s="153"/>
      <c r="AD187" s="153"/>
      <c r="AE187" s="153"/>
      <c r="AF187" s="153"/>
      <c r="AG187" s="153"/>
      <c r="AH187" s="153"/>
      <c r="AI187" s="153"/>
    </row>
    <row r="188" spans="1:35" x14ac:dyDescent="0.25">
      <c r="A188" t="s">
        <v>476</v>
      </c>
      <c r="B188" s="153">
        <v>24981404.063330699</v>
      </c>
      <c r="C188" s="153">
        <v>22625506.063330699</v>
      </c>
      <c r="D188" s="153">
        <v>497325</v>
      </c>
      <c r="E188" s="153">
        <v>0</v>
      </c>
      <c r="F188" s="153">
        <v>1690274</v>
      </c>
      <c r="G188" s="153">
        <v>168299</v>
      </c>
      <c r="H188" s="153">
        <v>3246400</v>
      </c>
      <c r="I188" s="153">
        <v>2009</v>
      </c>
      <c r="J188" s="153">
        <v>110030.43</v>
      </c>
      <c r="K188" s="153"/>
      <c r="L188" s="153">
        <f t="shared" si="4"/>
        <v>44512</v>
      </c>
      <c r="M188" s="153">
        <v>1763</v>
      </c>
      <c r="N188" s="153">
        <v>46275</v>
      </c>
      <c r="O188" s="153">
        <f t="shared" si="5"/>
        <v>44314</v>
      </c>
      <c r="P188">
        <v>967</v>
      </c>
      <c r="Q188" s="153">
        <v>45281</v>
      </c>
      <c r="R188" s="153"/>
      <c r="S188" s="153"/>
      <c r="T188" s="153"/>
      <c r="U188" s="153"/>
      <c r="V188" s="153"/>
      <c r="W188" s="153"/>
      <c r="X188" s="153"/>
      <c r="Y188" s="153"/>
      <c r="Z188" s="153"/>
      <c r="AA188" s="153"/>
      <c r="AB188" s="153"/>
      <c r="AC188" s="153"/>
      <c r="AD188" s="153"/>
      <c r="AE188" s="153"/>
      <c r="AF188" s="153"/>
      <c r="AG188" s="153"/>
      <c r="AH188" s="153"/>
      <c r="AI188" s="153"/>
    </row>
    <row r="189" spans="1:35" x14ac:dyDescent="0.25">
      <c r="A189" t="s">
        <v>698</v>
      </c>
      <c r="B189" s="153">
        <v>111725554.80107889</v>
      </c>
      <c r="C189" s="153">
        <v>94098131.801078886</v>
      </c>
      <c r="D189" s="153">
        <v>1914460</v>
      </c>
      <c r="E189" s="153">
        <v>0</v>
      </c>
      <c r="F189" s="153">
        <v>14958885</v>
      </c>
      <c r="G189" s="153">
        <v>754078</v>
      </c>
      <c r="H189" s="153">
        <v>12834047</v>
      </c>
      <c r="I189" s="153">
        <v>8172</v>
      </c>
      <c r="J189" s="153">
        <v>1262681.24</v>
      </c>
      <c r="K189" s="153"/>
      <c r="L189" s="153">
        <f t="shared" si="4"/>
        <v>221603</v>
      </c>
      <c r="M189" s="153">
        <v>9581</v>
      </c>
      <c r="N189" s="153">
        <v>231184</v>
      </c>
      <c r="O189" s="153">
        <f t="shared" si="5"/>
        <v>219936</v>
      </c>
      <c r="P189" s="153">
        <v>8496</v>
      </c>
      <c r="Q189" s="153">
        <v>228432</v>
      </c>
      <c r="R189" s="153"/>
      <c r="S189" s="153"/>
      <c r="T189" s="153"/>
      <c r="U189" s="153"/>
      <c r="V189" s="153"/>
      <c r="W189" s="153"/>
      <c r="X189" s="153"/>
      <c r="Y189" s="153"/>
      <c r="Z189" s="153"/>
      <c r="AA189" s="153"/>
      <c r="AB189" s="153"/>
      <c r="AC189" s="153"/>
      <c r="AD189" s="153"/>
      <c r="AE189" s="153"/>
      <c r="AF189" s="153"/>
      <c r="AG189" s="153"/>
      <c r="AH189" s="153"/>
      <c r="AI189" s="153"/>
    </row>
    <row r="190" spans="1:35" x14ac:dyDescent="0.25">
      <c r="A190" t="s">
        <v>135</v>
      </c>
      <c r="B190" s="153">
        <v>57708566.21424599</v>
      </c>
      <c r="C190" s="153">
        <v>48953374.21424599</v>
      </c>
      <c r="D190" s="153">
        <v>1422303</v>
      </c>
      <c r="E190" s="153">
        <v>0</v>
      </c>
      <c r="F190" s="153">
        <v>6851403</v>
      </c>
      <c r="G190" s="153">
        <v>481486</v>
      </c>
      <c r="H190" s="153">
        <v>11060897</v>
      </c>
      <c r="I190" s="153">
        <v>10990</v>
      </c>
      <c r="J190" s="153">
        <v>505397.67</v>
      </c>
      <c r="K190" s="153"/>
      <c r="L190" s="153">
        <f t="shared" si="4"/>
        <v>107216</v>
      </c>
      <c r="M190" s="153">
        <v>1372</v>
      </c>
      <c r="N190" s="153">
        <v>108588</v>
      </c>
      <c r="O190" s="153">
        <f t="shared" si="5"/>
        <v>105356</v>
      </c>
      <c r="P190">
        <v>230</v>
      </c>
      <c r="Q190" s="153">
        <v>105586</v>
      </c>
      <c r="R190" s="153"/>
      <c r="S190" s="153"/>
      <c r="T190" s="153"/>
      <c r="U190" s="153"/>
      <c r="V190" s="153"/>
      <c r="W190" s="153"/>
      <c r="X190" s="153"/>
      <c r="Y190" s="153"/>
      <c r="Z190" s="153"/>
      <c r="AA190" s="153"/>
      <c r="AB190" s="153"/>
      <c r="AC190" s="153"/>
      <c r="AD190" s="153"/>
      <c r="AE190" s="153"/>
      <c r="AF190" s="153"/>
      <c r="AG190" s="153"/>
      <c r="AH190" s="153"/>
      <c r="AI190" s="153"/>
    </row>
    <row r="191" spans="1:35" x14ac:dyDescent="0.25">
      <c r="A191" t="s">
        <v>393</v>
      </c>
      <c r="B191" s="153">
        <v>82821229.197966814</v>
      </c>
      <c r="C191" s="153">
        <v>73936551.197966814</v>
      </c>
      <c r="D191" s="153">
        <v>2095456</v>
      </c>
      <c r="E191" s="153">
        <v>0</v>
      </c>
      <c r="F191" s="153">
        <v>5860931</v>
      </c>
      <c r="G191" s="153">
        <v>928291</v>
      </c>
      <c r="H191" s="153">
        <v>17731355</v>
      </c>
      <c r="I191" s="153">
        <v>8578</v>
      </c>
      <c r="J191" s="153">
        <v>960127.56</v>
      </c>
      <c r="K191" s="153"/>
      <c r="L191" s="153">
        <f t="shared" si="4"/>
        <v>157063</v>
      </c>
      <c r="M191" s="153">
        <v>1692</v>
      </c>
      <c r="N191" s="153">
        <v>158755</v>
      </c>
      <c r="O191" s="153">
        <f t="shared" si="5"/>
        <v>151504</v>
      </c>
      <c r="P191" s="153">
        <v>7258</v>
      </c>
      <c r="Q191" s="153">
        <v>158762</v>
      </c>
      <c r="R191" s="153"/>
      <c r="S191" s="153"/>
      <c r="T191" s="153"/>
      <c r="U191" s="153"/>
      <c r="V191" s="153"/>
      <c r="W191" s="153"/>
      <c r="X191" s="153"/>
      <c r="Y191" s="153"/>
      <c r="Z191" s="153"/>
      <c r="AA191" s="153"/>
      <c r="AB191" s="153"/>
      <c r="AC191" s="153"/>
      <c r="AD191" s="153"/>
      <c r="AE191" s="153"/>
      <c r="AF191" s="153"/>
      <c r="AG191" s="153"/>
      <c r="AH191" s="153"/>
      <c r="AI191" s="153"/>
    </row>
    <row r="192" spans="1:35" x14ac:dyDescent="0.25">
      <c r="A192" t="s">
        <v>362</v>
      </c>
      <c r="B192" s="153">
        <v>18805890.317418795</v>
      </c>
      <c r="C192" s="153">
        <v>18392932.317418795</v>
      </c>
      <c r="D192" s="153">
        <v>202284</v>
      </c>
      <c r="E192" s="153">
        <v>0</v>
      </c>
      <c r="F192" s="153">
        <v>89896</v>
      </c>
      <c r="G192" s="153">
        <v>120778</v>
      </c>
      <c r="H192" s="153">
        <v>2206186</v>
      </c>
      <c r="I192" s="153">
        <v>0</v>
      </c>
      <c r="J192" s="153">
        <v>62203.14</v>
      </c>
      <c r="K192" s="153"/>
      <c r="L192" s="153">
        <f t="shared" si="4"/>
        <v>43138</v>
      </c>
      <c r="M192" s="153">
        <v>2875</v>
      </c>
      <c r="N192" s="153">
        <v>46013</v>
      </c>
      <c r="O192" s="153">
        <f t="shared" si="5"/>
        <v>40883</v>
      </c>
      <c r="P192" s="153">
        <v>2499</v>
      </c>
      <c r="Q192" s="153">
        <v>43382</v>
      </c>
      <c r="R192" s="153"/>
      <c r="S192" s="153"/>
      <c r="T192" s="153"/>
      <c r="U192" s="153"/>
      <c r="V192" s="153"/>
      <c r="W192" s="153"/>
      <c r="X192" s="153"/>
      <c r="Y192" s="153"/>
      <c r="Z192" s="153"/>
      <c r="AA192" s="153"/>
      <c r="AB192" s="153"/>
      <c r="AC192" s="153"/>
      <c r="AD192" s="153"/>
      <c r="AE192" s="153"/>
      <c r="AF192" s="153"/>
      <c r="AG192" s="153"/>
      <c r="AH192" s="153"/>
      <c r="AI192" s="153"/>
    </row>
    <row r="193" spans="1:35" x14ac:dyDescent="0.25">
      <c r="A193" t="s">
        <v>136</v>
      </c>
      <c r="B193" s="153">
        <v>47068869.275178708</v>
      </c>
      <c r="C193" s="153">
        <v>44261632.275178708</v>
      </c>
      <c r="D193" s="153">
        <v>2236989</v>
      </c>
      <c r="E193" s="153">
        <v>0</v>
      </c>
      <c r="F193" s="153">
        <v>182180</v>
      </c>
      <c r="G193" s="153">
        <v>388068</v>
      </c>
      <c r="H193" s="153">
        <v>7276882</v>
      </c>
      <c r="I193" s="153">
        <v>3474</v>
      </c>
      <c r="J193" s="153">
        <v>133141.53</v>
      </c>
      <c r="K193" s="153"/>
      <c r="L193" s="153">
        <f t="shared" si="4"/>
        <v>77401</v>
      </c>
      <c r="M193" s="153">
        <v>1268</v>
      </c>
      <c r="N193" s="153">
        <v>78669</v>
      </c>
      <c r="O193" s="153">
        <f t="shared" si="5"/>
        <v>73029</v>
      </c>
      <c r="P193" s="153">
        <v>8256</v>
      </c>
      <c r="Q193" s="153">
        <v>81285</v>
      </c>
      <c r="R193" s="153"/>
      <c r="S193" s="153"/>
      <c r="T193" s="153"/>
      <c r="U193" s="153"/>
      <c r="V193" s="153"/>
      <c r="W193" s="153"/>
      <c r="X193" s="153"/>
      <c r="Y193" s="153"/>
      <c r="Z193" s="153"/>
      <c r="AA193" s="153"/>
      <c r="AB193" s="153"/>
      <c r="AC193" s="153"/>
      <c r="AD193" s="153"/>
      <c r="AE193" s="153"/>
      <c r="AF193" s="153"/>
      <c r="AG193" s="153"/>
      <c r="AH193" s="153"/>
      <c r="AI193" s="153"/>
    </row>
    <row r="194" spans="1:35" x14ac:dyDescent="0.25">
      <c r="A194" t="s">
        <v>749</v>
      </c>
      <c r="B194" s="153">
        <v>116806084.31639308</v>
      </c>
      <c r="C194" s="153">
        <v>97510123.316393077</v>
      </c>
      <c r="D194" s="153">
        <v>4747938</v>
      </c>
      <c r="E194" s="153">
        <v>0</v>
      </c>
      <c r="F194" s="153">
        <v>10509245</v>
      </c>
      <c r="G194" s="153">
        <v>4038778</v>
      </c>
      <c r="H194" s="153">
        <v>27699821</v>
      </c>
      <c r="I194" s="153">
        <v>28015</v>
      </c>
      <c r="J194" s="153">
        <v>1703816.28</v>
      </c>
      <c r="K194" s="153"/>
      <c r="L194" s="153">
        <f t="shared" si="4"/>
        <v>201555</v>
      </c>
      <c r="M194" s="153">
        <v>6663</v>
      </c>
      <c r="N194" s="153">
        <v>208218</v>
      </c>
      <c r="O194" s="309">
        <v>201555</v>
      </c>
      <c r="Q194" s="309">
        <v>208218</v>
      </c>
      <c r="R194" s="153"/>
      <c r="S194" s="153"/>
      <c r="T194" s="153"/>
      <c r="U194" s="153"/>
      <c r="V194" s="153"/>
      <c r="W194" s="153"/>
      <c r="X194" s="153"/>
      <c r="Y194" s="153"/>
      <c r="Z194" s="153"/>
      <c r="AA194" s="153"/>
      <c r="AB194" s="153"/>
      <c r="AC194" s="153"/>
      <c r="AD194" s="153"/>
      <c r="AE194" s="153"/>
      <c r="AF194" s="153"/>
      <c r="AG194" s="153"/>
      <c r="AH194" s="153"/>
      <c r="AI194" s="153"/>
    </row>
    <row r="195" spans="1:35" x14ac:dyDescent="0.25">
      <c r="A195" t="s">
        <v>438</v>
      </c>
      <c r="B195" s="153">
        <v>16080901.497560253</v>
      </c>
      <c r="C195" s="153">
        <v>13115805.497560253</v>
      </c>
      <c r="D195" s="153">
        <v>300957</v>
      </c>
      <c r="E195" s="153">
        <v>0</v>
      </c>
      <c r="F195" s="153">
        <v>2509907</v>
      </c>
      <c r="G195" s="153">
        <v>154232</v>
      </c>
      <c r="H195" s="153">
        <v>1415861</v>
      </c>
      <c r="I195" s="153">
        <v>104</v>
      </c>
      <c r="J195" s="153">
        <v>99424.71</v>
      </c>
      <c r="K195" s="153"/>
      <c r="L195" s="153">
        <f t="shared" ref="L195:L258" si="6">SUM(-M195,N195)</f>
        <v>26302</v>
      </c>
      <c r="M195">
        <v>772</v>
      </c>
      <c r="N195" s="153">
        <v>27074</v>
      </c>
      <c r="O195" s="153">
        <f t="shared" ref="O195:O258" si="7">SUM(-P195,Q195)</f>
        <v>26046</v>
      </c>
      <c r="P195">
        <v>589</v>
      </c>
      <c r="Q195" s="153">
        <v>26635</v>
      </c>
      <c r="R195" s="153"/>
      <c r="S195" s="153"/>
      <c r="T195" s="153"/>
      <c r="U195" s="153"/>
      <c r="V195" s="153"/>
      <c r="W195" s="153"/>
      <c r="X195" s="153"/>
      <c r="Y195" s="153"/>
      <c r="Z195" s="153"/>
      <c r="AA195" s="153"/>
      <c r="AB195" s="153"/>
      <c r="AC195" s="153"/>
      <c r="AD195" s="153"/>
      <c r="AE195" s="153"/>
      <c r="AF195" s="153"/>
      <c r="AG195" s="153"/>
      <c r="AH195" s="153"/>
      <c r="AI195" s="153"/>
    </row>
    <row r="196" spans="1:35" x14ac:dyDescent="0.25">
      <c r="A196" t="s">
        <v>439</v>
      </c>
      <c r="B196" s="153">
        <v>49245011.013122097</v>
      </c>
      <c r="C196" s="153">
        <v>43525961.013122097</v>
      </c>
      <c r="D196" s="153">
        <v>1892712</v>
      </c>
      <c r="E196" s="153">
        <v>0</v>
      </c>
      <c r="F196" s="153">
        <v>2876664</v>
      </c>
      <c r="G196" s="153">
        <v>949674</v>
      </c>
      <c r="H196" s="153">
        <v>7185968</v>
      </c>
      <c r="I196" s="153">
        <v>11795</v>
      </c>
      <c r="J196" s="153">
        <v>471922.84</v>
      </c>
      <c r="K196" s="153"/>
      <c r="L196" s="153">
        <f t="shared" si="6"/>
        <v>101945</v>
      </c>
      <c r="M196">
        <v>855</v>
      </c>
      <c r="N196" s="153">
        <v>102800</v>
      </c>
      <c r="O196" s="153">
        <f t="shared" si="7"/>
        <v>96933</v>
      </c>
      <c r="P196" s="153">
        <v>1395</v>
      </c>
      <c r="Q196" s="153">
        <v>98328</v>
      </c>
      <c r="R196" s="153"/>
      <c r="S196" s="153"/>
      <c r="T196" s="153"/>
      <c r="U196" s="153"/>
      <c r="V196" s="153"/>
      <c r="W196" s="153"/>
      <c r="X196" s="153"/>
      <c r="Y196" s="153"/>
      <c r="Z196" s="153"/>
      <c r="AA196" s="153"/>
      <c r="AB196" s="153"/>
      <c r="AC196" s="153"/>
      <c r="AD196" s="153"/>
      <c r="AE196" s="153"/>
      <c r="AF196" s="153"/>
      <c r="AG196" s="153"/>
      <c r="AH196" s="153"/>
      <c r="AI196" s="153"/>
    </row>
    <row r="197" spans="1:35" x14ac:dyDescent="0.25">
      <c r="A197" t="s">
        <v>750</v>
      </c>
      <c r="B197" s="153">
        <v>51500678.082592301</v>
      </c>
      <c r="C197" s="153">
        <v>47826973.082592294</v>
      </c>
      <c r="D197" s="153">
        <v>1924069</v>
      </c>
      <c r="E197" s="153">
        <v>0</v>
      </c>
      <c r="F197" s="153">
        <v>1224803</v>
      </c>
      <c r="G197" s="153">
        <v>597092</v>
      </c>
      <c r="H197" s="153">
        <v>5009867</v>
      </c>
      <c r="I197" s="153">
        <v>5479</v>
      </c>
      <c r="J197" s="153">
        <v>475632.19</v>
      </c>
      <c r="K197" s="153"/>
      <c r="L197" s="153">
        <f t="shared" si="6"/>
        <v>101463</v>
      </c>
      <c r="N197" s="309">
        <v>101463</v>
      </c>
      <c r="O197" s="153">
        <f t="shared" si="7"/>
        <v>101463</v>
      </c>
      <c r="P197" s="153">
        <v>2310</v>
      </c>
      <c r="Q197" s="153">
        <v>103773</v>
      </c>
      <c r="R197" s="153"/>
      <c r="S197" s="153"/>
      <c r="T197" s="153"/>
      <c r="U197" s="153"/>
      <c r="V197" s="153"/>
      <c r="W197" s="153"/>
      <c r="X197" s="153"/>
      <c r="Y197" s="153"/>
      <c r="Z197" s="153"/>
      <c r="AA197" s="153"/>
      <c r="AB197" s="153"/>
      <c r="AC197" s="153"/>
      <c r="AD197" s="153"/>
      <c r="AE197" s="153"/>
      <c r="AF197" s="153"/>
      <c r="AG197" s="153"/>
      <c r="AH197" s="153"/>
      <c r="AI197" s="153"/>
    </row>
    <row r="198" spans="1:35" x14ac:dyDescent="0.25">
      <c r="A198" t="s">
        <v>236</v>
      </c>
      <c r="B198" s="153">
        <v>51022442.730443016</v>
      </c>
      <c r="C198" s="153">
        <v>45190359.730443016</v>
      </c>
      <c r="D198" s="153">
        <v>553229</v>
      </c>
      <c r="E198" s="153">
        <v>0</v>
      </c>
      <c r="F198" s="153">
        <v>4987435</v>
      </c>
      <c r="G198" s="153">
        <v>291419</v>
      </c>
      <c r="H198" s="153">
        <v>7219952</v>
      </c>
      <c r="I198" s="153">
        <v>4555</v>
      </c>
      <c r="J198" s="153">
        <v>577264.31000000006</v>
      </c>
      <c r="K198" s="153"/>
      <c r="L198" s="153">
        <f t="shared" si="6"/>
        <v>83134</v>
      </c>
      <c r="M198" s="153">
        <v>3972</v>
      </c>
      <c r="N198" s="153">
        <v>87106</v>
      </c>
      <c r="O198" s="153">
        <f t="shared" si="7"/>
        <v>79315</v>
      </c>
      <c r="P198" s="153">
        <v>2466</v>
      </c>
      <c r="Q198" s="153">
        <v>81781</v>
      </c>
      <c r="R198" s="153"/>
      <c r="S198" s="153"/>
      <c r="T198" s="153"/>
      <c r="U198" s="153"/>
      <c r="V198" s="153"/>
      <c r="W198" s="153"/>
      <c r="X198" s="153"/>
      <c r="Y198" s="153"/>
      <c r="Z198" s="153"/>
      <c r="AA198" s="153"/>
      <c r="AB198" s="153"/>
      <c r="AC198" s="153"/>
      <c r="AD198" s="153"/>
      <c r="AE198" s="153"/>
      <c r="AF198" s="153"/>
      <c r="AG198" s="153"/>
      <c r="AH198" s="153"/>
      <c r="AI198" s="153"/>
    </row>
    <row r="199" spans="1:35" x14ac:dyDescent="0.25">
      <c r="A199" t="s">
        <v>506</v>
      </c>
      <c r="B199" s="153">
        <v>14975458.932354862</v>
      </c>
      <c r="C199" s="153">
        <v>14081227.932354862</v>
      </c>
      <c r="D199" s="153">
        <v>213183</v>
      </c>
      <c r="E199" s="153">
        <v>0</v>
      </c>
      <c r="F199" s="153">
        <v>493750</v>
      </c>
      <c r="G199" s="153">
        <v>187298</v>
      </c>
      <c r="H199" s="153">
        <v>1474940</v>
      </c>
      <c r="I199" s="153">
        <v>1548</v>
      </c>
      <c r="J199" s="153">
        <v>84488.31</v>
      </c>
      <c r="K199" s="153"/>
      <c r="L199" s="153">
        <f t="shared" si="6"/>
        <v>24913</v>
      </c>
      <c r="M199">
        <v>435</v>
      </c>
      <c r="N199" s="153">
        <v>25348</v>
      </c>
      <c r="O199" s="153">
        <f t="shared" si="7"/>
        <v>25925</v>
      </c>
      <c r="P199">
        <v>128</v>
      </c>
      <c r="Q199" s="153">
        <v>26053</v>
      </c>
      <c r="R199" s="153"/>
      <c r="S199" s="153"/>
      <c r="T199" s="153"/>
      <c r="U199" s="153"/>
      <c r="V199" s="153"/>
      <c r="W199" s="153"/>
      <c r="X199" s="153"/>
      <c r="Y199" s="153"/>
      <c r="Z199" s="153"/>
      <c r="AA199" s="153"/>
      <c r="AB199" s="153"/>
      <c r="AC199" s="153"/>
      <c r="AD199" s="153"/>
      <c r="AE199" s="153"/>
      <c r="AF199" s="153"/>
      <c r="AG199" s="153"/>
      <c r="AH199" s="153"/>
      <c r="AI199" s="153"/>
    </row>
    <row r="200" spans="1:35" x14ac:dyDescent="0.25">
      <c r="A200" t="s">
        <v>477</v>
      </c>
      <c r="B200" s="153">
        <v>9114003.5895685833</v>
      </c>
      <c r="C200" s="153">
        <v>8458353.5895685833</v>
      </c>
      <c r="D200" s="153">
        <v>60499</v>
      </c>
      <c r="E200" s="153">
        <v>0</v>
      </c>
      <c r="F200" s="153">
        <v>518239</v>
      </c>
      <c r="G200" s="153">
        <v>76912</v>
      </c>
      <c r="H200" s="153">
        <v>1432083</v>
      </c>
      <c r="I200" s="153">
        <v>2557</v>
      </c>
      <c r="J200" s="153">
        <v>54060.800000000003</v>
      </c>
      <c r="K200" s="153"/>
      <c r="L200" s="153">
        <f t="shared" si="6"/>
        <v>15522</v>
      </c>
      <c r="M200">
        <v>796</v>
      </c>
      <c r="N200" s="153">
        <v>16318</v>
      </c>
      <c r="O200" s="153">
        <f t="shared" si="7"/>
        <v>15462</v>
      </c>
      <c r="P200">
        <v>223</v>
      </c>
      <c r="Q200" s="153">
        <v>15685</v>
      </c>
      <c r="R200" s="153"/>
      <c r="S200" s="153"/>
      <c r="T200" s="153"/>
      <c r="U200" s="153"/>
      <c r="V200" s="153"/>
      <c r="W200" s="153"/>
      <c r="X200" s="153"/>
      <c r="Y200" s="153"/>
      <c r="Z200" s="153"/>
      <c r="AA200" s="153"/>
      <c r="AB200" s="153"/>
      <c r="AC200" s="153"/>
      <c r="AD200" s="153"/>
      <c r="AE200" s="153"/>
      <c r="AF200" s="153"/>
      <c r="AG200" s="153"/>
      <c r="AH200" s="153"/>
      <c r="AI200" s="153"/>
    </row>
    <row r="201" spans="1:35" x14ac:dyDescent="0.25">
      <c r="A201" t="s">
        <v>237</v>
      </c>
      <c r="B201" s="153">
        <v>30193632.119958289</v>
      </c>
      <c r="C201" s="153">
        <v>27831516.119958289</v>
      </c>
      <c r="D201" s="153">
        <v>755917</v>
      </c>
      <c r="E201" s="153">
        <v>0</v>
      </c>
      <c r="F201" s="153">
        <v>1343227</v>
      </c>
      <c r="G201" s="153">
        <v>262972</v>
      </c>
      <c r="H201" s="153">
        <v>3949839</v>
      </c>
      <c r="I201" s="153">
        <v>10138</v>
      </c>
      <c r="J201" s="153">
        <v>585095.79</v>
      </c>
      <c r="K201" s="153"/>
      <c r="L201" s="153">
        <f t="shared" si="6"/>
        <v>54711</v>
      </c>
      <c r="M201" s="153">
        <v>2794</v>
      </c>
      <c r="N201" s="153">
        <v>57505</v>
      </c>
      <c r="O201" s="153">
        <f t="shared" si="7"/>
        <v>49211</v>
      </c>
      <c r="P201">
        <v>482</v>
      </c>
      <c r="Q201" s="153">
        <v>49693</v>
      </c>
      <c r="R201" s="153"/>
      <c r="S201" s="153"/>
      <c r="T201" s="153"/>
      <c r="U201" s="153"/>
      <c r="V201" s="153"/>
      <c r="W201" s="153"/>
      <c r="X201" s="153"/>
      <c r="Y201" s="153"/>
      <c r="Z201" s="153"/>
      <c r="AA201" s="153"/>
      <c r="AB201" s="153"/>
      <c r="AC201" s="153"/>
      <c r="AD201" s="153"/>
      <c r="AE201" s="153"/>
      <c r="AF201" s="153"/>
      <c r="AG201" s="153"/>
      <c r="AH201" s="153"/>
      <c r="AI201" s="153"/>
    </row>
    <row r="202" spans="1:35" x14ac:dyDescent="0.25">
      <c r="A202" t="s">
        <v>478</v>
      </c>
      <c r="B202" s="153">
        <v>23249670.880737565</v>
      </c>
      <c r="C202" s="153">
        <v>20346888.880737565</v>
      </c>
      <c r="D202" s="153">
        <v>321555</v>
      </c>
      <c r="E202" s="153">
        <v>0</v>
      </c>
      <c r="F202" s="153">
        <v>2393506</v>
      </c>
      <c r="G202" s="153">
        <v>187721</v>
      </c>
      <c r="H202" s="153">
        <v>2059903</v>
      </c>
      <c r="I202" s="153">
        <v>0</v>
      </c>
      <c r="J202" s="153">
        <v>98674.76</v>
      </c>
      <c r="K202" s="153"/>
      <c r="L202" s="153">
        <f t="shared" si="6"/>
        <v>43653</v>
      </c>
      <c r="M202">
        <v>236</v>
      </c>
      <c r="N202" s="153">
        <v>43889</v>
      </c>
      <c r="O202" s="153">
        <f t="shared" si="7"/>
        <v>36356</v>
      </c>
      <c r="P202">
        <v>165</v>
      </c>
      <c r="Q202" s="153">
        <v>36521</v>
      </c>
      <c r="R202" s="153"/>
      <c r="S202" s="153"/>
      <c r="T202" s="153"/>
      <c r="U202" s="153"/>
      <c r="V202" s="153"/>
      <c r="W202" s="153"/>
      <c r="X202" s="153"/>
      <c r="Y202" s="153"/>
      <c r="Z202" s="153"/>
      <c r="AA202" s="153"/>
      <c r="AB202" s="153"/>
      <c r="AC202" s="153"/>
      <c r="AD202" s="153"/>
      <c r="AE202" s="153"/>
      <c r="AF202" s="153"/>
      <c r="AG202" s="153"/>
      <c r="AH202" s="153"/>
      <c r="AI202" s="153"/>
    </row>
    <row r="203" spans="1:35" x14ac:dyDescent="0.25">
      <c r="A203" t="s">
        <v>273</v>
      </c>
      <c r="B203" s="153">
        <v>88061715.329906732</v>
      </c>
      <c r="C203" s="153">
        <v>83081181.329906732</v>
      </c>
      <c r="D203" s="153">
        <v>1258285</v>
      </c>
      <c r="E203" s="153">
        <v>0</v>
      </c>
      <c r="F203" s="153">
        <v>3145859</v>
      </c>
      <c r="G203" s="153">
        <v>576390</v>
      </c>
      <c r="H203" s="153">
        <v>18370864</v>
      </c>
      <c r="I203" s="153">
        <v>12007</v>
      </c>
      <c r="J203" s="153">
        <v>1492523.16</v>
      </c>
      <c r="K203" s="153"/>
      <c r="L203" s="153">
        <f t="shared" si="6"/>
        <v>184098</v>
      </c>
      <c r="M203" s="153">
        <v>10506</v>
      </c>
      <c r="N203" s="153">
        <v>194604</v>
      </c>
      <c r="O203" s="153">
        <f t="shared" si="7"/>
        <v>183444</v>
      </c>
      <c r="P203" s="153">
        <v>8598</v>
      </c>
      <c r="Q203" s="153">
        <v>192042</v>
      </c>
      <c r="R203" s="153"/>
      <c r="S203" s="153"/>
      <c r="T203" s="153"/>
      <c r="U203" s="153"/>
      <c r="V203" s="153"/>
      <c r="W203" s="153"/>
      <c r="X203" s="153"/>
      <c r="Y203" s="153"/>
      <c r="Z203" s="153"/>
      <c r="AA203" s="153"/>
      <c r="AB203" s="153"/>
      <c r="AC203" s="153"/>
      <c r="AD203" s="153"/>
      <c r="AE203" s="153"/>
      <c r="AF203" s="153"/>
      <c r="AG203" s="153"/>
      <c r="AH203" s="153"/>
      <c r="AI203" s="153"/>
    </row>
    <row r="204" spans="1:35" x14ac:dyDescent="0.25">
      <c r="A204" t="s">
        <v>364</v>
      </c>
      <c r="B204" s="153">
        <v>31474650.033972621</v>
      </c>
      <c r="C204" s="153">
        <v>30838263.033972621</v>
      </c>
      <c r="D204" s="153">
        <v>339683</v>
      </c>
      <c r="E204" s="153">
        <v>0</v>
      </c>
      <c r="F204" s="153">
        <v>125633</v>
      </c>
      <c r="G204" s="153">
        <v>171071</v>
      </c>
      <c r="H204" s="153">
        <v>3511890</v>
      </c>
      <c r="I204" s="153">
        <v>945</v>
      </c>
      <c r="J204" s="153">
        <v>197975.07</v>
      </c>
      <c r="K204" s="153"/>
      <c r="L204" s="153">
        <f t="shared" si="6"/>
        <v>97552</v>
      </c>
      <c r="M204" s="153">
        <v>1740</v>
      </c>
      <c r="N204" s="153">
        <v>99292</v>
      </c>
      <c r="O204" s="153">
        <f t="shared" si="7"/>
        <v>72068</v>
      </c>
      <c r="P204" s="153">
        <v>5426</v>
      </c>
      <c r="Q204" s="153">
        <v>77494</v>
      </c>
      <c r="R204" s="153"/>
      <c r="S204" s="153"/>
      <c r="T204" s="153"/>
      <c r="U204" s="153"/>
      <c r="V204" s="153"/>
      <c r="W204" s="153"/>
      <c r="X204" s="153"/>
      <c r="Y204" s="153"/>
      <c r="Z204" s="153"/>
      <c r="AA204" s="153"/>
      <c r="AB204" s="153"/>
      <c r="AC204" s="153"/>
      <c r="AD204" s="153"/>
      <c r="AE204" s="153"/>
      <c r="AF204" s="153"/>
      <c r="AG204" s="153"/>
      <c r="AH204" s="153"/>
      <c r="AI204" s="153"/>
    </row>
    <row r="205" spans="1:35" x14ac:dyDescent="0.25">
      <c r="A205" t="s">
        <v>239</v>
      </c>
      <c r="B205" s="153">
        <v>50410336.979004845</v>
      </c>
      <c r="C205" s="153">
        <v>46848126.979004845</v>
      </c>
      <c r="D205" s="153">
        <v>1277094</v>
      </c>
      <c r="E205" s="153">
        <v>0</v>
      </c>
      <c r="F205" s="153">
        <v>1905687</v>
      </c>
      <c r="G205" s="153">
        <v>379429</v>
      </c>
      <c r="H205" s="153">
        <v>6124869</v>
      </c>
      <c r="I205" s="153">
        <v>9940</v>
      </c>
      <c r="J205" s="153">
        <v>587483.75</v>
      </c>
      <c r="K205" s="153"/>
      <c r="L205" s="153">
        <f t="shared" si="6"/>
        <v>96082</v>
      </c>
      <c r="M205" s="153">
        <v>2451</v>
      </c>
      <c r="N205" s="153">
        <v>98533</v>
      </c>
      <c r="O205" s="153">
        <f t="shared" si="7"/>
        <v>88729</v>
      </c>
      <c r="P205" s="153">
        <v>2235</v>
      </c>
      <c r="Q205" s="153">
        <v>90964</v>
      </c>
      <c r="R205" s="153"/>
      <c r="S205" s="153"/>
      <c r="T205" s="153"/>
      <c r="U205" s="153"/>
      <c r="V205" s="153"/>
      <c r="W205" s="153"/>
      <c r="X205" s="153"/>
      <c r="Y205" s="153"/>
      <c r="Z205" s="153"/>
      <c r="AA205" s="153"/>
      <c r="AB205" s="153"/>
      <c r="AC205" s="153"/>
      <c r="AD205" s="153"/>
      <c r="AE205" s="153"/>
      <c r="AF205" s="153"/>
      <c r="AG205" s="153"/>
      <c r="AH205" s="153"/>
      <c r="AI205" s="153"/>
    </row>
    <row r="206" spans="1:35" x14ac:dyDescent="0.25">
      <c r="A206" t="s">
        <v>240</v>
      </c>
      <c r="B206" s="153">
        <v>387370269.62807012</v>
      </c>
      <c r="C206" s="153">
        <v>278147290.29141402</v>
      </c>
      <c r="D206" s="153">
        <v>6559063</v>
      </c>
      <c r="E206" s="153">
        <v>60271430</v>
      </c>
      <c r="F206" s="153">
        <v>23820168</v>
      </c>
      <c r="G206" s="153">
        <v>18572318.336656101</v>
      </c>
      <c r="H206" s="153">
        <v>103025564</v>
      </c>
      <c r="I206" s="153">
        <v>54805</v>
      </c>
      <c r="J206" s="153">
        <v>4025682.47</v>
      </c>
      <c r="K206" s="153"/>
      <c r="L206" s="153">
        <f t="shared" si="6"/>
        <v>791500</v>
      </c>
      <c r="M206" s="153">
        <v>19671</v>
      </c>
      <c r="N206" s="153">
        <v>811171</v>
      </c>
      <c r="O206" s="153">
        <f t="shared" si="7"/>
        <v>924901</v>
      </c>
      <c r="P206" s="153">
        <v>19428</v>
      </c>
      <c r="Q206" s="153">
        <v>944329</v>
      </c>
      <c r="R206" s="153"/>
      <c r="S206" s="153"/>
      <c r="T206" s="153"/>
      <c r="U206" s="153"/>
      <c r="V206" s="153"/>
      <c r="W206" s="153"/>
      <c r="X206" s="153"/>
      <c r="Y206" s="153"/>
      <c r="Z206" s="153"/>
      <c r="AA206" s="153"/>
      <c r="AB206" s="153"/>
      <c r="AC206" s="153"/>
      <c r="AD206" s="153"/>
      <c r="AE206" s="153"/>
      <c r="AF206" s="153"/>
      <c r="AG206" s="153"/>
      <c r="AH206" s="153"/>
      <c r="AI206" s="153"/>
    </row>
    <row r="207" spans="1:35" x14ac:dyDescent="0.25">
      <c r="A207" t="s">
        <v>550</v>
      </c>
      <c r="B207" s="153">
        <v>155958772.56021428</v>
      </c>
      <c r="C207" s="153">
        <v>121984762.80733773</v>
      </c>
      <c r="D207" s="153">
        <v>3339015</v>
      </c>
      <c r="E207" s="153">
        <v>16158248</v>
      </c>
      <c r="F207" s="153">
        <v>8842258</v>
      </c>
      <c r="G207" s="153">
        <v>5634488.75287655</v>
      </c>
      <c r="H207" s="153">
        <v>33061667</v>
      </c>
      <c r="I207" s="153">
        <v>8777</v>
      </c>
      <c r="J207" s="153">
        <v>2617028.9</v>
      </c>
      <c r="K207" s="153"/>
      <c r="L207" s="153">
        <f t="shared" si="6"/>
        <v>276565</v>
      </c>
      <c r="M207" s="153">
        <v>5577</v>
      </c>
      <c r="N207" s="153">
        <v>282142</v>
      </c>
      <c r="O207" s="153">
        <f t="shared" si="7"/>
        <v>259187</v>
      </c>
      <c r="P207" s="153">
        <v>5710</v>
      </c>
      <c r="Q207" s="153">
        <v>264897</v>
      </c>
      <c r="R207" s="153"/>
      <c r="S207" s="153"/>
      <c r="T207" s="153"/>
      <c r="U207" s="153"/>
      <c r="V207" s="153"/>
      <c r="W207" s="153"/>
      <c r="X207" s="153"/>
      <c r="Y207" s="153"/>
      <c r="Z207" s="153"/>
      <c r="AA207" s="153"/>
      <c r="AB207" s="153"/>
      <c r="AC207" s="153"/>
      <c r="AD207" s="153"/>
      <c r="AE207" s="153"/>
      <c r="AF207" s="153"/>
      <c r="AG207" s="153"/>
      <c r="AH207" s="153"/>
      <c r="AI207" s="153"/>
    </row>
    <row r="208" spans="1:35" x14ac:dyDescent="0.25">
      <c r="A208" t="s">
        <v>751</v>
      </c>
      <c r="B208" s="153">
        <v>83507949.750494078</v>
      </c>
      <c r="C208" s="153">
        <v>71176928.750494078</v>
      </c>
      <c r="D208" s="153">
        <v>1422486</v>
      </c>
      <c r="E208" s="153">
        <v>0</v>
      </c>
      <c r="F208" s="153">
        <v>10093335</v>
      </c>
      <c r="G208" s="153">
        <v>576952</v>
      </c>
      <c r="H208" s="153">
        <v>16000833</v>
      </c>
      <c r="I208" s="153">
        <v>10889</v>
      </c>
      <c r="J208" s="153">
        <v>764914.25</v>
      </c>
      <c r="K208" s="153"/>
      <c r="L208" s="153">
        <f t="shared" si="6"/>
        <v>130696</v>
      </c>
      <c r="M208" s="153"/>
      <c r="N208" s="309">
        <v>130696</v>
      </c>
      <c r="O208" s="153">
        <f t="shared" si="7"/>
        <v>130696</v>
      </c>
      <c r="P208" s="153">
        <v>7028</v>
      </c>
      <c r="Q208" s="153">
        <v>137724</v>
      </c>
      <c r="R208" s="153"/>
      <c r="S208" s="153"/>
      <c r="T208" s="153"/>
      <c r="U208" s="153"/>
      <c r="V208" s="153"/>
      <c r="W208" s="153"/>
      <c r="X208" s="153"/>
      <c r="Y208" s="153"/>
      <c r="Z208" s="153"/>
      <c r="AA208" s="153"/>
      <c r="AB208" s="153"/>
      <c r="AC208" s="153"/>
      <c r="AD208" s="153"/>
      <c r="AE208" s="153"/>
      <c r="AF208" s="153"/>
      <c r="AG208" s="153"/>
      <c r="AH208" s="153"/>
      <c r="AI208" s="153"/>
    </row>
    <row r="209" spans="1:35" x14ac:dyDescent="0.25">
      <c r="A209" t="s">
        <v>394</v>
      </c>
      <c r="B209" s="153">
        <v>11517921.300957955</v>
      </c>
      <c r="C209" s="153">
        <v>10529424.300957955</v>
      </c>
      <c r="D209" s="153">
        <v>218159</v>
      </c>
      <c r="E209" s="153">
        <v>0</v>
      </c>
      <c r="F209" s="153">
        <v>580812</v>
      </c>
      <c r="G209" s="153">
        <v>189526</v>
      </c>
      <c r="H209" s="153">
        <v>1324974</v>
      </c>
      <c r="I209" s="153">
        <v>4524</v>
      </c>
      <c r="J209" s="153">
        <v>64791.92</v>
      </c>
      <c r="K209" s="153"/>
      <c r="L209" s="153">
        <f t="shared" si="6"/>
        <v>26109</v>
      </c>
      <c r="M209" s="153">
        <v>1570</v>
      </c>
      <c r="N209" s="153">
        <v>27679</v>
      </c>
      <c r="O209" s="153">
        <f t="shared" si="7"/>
        <v>24486</v>
      </c>
      <c r="P209" s="153">
        <v>1896</v>
      </c>
      <c r="Q209" s="153">
        <v>26382</v>
      </c>
      <c r="R209" s="153"/>
      <c r="S209" s="153"/>
      <c r="T209" s="153"/>
      <c r="U209" s="153"/>
      <c r="V209" s="153"/>
      <c r="W209" s="153"/>
      <c r="X209" s="153"/>
      <c r="Y209" s="153"/>
      <c r="Z209" s="153"/>
      <c r="AA209" s="153"/>
      <c r="AB209" s="153"/>
      <c r="AC209" s="153"/>
      <c r="AD209" s="153"/>
      <c r="AE209" s="153"/>
      <c r="AF209" s="153"/>
      <c r="AG209" s="153"/>
      <c r="AH209" s="153"/>
      <c r="AI209" s="153"/>
    </row>
    <row r="210" spans="1:35" x14ac:dyDescent="0.25">
      <c r="A210" t="s">
        <v>137</v>
      </c>
      <c r="B210" s="153">
        <v>47616285.966707796</v>
      </c>
      <c r="C210" s="153">
        <v>42671760.966707796</v>
      </c>
      <c r="D210" s="153">
        <v>1142153</v>
      </c>
      <c r="E210" s="153">
        <v>0</v>
      </c>
      <c r="F210" s="153">
        <v>3113096</v>
      </c>
      <c r="G210" s="153">
        <v>689276</v>
      </c>
      <c r="H210" s="153">
        <v>7614148</v>
      </c>
      <c r="I210" s="153">
        <v>11019</v>
      </c>
      <c r="J210" s="153">
        <v>235438.07</v>
      </c>
      <c r="K210" s="153"/>
      <c r="L210" s="153">
        <f t="shared" si="6"/>
        <v>92526</v>
      </c>
      <c r="M210" s="153">
        <v>3564</v>
      </c>
      <c r="N210" s="153">
        <v>96090</v>
      </c>
      <c r="O210" s="153">
        <f t="shared" si="7"/>
        <v>89048</v>
      </c>
      <c r="P210" s="153">
        <v>1600</v>
      </c>
      <c r="Q210" s="153">
        <v>90648</v>
      </c>
      <c r="R210" s="153"/>
      <c r="S210" s="153"/>
      <c r="T210" s="153"/>
      <c r="U210" s="153"/>
      <c r="V210" s="153"/>
      <c r="W210" s="153"/>
      <c r="X210" s="153"/>
      <c r="Y210" s="153"/>
      <c r="Z210" s="153"/>
      <c r="AA210" s="153"/>
      <c r="AB210" s="153"/>
      <c r="AC210" s="153"/>
      <c r="AD210" s="153"/>
      <c r="AE210" s="153"/>
      <c r="AF210" s="153"/>
      <c r="AG210" s="153"/>
      <c r="AH210" s="153"/>
      <c r="AI210" s="153"/>
    </row>
    <row r="211" spans="1:35" x14ac:dyDescent="0.25">
      <c r="A211" t="s">
        <v>497</v>
      </c>
      <c r="B211" s="153">
        <v>73573590.487007111</v>
      </c>
      <c r="C211" s="153">
        <v>65104751.487007111</v>
      </c>
      <c r="D211" s="153">
        <v>2267129</v>
      </c>
      <c r="E211" s="153">
        <v>0</v>
      </c>
      <c r="F211" s="153">
        <v>5337053</v>
      </c>
      <c r="G211" s="153">
        <v>864657</v>
      </c>
      <c r="H211" s="153">
        <v>12883929</v>
      </c>
      <c r="I211" s="153">
        <v>17368</v>
      </c>
      <c r="J211" s="153">
        <v>1188536.06</v>
      </c>
      <c r="K211" s="153"/>
      <c r="L211" s="153">
        <f t="shared" si="6"/>
        <v>125440</v>
      </c>
      <c r="M211" s="153">
        <v>12628</v>
      </c>
      <c r="N211" s="153">
        <v>138068</v>
      </c>
      <c r="O211" s="153">
        <f t="shared" si="7"/>
        <v>120102</v>
      </c>
      <c r="P211" s="153">
        <v>6284</v>
      </c>
      <c r="Q211" s="153">
        <v>126386</v>
      </c>
      <c r="R211" s="153"/>
      <c r="S211" s="153"/>
      <c r="T211" s="153"/>
      <c r="U211" s="153"/>
      <c r="V211" s="153"/>
      <c r="W211" s="153"/>
      <c r="X211" s="153"/>
      <c r="Y211" s="153"/>
      <c r="Z211" s="153"/>
      <c r="AA211" s="153"/>
      <c r="AB211" s="153"/>
      <c r="AC211" s="153"/>
      <c r="AD211" s="153"/>
      <c r="AE211" s="153"/>
      <c r="AF211" s="153"/>
      <c r="AG211" s="153"/>
      <c r="AH211" s="153"/>
      <c r="AI211" s="153"/>
    </row>
    <row r="212" spans="1:35" x14ac:dyDescent="0.25">
      <c r="A212" t="s">
        <v>365</v>
      </c>
      <c r="B212" s="153">
        <v>52116343.254637472</v>
      </c>
      <c r="C212" s="153">
        <v>47633187.254637472</v>
      </c>
      <c r="D212" s="153">
        <v>1512989</v>
      </c>
      <c r="E212" s="153">
        <v>0</v>
      </c>
      <c r="F212" s="153">
        <v>2643541</v>
      </c>
      <c r="G212" s="153">
        <v>274240</v>
      </c>
      <c r="H212" s="153">
        <v>8120668</v>
      </c>
      <c r="I212" s="153">
        <v>1696</v>
      </c>
      <c r="J212" s="153">
        <v>230150.01</v>
      </c>
      <c r="K212" s="153"/>
      <c r="L212" s="153">
        <f t="shared" si="6"/>
        <v>111445</v>
      </c>
      <c r="N212" s="309">
        <v>111445</v>
      </c>
      <c r="O212" s="153">
        <f t="shared" si="7"/>
        <v>111445</v>
      </c>
      <c r="P212" s="153">
        <v>6141</v>
      </c>
      <c r="Q212" s="153">
        <v>117586</v>
      </c>
      <c r="R212" s="153"/>
      <c r="S212" s="153"/>
      <c r="T212" s="153"/>
      <c r="U212" s="153"/>
      <c r="V212" s="153"/>
      <c r="W212" s="153"/>
      <c r="X212" s="153"/>
      <c r="Y212" s="153"/>
      <c r="Z212" s="153"/>
      <c r="AA212" s="153"/>
      <c r="AB212" s="153"/>
      <c r="AC212" s="153"/>
      <c r="AD212" s="153"/>
      <c r="AE212" s="153"/>
      <c r="AF212" s="153"/>
      <c r="AG212" s="153"/>
      <c r="AH212" s="153"/>
      <c r="AI212" s="153"/>
    </row>
    <row r="213" spans="1:35" x14ac:dyDescent="0.25">
      <c r="A213" t="s">
        <v>501</v>
      </c>
      <c r="B213" s="153">
        <v>26382315.897931602</v>
      </c>
      <c r="C213" s="153">
        <v>24260440.897931602</v>
      </c>
      <c r="D213" s="153">
        <v>541374</v>
      </c>
      <c r="E213" s="153">
        <v>0</v>
      </c>
      <c r="F213" s="153">
        <v>1479340</v>
      </c>
      <c r="G213" s="153">
        <v>101161</v>
      </c>
      <c r="H213" s="153">
        <v>4593278</v>
      </c>
      <c r="I213" s="153">
        <v>427</v>
      </c>
      <c r="J213" s="153">
        <v>62478.32</v>
      </c>
      <c r="K213" s="153"/>
      <c r="L213" s="153">
        <f t="shared" si="6"/>
        <v>58991</v>
      </c>
      <c r="M213" s="153">
        <v>11161</v>
      </c>
      <c r="N213" s="153">
        <v>70152</v>
      </c>
      <c r="O213" s="153">
        <f t="shared" si="7"/>
        <v>67347</v>
      </c>
      <c r="P213" s="153">
        <v>2749</v>
      </c>
      <c r="Q213" s="153">
        <v>70096</v>
      </c>
      <c r="R213" s="153"/>
      <c r="S213" s="153"/>
      <c r="T213" s="153"/>
      <c r="U213" s="153"/>
      <c r="V213" s="153"/>
      <c r="W213" s="153"/>
      <c r="X213" s="153"/>
      <c r="Y213" s="153"/>
      <c r="Z213" s="153"/>
      <c r="AA213" s="153"/>
      <c r="AB213" s="153"/>
      <c r="AC213" s="153"/>
      <c r="AD213" s="153"/>
      <c r="AE213" s="153"/>
      <c r="AF213" s="153"/>
      <c r="AG213" s="153"/>
      <c r="AH213" s="153"/>
      <c r="AI213" s="153"/>
    </row>
    <row r="214" spans="1:35" x14ac:dyDescent="0.25">
      <c r="A214" t="s">
        <v>241</v>
      </c>
      <c r="B214" s="153">
        <v>37503507.074559987</v>
      </c>
      <c r="C214" s="153">
        <v>32798976.07455999</v>
      </c>
      <c r="D214" s="153">
        <v>806509</v>
      </c>
      <c r="E214" s="153">
        <v>0</v>
      </c>
      <c r="F214" s="153">
        <v>3677728</v>
      </c>
      <c r="G214" s="153">
        <v>220294</v>
      </c>
      <c r="H214" s="153">
        <v>4001903</v>
      </c>
      <c r="I214" s="153">
        <v>1831</v>
      </c>
      <c r="J214" s="153">
        <v>308383.74</v>
      </c>
      <c r="K214" s="153"/>
      <c r="L214" s="153">
        <f t="shared" si="6"/>
        <v>59048</v>
      </c>
      <c r="M214" s="153">
        <v>3217</v>
      </c>
      <c r="N214" s="153">
        <v>62265</v>
      </c>
      <c r="O214" s="153">
        <f t="shared" si="7"/>
        <v>56633</v>
      </c>
      <c r="P214" s="153">
        <v>2655</v>
      </c>
      <c r="Q214" s="153">
        <v>59288</v>
      </c>
      <c r="R214" s="153"/>
      <c r="S214" s="153"/>
      <c r="T214" s="153"/>
      <c r="U214" s="153"/>
      <c r="V214" s="153"/>
      <c r="W214" s="153"/>
      <c r="X214" s="153"/>
      <c r="Y214" s="153"/>
      <c r="Z214" s="153"/>
      <c r="AA214" s="153"/>
      <c r="AB214" s="153"/>
      <c r="AC214" s="153"/>
      <c r="AD214" s="153"/>
      <c r="AE214" s="153"/>
      <c r="AF214" s="153"/>
      <c r="AG214" s="153"/>
      <c r="AH214" s="153"/>
      <c r="AI214" s="153"/>
    </row>
    <row r="215" spans="1:35" x14ac:dyDescent="0.25">
      <c r="A215" t="s">
        <v>367</v>
      </c>
      <c r="B215" s="153">
        <v>25626523.717268936</v>
      </c>
      <c r="C215" s="153">
        <v>24525633.717268936</v>
      </c>
      <c r="D215" s="153">
        <v>306101</v>
      </c>
      <c r="E215" s="153">
        <v>0</v>
      </c>
      <c r="F215" s="153">
        <v>686564</v>
      </c>
      <c r="G215" s="153">
        <v>108225</v>
      </c>
      <c r="H215" s="153">
        <v>4308537</v>
      </c>
      <c r="I215" s="153">
        <v>747</v>
      </c>
      <c r="J215" s="153">
        <v>61927.97</v>
      </c>
      <c r="K215" s="153"/>
      <c r="L215" s="153">
        <f t="shared" si="6"/>
        <v>53103</v>
      </c>
      <c r="M215" s="153">
        <v>3598</v>
      </c>
      <c r="N215" s="153">
        <v>56701</v>
      </c>
      <c r="O215" s="153">
        <f t="shared" si="7"/>
        <v>58562</v>
      </c>
      <c r="P215" s="153">
        <v>1508</v>
      </c>
      <c r="Q215" s="153">
        <v>60070</v>
      </c>
      <c r="R215" s="153"/>
      <c r="S215" s="153"/>
      <c r="T215" s="153"/>
      <c r="U215" s="153"/>
      <c r="V215" s="153"/>
      <c r="W215" s="153"/>
      <c r="X215" s="153"/>
      <c r="Y215" s="153"/>
      <c r="Z215" s="153"/>
      <c r="AA215" s="153"/>
      <c r="AB215" s="153"/>
      <c r="AC215" s="153"/>
      <c r="AD215" s="153"/>
      <c r="AE215" s="153"/>
      <c r="AF215" s="153"/>
      <c r="AG215" s="153"/>
      <c r="AH215" s="153"/>
      <c r="AI215" s="153"/>
    </row>
    <row r="216" spans="1:35" x14ac:dyDescent="0.25">
      <c r="A216" t="s">
        <v>440</v>
      </c>
      <c r="B216" s="153">
        <v>22597732.46469374</v>
      </c>
      <c r="C216" s="153">
        <v>19680062.46469374</v>
      </c>
      <c r="D216" s="153">
        <v>175576</v>
      </c>
      <c r="E216" s="153">
        <v>0</v>
      </c>
      <c r="F216" s="153">
        <v>2598395</v>
      </c>
      <c r="G216" s="153">
        <v>143699</v>
      </c>
      <c r="H216" s="153">
        <v>2074168</v>
      </c>
      <c r="I216" s="153">
        <v>1133</v>
      </c>
      <c r="J216" s="153">
        <v>61652.79</v>
      </c>
      <c r="K216" s="153"/>
      <c r="L216" s="153">
        <f t="shared" si="6"/>
        <v>48225</v>
      </c>
      <c r="M216" s="153">
        <v>2879</v>
      </c>
      <c r="N216" s="153">
        <v>51104</v>
      </c>
      <c r="O216" s="153">
        <f t="shared" si="7"/>
        <v>45705</v>
      </c>
      <c r="P216" s="153">
        <v>2039</v>
      </c>
      <c r="Q216" s="153">
        <v>47744</v>
      </c>
      <c r="R216" s="153"/>
      <c r="S216" s="153"/>
      <c r="T216" s="153"/>
      <c r="U216" s="153"/>
      <c r="V216" s="153"/>
      <c r="W216" s="153"/>
      <c r="X216" s="153"/>
      <c r="Y216" s="153"/>
      <c r="Z216" s="153"/>
      <c r="AA216" s="153"/>
      <c r="AB216" s="153"/>
      <c r="AC216" s="153"/>
      <c r="AD216" s="153"/>
      <c r="AE216" s="153"/>
      <c r="AF216" s="153"/>
      <c r="AG216" s="153"/>
      <c r="AH216" s="153"/>
      <c r="AI216" s="153"/>
    </row>
    <row r="217" spans="1:35" x14ac:dyDescent="0.25">
      <c r="A217" t="s">
        <v>441</v>
      </c>
      <c r="B217" s="153">
        <v>35437471.813417435</v>
      </c>
      <c r="C217" s="153">
        <v>30089759.813417438</v>
      </c>
      <c r="D217" s="153">
        <v>1756250</v>
      </c>
      <c r="E217" s="153">
        <v>0</v>
      </c>
      <c r="F217" s="153">
        <v>3448088</v>
      </c>
      <c r="G217" s="153">
        <v>143374</v>
      </c>
      <c r="H217" s="153">
        <v>4217595</v>
      </c>
      <c r="I217" s="153">
        <v>4006</v>
      </c>
      <c r="J217" s="153">
        <v>188483.49</v>
      </c>
      <c r="K217" s="153"/>
      <c r="L217" s="153">
        <f t="shared" si="6"/>
        <v>63452</v>
      </c>
      <c r="M217" s="153">
        <v>7841</v>
      </c>
      <c r="N217" s="153">
        <v>71293</v>
      </c>
      <c r="O217" s="153">
        <f t="shared" si="7"/>
        <v>66073</v>
      </c>
      <c r="P217" s="153">
        <v>4750</v>
      </c>
      <c r="Q217" s="153">
        <v>70823</v>
      </c>
      <c r="R217" s="153"/>
      <c r="S217" s="153"/>
      <c r="T217" s="153"/>
      <c r="U217" s="153"/>
      <c r="V217" s="153"/>
      <c r="W217" s="153"/>
      <c r="X217" s="153"/>
      <c r="Y217" s="153"/>
      <c r="Z217" s="153"/>
      <c r="AA217" s="153"/>
      <c r="AB217" s="153"/>
      <c r="AC217" s="153"/>
      <c r="AD217" s="153"/>
      <c r="AE217" s="153"/>
      <c r="AF217" s="153"/>
      <c r="AG217" s="153"/>
      <c r="AH217" s="153"/>
      <c r="AI217" s="153"/>
    </row>
    <row r="218" spans="1:35" x14ac:dyDescent="0.25">
      <c r="A218" t="s">
        <v>156</v>
      </c>
      <c r="B218" s="153">
        <v>88517097.927980587</v>
      </c>
      <c r="C218" s="153">
        <v>67373072.927980587</v>
      </c>
      <c r="D218" s="153">
        <v>4012990</v>
      </c>
      <c r="E218" s="153">
        <v>0</v>
      </c>
      <c r="F218" s="153">
        <v>14179484</v>
      </c>
      <c r="G218" s="153">
        <v>2951551</v>
      </c>
      <c r="H218" s="153">
        <v>17005178</v>
      </c>
      <c r="I218" s="153">
        <v>6812</v>
      </c>
      <c r="J218" s="153">
        <v>924247.7</v>
      </c>
      <c r="K218" s="153"/>
      <c r="L218" s="153">
        <f t="shared" si="6"/>
        <v>140605</v>
      </c>
      <c r="M218" s="153">
        <v>2277</v>
      </c>
      <c r="N218" s="153">
        <v>142882</v>
      </c>
      <c r="O218" s="153">
        <f t="shared" si="7"/>
        <v>137296</v>
      </c>
      <c r="P218" s="153">
        <v>3148</v>
      </c>
      <c r="Q218" s="153">
        <v>140444</v>
      </c>
      <c r="R218" s="153"/>
      <c r="S218" s="153"/>
      <c r="T218" s="153"/>
      <c r="U218" s="153"/>
      <c r="V218" s="153"/>
      <c r="W218" s="153"/>
      <c r="X218" s="153"/>
      <c r="Y218" s="153"/>
      <c r="Z218" s="153"/>
      <c r="AA218" s="153"/>
      <c r="AB218" s="153"/>
      <c r="AC218" s="153"/>
      <c r="AD218" s="153"/>
      <c r="AE218" s="153"/>
      <c r="AF218" s="153"/>
      <c r="AG218" s="153"/>
      <c r="AH218" s="153"/>
      <c r="AI218" s="153"/>
    </row>
    <row r="219" spans="1:35" x14ac:dyDescent="0.25">
      <c r="A219" t="s">
        <v>242</v>
      </c>
      <c r="B219" s="153">
        <v>29827300.072023876</v>
      </c>
      <c r="C219" s="153">
        <v>26691405.072023876</v>
      </c>
      <c r="D219" s="153">
        <v>803364</v>
      </c>
      <c r="E219" s="153">
        <v>0</v>
      </c>
      <c r="F219" s="153">
        <v>2175220</v>
      </c>
      <c r="G219" s="153">
        <v>157311</v>
      </c>
      <c r="H219" s="153">
        <v>3991244</v>
      </c>
      <c r="I219" s="153">
        <v>1778</v>
      </c>
      <c r="J219" s="153">
        <v>379901.84</v>
      </c>
      <c r="K219" s="153"/>
      <c r="L219" s="153">
        <f t="shared" si="6"/>
        <v>67041</v>
      </c>
      <c r="M219" s="153">
        <v>4393</v>
      </c>
      <c r="N219" s="153">
        <v>71434</v>
      </c>
      <c r="O219" s="153">
        <f t="shared" si="7"/>
        <v>56236</v>
      </c>
      <c r="P219" s="153">
        <v>6501</v>
      </c>
      <c r="Q219" s="153">
        <v>62737</v>
      </c>
      <c r="R219" s="153"/>
      <c r="S219" s="153"/>
      <c r="T219" s="153"/>
      <c r="U219" s="153"/>
      <c r="V219" s="153"/>
      <c r="W219" s="153"/>
      <c r="X219" s="153"/>
      <c r="Y219" s="153"/>
      <c r="Z219" s="153"/>
      <c r="AA219" s="153"/>
      <c r="AB219" s="153"/>
      <c r="AC219" s="153"/>
      <c r="AD219" s="153"/>
      <c r="AE219" s="153"/>
      <c r="AF219" s="153"/>
      <c r="AG219" s="153"/>
      <c r="AH219" s="153"/>
      <c r="AI219" s="153"/>
    </row>
    <row r="220" spans="1:35" x14ac:dyDescent="0.25">
      <c r="A220" t="s">
        <v>197</v>
      </c>
      <c r="B220" s="153">
        <v>51428654.2987464</v>
      </c>
      <c r="C220" s="153">
        <v>43508087.2987464</v>
      </c>
      <c r="D220" s="153">
        <v>936831</v>
      </c>
      <c r="E220" s="153">
        <v>0</v>
      </c>
      <c r="F220" s="153">
        <v>6623722</v>
      </c>
      <c r="G220" s="153">
        <v>360014</v>
      </c>
      <c r="H220" s="153">
        <v>8454094</v>
      </c>
      <c r="I220" s="153">
        <v>22271</v>
      </c>
      <c r="J220" s="153">
        <v>358716.36</v>
      </c>
      <c r="K220" s="153"/>
      <c r="L220" s="153">
        <f t="shared" si="6"/>
        <v>90781</v>
      </c>
      <c r="M220" s="153">
        <v>3797</v>
      </c>
      <c r="N220" s="153">
        <v>94578</v>
      </c>
      <c r="O220" s="153">
        <f t="shared" si="7"/>
        <v>83340</v>
      </c>
      <c r="P220" s="153">
        <v>3072</v>
      </c>
      <c r="Q220" s="153">
        <v>86412</v>
      </c>
      <c r="R220" s="153"/>
      <c r="S220" s="153"/>
      <c r="T220" s="153"/>
      <c r="U220" s="153"/>
      <c r="V220" s="153"/>
      <c r="W220" s="153"/>
      <c r="X220" s="153"/>
      <c r="Y220" s="153"/>
      <c r="Z220" s="153"/>
      <c r="AA220" s="153"/>
      <c r="AB220" s="153"/>
      <c r="AC220" s="153"/>
      <c r="AD220" s="153"/>
      <c r="AE220" s="153"/>
      <c r="AF220" s="153"/>
      <c r="AG220" s="153"/>
      <c r="AH220" s="153"/>
      <c r="AI220" s="153"/>
    </row>
    <row r="221" spans="1:35" x14ac:dyDescent="0.25">
      <c r="A221" t="s">
        <v>198</v>
      </c>
      <c r="B221" s="153">
        <v>24711431.291089039</v>
      </c>
      <c r="C221" s="153">
        <v>22019110.291089039</v>
      </c>
      <c r="D221" s="153">
        <v>632587</v>
      </c>
      <c r="E221" s="153">
        <v>0</v>
      </c>
      <c r="F221" s="153">
        <v>1925449</v>
      </c>
      <c r="G221" s="153">
        <v>134285</v>
      </c>
      <c r="H221" s="153">
        <v>2717056</v>
      </c>
      <c r="I221" s="153">
        <v>2549</v>
      </c>
      <c r="J221" s="153">
        <v>108766.86</v>
      </c>
      <c r="K221" s="153"/>
      <c r="L221" s="153">
        <f t="shared" si="6"/>
        <v>43465</v>
      </c>
      <c r="M221" s="153">
        <v>1214</v>
      </c>
      <c r="N221" s="153">
        <v>44679</v>
      </c>
      <c r="O221" s="153">
        <f t="shared" si="7"/>
        <v>41019</v>
      </c>
      <c r="P221" s="153">
        <v>1152</v>
      </c>
      <c r="Q221" s="153">
        <v>42171</v>
      </c>
      <c r="R221" s="153"/>
      <c r="S221" s="153"/>
      <c r="T221" s="153"/>
      <c r="U221" s="153"/>
      <c r="V221" s="153"/>
      <c r="W221" s="153"/>
      <c r="X221" s="153"/>
      <c r="Y221" s="153"/>
      <c r="Z221" s="153"/>
      <c r="AA221" s="153"/>
      <c r="AB221" s="153"/>
      <c r="AC221" s="153"/>
      <c r="AD221" s="153"/>
      <c r="AE221" s="153"/>
      <c r="AF221" s="153"/>
      <c r="AG221" s="153"/>
      <c r="AH221" s="153"/>
      <c r="AI221" s="153"/>
    </row>
    <row r="222" spans="1:35" x14ac:dyDescent="0.25">
      <c r="A222" t="s">
        <v>199</v>
      </c>
      <c r="B222" s="153">
        <v>27450169.60380885</v>
      </c>
      <c r="C222" s="153">
        <v>23722042.60380885</v>
      </c>
      <c r="D222" s="153">
        <v>671262</v>
      </c>
      <c r="E222" s="153">
        <v>0</v>
      </c>
      <c r="F222" s="153">
        <v>2925830</v>
      </c>
      <c r="G222" s="153">
        <v>131035</v>
      </c>
      <c r="H222" s="153">
        <v>3328256</v>
      </c>
      <c r="I222" s="153">
        <v>1009</v>
      </c>
      <c r="J222" s="153">
        <v>81218.91</v>
      </c>
      <c r="K222" s="153"/>
      <c r="L222" s="153">
        <f t="shared" si="6"/>
        <v>47628</v>
      </c>
      <c r="M222">
        <v>122</v>
      </c>
      <c r="N222" s="153">
        <v>47750</v>
      </c>
      <c r="O222" s="153">
        <f t="shared" si="7"/>
        <v>48448</v>
      </c>
      <c r="P222">
        <v>58</v>
      </c>
      <c r="Q222" s="153">
        <v>48506</v>
      </c>
      <c r="R222" s="153"/>
      <c r="S222" s="153"/>
      <c r="T222" s="153"/>
      <c r="U222" s="153"/>
      <c r="V222" s="153"/>
      <c r="W222" s="153"/>
      <c r="X222" s="153"/>
      <c r="Y222" s="153"/>
      <c r="Z222" s="153"/>
      <c r="AA222" s="153"/>
      <c r="AB222" s="153"/>
      <c r="AC222" s="153"/>
      <c r="AD222" s="153"/>
      <c r="AE222" s="153"/>
      <c r="AF222" s="153"/>
      <c r="AG222" s="153"/>
      <c r="AH222" s="153"/>
      <c r="AI222" s="153"/>
    </row>
    <row r="223" spans="1:35" x14ac:dyDescent="0.25">
      <c r="A223" t="s">
        <v>243</v>
      </c>
      <c r="B223" s="153">
        <v>48451290.559271231</v>
      </c>
      <c r="C223" s="153">
        <v>36787842.559271231</v>
      </c>
      <c r="D223" s="153">
        <v>5127286</v>
      </c>
      <c r="E223" s="153">
        <v>0</v>
      </c>
      <c r="F223" s="153">
        <v>6253956</v>
      </c>
      <c r="G223" s="153">
        <v>282206</v>
      </c>
      <c r="H223" s="153">
        <v>4279138</v>
      </c>
      <c r="I223" s="153">
        <v>2533</v>
      </c>
      <c r="J223" s="153">
        <v>197856</v>
      </c>
      <c r="K223" s="153"/>
      <c r="L223" s="153">
        <f t="shared" si="6"/>
        <v>70036</v>
      </c>
      <c r="M223" s="153">
        <v>6564</v>
      </c>
      <c r="N223" s="153">
        <v>76600</v>
      </c>
      <c r="O223" s="153">
        <f t="shared" si="7"/>
        <v>68869</v>
      </c>
      <c r="P223" s="153">
        <v>2233</v>
      </c>
      <c r="Q223" s="153">
        <v>71102</v>
      </c>
      <c r="R223" s="153"/>
      <c r="S223" s="153"/>
      <c r="T223" s="153"/>
      <c r="U223" s="153"/>
      <c r="V223" s="153"/>
      <c r="W223" s="153"/>
      <c r="X223" s="153"/>
      <c r="Y223" s="153"/>
      <c r="Z223" s="153"/>
      <c r="AA223" s="153"/>
      <c r="AB223" s="153"/>
      <c r="AC223" s="153"/>
      <c r="AD223" s="153"/>
      <c r="AE223" s="153"/>
      <c r="AF223" s="153"/>
      <c r="AG223" s="153"/>
      <c r="AH223" s="153"/>
      <c r="AI223" s="153"/>
    </row>
    <row r="224" spans="1:35" x14ac:dyDescent="0.25">
      <c r="A224" t="s">
        <v>442</v>
      </c>
      <c r="B224" s="153">
        <v>80470026.163194969</v>
      </c>
      <c r="C224" s="153">
        <v>71853633.163194969</v>
      </c>
      <c r="D224" s="153">
        <v>1799399</v>
      </c>
      <c r="E224" s="153">
        <v>0</v>
      </c>
      <c r="F224" s="153">
        <v>6100234</v>
      </c>
      <c r="G224" s="153">
        <v>716760</v>
      </c>
      <c r="H224" s="153">
        <v>16237648</v>
      </c>
      <c r="I224" s="153">
        <v>12729</v>
      </c>
      <c r="J224" s="153">
        <v>1379049.98</v>
      </c>
      <c r="K224" s="153"/>
      <c r="L224" s="153">
        <f t="shared" si="6"/>
        <v>153659</v>
      </c>
      <c r="M224" s="153">
        <v>15609</v>
      </c>
      <c r="N224" s="153">
        <v>169268</v>
      </c>
      <c r="O224" s="153">
        <f t="shared" si="7"/>
        <v>168946</v>
      </c>
      <c r="P224" s="153">
        <v>9596</v>
      </c>
      <c r="Q224" s="153">
        <v>178542</v>
      </c>
      <c r="R224" s="153"/>
      <c r="S224" s="153"/>
      <c r="T224" s="153"/>
      <c r="U224" s="153"/>
      <c r="V224" s="153"/>
      <c r="W224" s="153"/>
      <c r="X224" s="153"/>
      <c r="Y224" s="153"/>
      <c r="Z224" s="153"/>
      <c r="AA224" s="153"/>
      <c r="AB224" s="153"/>
      <c r="AC224" s="153"/>
      <c r="AD224" s="153"/>
      <c r="AE224" s="153"/>
      <c r="AF224" s="153"/>
      <c r="AG224" s="153"/>
      <c r="AH224" s="153"/>
      <c r="AI224" s="153"/>
    </row>
    <row r="225" spans="1:35" x14ac:dyDescent="0.25">
      <c r="A225" t="s">
        <v>177</v>
      </c>
      <c r="B225" s="153">
        <v>43037268.347143315</v>
      </c>
      <c r="C225" s="153">
        <v>38361971.347143315</v>
      </c>
      <c r="D225" s="153">
        <v>1094179</v>
      </c>
      <c r="E225" s="153">
        <v>0</v>
      </c>
      <c r="F225" s="153">
        <v>3203840</v>
      </c>
      <c r="G225" s="153">
        <v>377278</v>
      </c>
      <c r="H225" s="153">
        <v>8295684</v>
      </c>
      <c r="I225" s="153">
        <v>5295</v>
      </c>
      <c r="J225" s="153">
        <v>389455.6</v>
      </c>
      <c r="K225" s="153"/>
      <c r="L225" s="153">
        <f t="shared" si="6"/>
        <v>67854</v>
      </c>
      <c r="M225" s="153">
        <v>2098</v>
      </c>
      <c r="N225" s="153">
        <v>69952</v>
      </c>
      <c r="O225" s="153">
        <f t="shared" si="7"/>
        <v>65284</v>
      </c>
      <c r="P225" s="153">
        <v>1971</v>
      </c>
      <c r="Q225" s="153">
        <v>67255</v>
      </c>
      <c r="R225" s="153"/>
      <c r="S225" s="153"/>
      <c r="T225" s="153"/>
      <c r="U225" s="153"/>
      <c r="V225" s="153"/>
      <c r="W225" s="153"/>
      <c r="X225" s="153"/>
      <c r="Y225" s="153"/>
      <c r="Z225" s="153"/>
      <c r="AA225" s="153"/>
      <c r="AB225" s="153"/>
      <c r="AC225" s="153"/>
      <c r="AD225" s="153"/>
      <c r="AE225" s="153"/>
      <c r="AF225" s="153"/>
      <c r="AG225" s="153"/>
      <c r="AH225" s="153"/>
      <c r="AI225" s="153"/>
    </row>
    <row r="226" spans="1:35" x14ac:dyDescent="0.25">
      <c r="A226" t="s">
        <v>316</v>
      </c>
      <c r="B226" s="153">
        <v>11109340.112286443</v>
      </c>
      <c r="C226" s="153">
        <v>10681812.112286443</v>
      </c>
      <c r="D226" s="153">
        <v>119697</v>
      </c>
      <c r="E226" s="153">
        <v>0</v>
      </c>
      <c r="F226" s="153">
        <v>218354</v>
      </c>
      <c r="G226" s="153">
        <v>89477</v>
      </c>
      <c r="H226" s="153">
        <v>1406930</v>
      </c>
      <c r="I226" s="153">
        <v>963</v>
      </c>
      <c r="J226" s="153">
        <v>97636.06</v>
      </c>
      <c r="K226" s="153"/>
      <c r="L226" s="153">
        <f t="shared" si="6"/>
        <v>20132</v>
      </c>
      <c r="M226">
        <v>320</v>
      </c>
      <c r="N226" s="153">
        <v>20452</v>
      </c>
      <c r="O226" s="153">
        <f t="shared" si="7"/>
        <v>18330</v>
      </c>
      <c r="P226">
        <v>338</v>
      </c>
      <c r="Q226" s="153">
        <v>18668</v>
      </c>
      <c r="R226" s="153"/>
      <c r="S226" s="153"/>
      <c r="T226" s="153"/>
      <c r="U226" s="153"/>
      <c r="V226" s="153"/>
      <c r="W226" s="153"/>
      <c r="X226" s="153"/>
      <c r="Y226" s="153"/>
      <c r="Z226" s="153"/>
      <c r="AA226" s="153"/>
      <c r="AB226" s="153"/>
      <c r="AC226" s="153"/>
      <c r="AD226" s="153"/>
      <c r="AE226" s="153"/>
      <c r="AF226" s="153"/>
      <c r="AG226" s="153"/>
      <c r="AH226" s="153"/>
      <c r="AI226" s="153"/>
    </row>
    <row r="227" spans="1:35" x14ac:dyDescent="0.25">
      <c r="A227" t="s">
        <v>317</v>
      </c>
      <c r="B227" s="153">
        <v>13959018.693974214</v>
      </c>
      <c r="C227" s="153">
        <v>12936334.693974214</v>
      </c>
      <c r="D227" s="153">
        <v>467883</v>
      </c>
      <c r="E227" s="153">
        <v>0</v>
      </c>
      <c r="F227" s="153">
        <v>455280</v>
      </c>
      <c r="G227" s="153">
        <v>99521</v>
      </c>
      <c r="H227" s="153">
        <v>1517690</v>
      </c>
      <c r="I227" s="153">
        <v>38</v>
      </c>
      <c r="J227" s="153">
        <v>94377.07</v>
      </c>
      <c r="K227" s="153"/>
      <c r="L227" s="153">
        <f t="shared" si="6"/>
        <v>31354</v>
      </c>
      <c r="M227" s="153">
        <v>3648</v>
      </c>
      <c r="N227" s="153">
        <v>35002</v>
      </c>
      <c r="O227" s="153">
        <f t="shared" si="7"/>
        <v>29470</v>
      </c>
      <c r="P227" s="153">
        <v>3654</v>
      </c>
      <c r="Q227" s="153">
        <v>33124</v>
      </c>
      <c r="R227" s="153"/>
      <c r="S227" s="153"/>
      <c r="T227" s="153"/>
      <c r="U227" s="153"/>
      <c r="V227" s="153"/>
      <c r="W227" s="153"/>
      <c r="X227" s="153"/>
      <c r="Y227" s="153"/>
      <c r="Z227" s="153"/>
      <c r="AA227" s="153"/>
      <c r="AB227" s="153"/>
      <c r="AC227" s="153"/>
      <c r="AD227" s="153"/>
      <c r="AE227" s="153"/>
      <c r="AF227" s="153"/>
      <c r="AG227" s="153"/>
      <c r="AH227" s="153"/>
      <c r="AI227" s="153"/>
    </row>
    <row r="228" spans="1:35" x14ac:dyDescent="0.25">
      <c r="A228" t="s">
        <v>178</v>
      </c>
      <c r="B228" s="153">
        <v>46293602.248853907</v>
      </c>
      <c r="C228" s="153">
        <v>40344411.248853907</v>
      </c>
      <c r="D228" s="153">
        <v>2147258</v>
      </c>
      <c r="E228" s="153">
        <v>0</v>
      </c>
      <c r="F228" s="153">
        <v>3393643</v>
      </c>
      <c r="G228" s="153">
        <v>408290</v>
      </c>
      <c r="H228" s="153">
        <v>8133833</v>
      </c>
      <c r="I228" s="153">
        <v>2783</v>
      </c>
      <c r="J228" s="153">
        <v>317887.56</v>
      </c>
      <c r="K228" s="153"/>
      <c r="L228" s="153">
        <f t="shared" si="6"/>
        <v>75020</v>
      </c>
      <c r="M228">
        <v>529</v>
      </c>
      <c r="N228" s="153">
        <v>75549</v>
      </c>
      <c r="O228" s="153">
        <f t="shared" si="7"/>
        <v>75178</v>
      </c>
      <c r="P228">
        <v>501</v>
      </c>
      <c r="Q228" s="153">
        <v>75679</v>
      </c>
      <c r="R228" s="153"/>
      <c r="S228" s="153"/>
      <c r="T228" s="153"/>
      <c r="U228" s="153"/>
      <c r="V228" s="153"/>
      <c r="W228" s="153"/>
      <c r="X228" s="153"/>
      <c r="Y228" s="153"/>
      <c r="Z228" s="153"/>
      <c r="AA228" s="153"/>
      <c r="AB228" s="153"/>
      <c r="AC228" s="153"/>
      <c r="AD228" s="153"/>
      <c r="AE228" s="153"/>
      <c r="AF228" s="153"/>
      <c r="AG228" s="153"/>
      <c r="AH228" s="153"/>
      <c r="AI228" s="153"/>
    </row>
    <row r="229" spans="1:35" x14ac:dyDescent="0.25">
      <c r="A229" t="s">
        <v>443</v>
      </c>
      <c r="B229" s="153">
        <v>171341246.31559151</v>
      </c>
      <c r="C229" s="153">
        <v>124839472.38472988</v>
      </c>
      <c r="D229" s="153">
        <v>3544885</v>
      </c>
      <c r="E229" s="153">
        <v>18704728</v>
      </c>
      <c r="F229" s="153">
        <v>19857926</v>
      </c>
      <c r="G229" s="153">
        <v>4394234.9308616295</v>
      </c>
      <c r="H229" s="153">
        <v>24671441</v>
      </c>
      <c r="I229" s="153">
        <v>4547</v>
      </c>
      <c r="J229" s="153">
        <v>2414313.71</v>
      </c>
      <c r="K229" s="153"/>
      <c r="L229" s="153">
        <f t="shared" si="6"/>
        <v>257949</v>
      </c>
      <c r="M229" s="153">
        <v>16374</v>
      </c>
      <c r="N229" s="153">
        <v>274323</v>
      </c>
      <c r="O229" s="153">
        <f t="shared" si="7"/>
        <v>288369</v>
      </c>
      <c r="P229" s="153">
        <v>12051</v>
      </c>
      <c r="Q229" s="153">
        <v>300420</v>
      </c>
      <c r="R229" s="153"/>
      <c r="S229" s="153"/>
      <c r="T229" s="153"/>
      <c r="U229" s="153"/>
      <c r="V229" s="153"/>
      <c r="W229" s="153"/>
      <c r="X229" s="153"/>
      <c r="Y229" s="153"/>
      <c r="Z229" s="153"/>
      <c r="AA229" s="153"/>
      <c r="AB229" s="153"/>
      <c r="AC229" s="153"/>
      <c r="AD229" s="153"/>
      <c r="AE229" s="153"/>
      <c r="AF229" s="153"/>
      <c r="AG229" s="153"/>
      <c r="AH229" s="153"/>
      <c r="AI229" s="153"/>
    </row>
    <row r="230" spans="1:35" x14ac:dyDescent="0.25">
      <c r="A230" t="s">
        <v>244</v>
      </c>
      <c r="B230" s="153">
        <v>59909766.651780546</v>
      </c>
      <c r="C230" s="153">
        <v>53088162.651780546</v>
      </c>
      <c r="D230" s="153">
        <v>1395317</v>
      </c>
      <c r="E230" s="153">
        <v>0</v>
      </c>
      <c r="F230" s="153">
        <v>4927646</v>
      </c>
      <c r="G230" s="153">
        <v>498641</v>
      </c>
      <c r="H230" s="153">
        <v>8470758</v>
      </c>
      <c r="I230" s="153">
        <v>17819</v>
      </c>
      <c r="J230" s="153">
        <v>921173.51</v>
      </c>
      <c r="K230" s="153"/>
      <c r="L230" s="153">
        <f t="shared" si="6"/>
        <v>97329</v>
      </c>
      <c r="M230" s="153">
        <v>4589</v>
      </c>
      <c r="N230" s="153">
        <v>101918</v>
      </c>
      <c r="O230" s="153">
        <f t="shared" si="7"/>
        <v>93227</v>
      </c>
      <c r="P230">
        <v>625</v>
      </c>
      <c r="Q230" s="153">
        <v>93852</v>
      </c>
      <c r="R230" s="153"/>
      <c r="S230" s="153"/>
      <c r="T230" s="153"/>
      <c r="U230" s="153"/>
      <c r="V230" s="153"/>
      <c r="W230" s="153"/>
      <c r="X230" s="153"/>
      <c r="Y230" s="153"/>
      <c r="Z230" s="153"/>
      <c r="AA230" s="153"/>
      <c r="AB230" s="153"/>
      <c r="AC230" s="153"/>
      <c r="AD230" s="153"/>
      <c r="AE230" s="153"/>
      <c r="AF230" s="153"/>
      <c r="AG230" s="153"/>
      <c r="AH230" s="153"/>
      <c r="AI230" s="153"/>
    </row>
    <row r="231" spans="1:35" x14ac:dyDescent="0.25">
      <c r="A231" t="s">
        <v>318</v>
      </c>
      <c r="B231" s="153">
        <v>15019495.502763998</v>
      </c>
      <c r="C231" s="153">
        <v>14153629.502763998</v>
      </c>
      <c r="D231" s="153">
        <v>498537</v>
      </c>
      <c r="E231" s="153">
        <v>0</v>
      </c>
      <c r="F231" s="153">
        <v>210422</v>
      </c>
      <c r="G231" s="153">
        <v>156907</v>
      </c>
      <c r="H231" s="153">
        <v>2457206</v>
      </c>
      <c r="I231" s="153">
        <v>0</v>
      </c>
      <c r="J231" s="153">
        <v>117953.55</v>
      </c>
      <c r="K231" s="153"/>
      <c r="L231" s="153">
        <f t="shared" si="6"/>
        <v>31722</v>
      </c>
      <c r="M231" s="153">
        <v>1424</v>
      </c>
      <c r="N231" s="153">
        <v>33146</v>
      </c>
      <c r="O231" s="153">
        <f t="shared" si="7"/>
        <v>30725</v>
      </c>
      <c r="P231" s="153">
        <v>1517</v>
      </c>
      <c r="Q231" s="153">
        <v>32242</v>
      </c>
      <c r="R231" s="153"/>
      <c r="S231" s="153"/>
      <c r="T231" s="153"/>
      <c r="U231" s="153"/>
      <c r="V231" s="153"/>
      <c r="W231" s="153"/>
      <c r="X231" s="153"/>
      <c r="Y231" s="153"/>
      <c r="Z231" s="153"/>
      <c r="AA231" s="153"/>
      <c r="AB231" s="153"/>
      <c r="AC231" s="153"/>
      <c r="AD231" s="153"/>
      <c r="AE231" s="153"/>
      <c r="AF231" s="153"/>
      <c r="AG231" s="153"/>
      <c r="AH231" s="153"/>
      <c r="AI231" s="153"/>
    </row>
    <row r="232" spans="1:35" x14ac:dyDescent="0.25">
      <c r="A232" t="s">
        <v>274</v>
      </c>
      <c r="B232" s="153">
        <v>12434867.452187756</v>
      </c>
      <c r="C232" s="153">
        <v>11656461.452187756</v>
      </c>
      <c r="D232" s="153">
        <v>151691</v>
      </c>
      <c r="E232" s="153">
        <v>0</v>
      </c>
      <c r="F232" s="153">
        <v>493122</v>
      </c>
      <c r="G232" s="153">
        <v>133593</v>
      </c>
      <c r="H232" s="153">
        <v>1135585</v>
      </c>
      <c r="I232" s="153">
        <v>671</v>
      </c>
      <c r="J232" s="153">
        <v>62891.09</v>
      </c>
      <c r="K232" s="153"/>
      <c r="L232" s="153">
        <f t="shared" si="6"/>
        <v>23235</v>
      </c>
      <c r="M232">
        <v>96</v>
      </c>
      <c r="N232" s="153">
        <v>23331</v>
      </c>
      <c r="O232" s="153">
        <f t="shared" si="7"/>
        <v>20305</v>
      </c>
      <c r="P232">
        <v>76</v>
      </c>
      <c r="Q232" s="153">
        <v>20381</v>
      </c>
      <c r="R232" s="153"/>
      <c r="S232" s="153"/>
      <c r="T232" s="153"/>
      <c r="U232" s="153"/>
      <c r="V232" s="153"/>
      <c r="W232" s="153"/>
      <c r="X232" s="153"/>
      <c r="Y232" s="153"/>
      <c r="Z232" s="153"/>
      <c r="AA232" s="153"/>
      <c r="AB232" s="153"/>
      <c r="AC232" s="153"/>
      <c r="AD232" s="153"/>
      <c r="AE232" s="153"/>
      <c r="AF232" s="153"/>
      <c r="AG232" s="153"/>
      <c r="AH232" s="153"/>
      <c r="AI232" s="153"/>
    </row>
    <row r="233" spans="1:35" x14ac:dyDescent="0.25">
      <c r="A233" t="s">
        <v>245</v>
      </c>
      <c r="B233" s="153">
        <v>62370284.06496308</v>
      </c>
      <c r="C233" s="153">
        <v>54150147.06496308</v>
      </c>
      <c r="D233" s="153">
        <v>3977396</v>
      </c>
      <c r="E233" s="153">
        <v>0</v>
      </c>
      <c r="F233" s="153">
        <v>3842243</v>
      </c>
      <c r="G233" s="153">
        <v>400498</v>
      </c>
      <c r="H233" s="153">
        <v>8629924</v>
      </c>
      <c r="I233" s="153">
        <v>16393</v>
      </c>
      <c r="J233" s="153">
        <v>225549.7</v>
      </c>
      <c r="K233" s="153"/>
      <c r="L233" s="153">
        <f t="shared" si="6"/>
        <v>98278</v>
      </c>
      <c r="M233">
        <v>772</v>
      </c>
      <c r="N233" s="153">
        <v>99050</v>
      </c>
      <c r="O233" s="153">
        <f t="shared" si="7"/>
        <v>95740</v>
      </c>
      <c r="P233">
        <v>806</v>
      </c>
      <c r="Q233" s="153">
        <v>96546</v>
      </c>
      <c r="R233" s="153"/>
      <c r="S233" s="153"/>
      <c r="T233" s="153"/>
      <c r="U233" s="153"/>
      <c r="V233" s="153"/>
      <c r="W233" s="153"/>
      <c r="X233" s="153"/>
      <c r="Y233" s="153"/>
      <c r="Z233" s="153"/>
      <c r="AA233" s="153"/>
      <c r="AB233" s="153"/>
      <c r="AC233" s="153"/>
      <c r="AD233" s="153"/>
      <c r="AE233" s="153"/>
      <c r="AF233" s="153"/>
      <c r="AG233" s="153"/>
      <c r="AH233" s="153"/>
      <c r="AI233" s="153"/>
    </row>
    <row r="234" spans="1:35" x14ac:dyDescent="0.25">
      <c r="A234" t="s">
        <v>369</v>
      </c>
      <c r="B234" s="153">
        <v>44674637.588235311</v>
      </c>
      <c r="C234" s="153">
        <v>41545105.588235311</v>
      </c>
      <c r="D234" s="153">
        <v>758696</v>
      </c>
      <c r="E234" s="153">
        <v>0</v>
      </c>
      <c r="F234" s="153">
        <v>1992092</v>
      </c>
      <c r="G234" s="153">
        <v>378744</v>
      </c>
      <c r="H234" s="153">
        <v>7260971</v>
      </c>
      <c r="I234" s="153">
        <v>2557</v>
      </c>
      <c r="J234" s="153">
        <v>479826.59</v>
      </c>
      <c r="K234" s="153"/>
      <c r="L234" s="153">
        <f t="shared" si="6"/>
        <v>88349</v>
      </c>
      <c r="M234" s="153">
        <v>1129</v>
      </c>
      <c r="N234" s="153">
        <v>89478</v>
      </c>
      <c r="O234" s="153">
        <f t="shared" si="7"/>
        <v>80623</v>
      </c>
      <c r="P234" s="153">
        <v>1349</v>
      </c>
      <c r="Q234" s="153">
        <v>81972</v>
      </c>
      <c r="R234" s="153"/>
      <c r="S234" s="153"/>
      <c r="T234" s="153"/>
      <c r="U234" s="153"/>
      <c r="V234" s="153"/>
      <c r="W234" s="153"/>
      <c r="X234" s="153"/>
      <c r="Y234" s="153"/>
      <c r="Z234" s="153"/>
      <c r="AA234" s="153"/>
      <c r="AB234" s="153"/>
      <c r="AC234" s="153"/>
      <c r="AD234" s="153"/>
      <c r="AE234" s="153"/>
      <c r="AF234" s="153"/>
      <c r="AG234" s="153"/>
      <c r="AH234" s="153"/>
      <c r="AI234" s="153"/>
    </row>
    <row r="235" spans="1:35" x14ac:dyDescent="0.25">
      <c r="A235" t="s">
        <v>481</v>
      </c>
      <c r="B235" s="153">
        <v>57222899.073913239</v>
      </c>
      <c r="C235" s="153">
        <v>49861109.073913239</v>
      </c>
      <c r="D235" s="153">
        <v>1103781</v>
      </c>
      <c r="E235" s="153">
        <v>0</v>
      </c>
      <c r="F235" s="153">
        <v>5851792</v>
      </c>
      <c r="G235" s="153">
        <v>406217</v>
      </c>
      <c r="H235" s="153">
        <v>6362170</v>
      </c>
      <c r="I235" s="153">
        <v>38748</v>
      </c>
      <c r="J235" s="153">
        <v>373025.27</v>
      </c>
      <c r="K235" s="153"/>
      <c r="L235" s="153">
        <f t="shared" si="6"/>
        <v>88417</v>
      </c>
      <c r="M235" s="153">
        <v>2411</v>
      </c>
      <c r="N235" s="153">
        <v>90828</v>
      </c>
      <c r="O235" s="153">
        <f t="shared" si="7"/>
        <v>97135</v>
      </c>
      <c r="P235" s="153">
        <v>2300</v>
      </c>
      <c r="Q235" s="153">
        <v>99435</v>
      </c>
      <c r="R235" s="153"/>
      <c r="S235" s="153"/>
      <c r="T235" s="153"/>
      <c r="U235" s="153"/>
      <c r="V235" s="153"/>
      <c r="W235" s="153"/>
      <c r="X235" s="153"/>
      <c r="Y235" s="153"/>
      <c r="Z235" s="153"/>
      <c r="AA235" s="153"/>
      <c r="AB235" s="153"/>
      <c r="AC235" s="153"/>
      <c r="AD235" s="153"/>
      <c r="AE235" s="153"/>
      <c r="AF235" s="153"/>
      <c r="AG235" s="153"/>
      <c r="AH235" s="153"/>
      <c r="AI235" s="153"/>
    </row>
    <row r="236" spans="1:35" x14ac:dyDescent="0.25">
      <c r="A236" t="s">
        <v>157</v>
      </c>
      <c r="B236" s="153">
        <v>26981669.197039317</v>
      </c>
      <c r="C236" s="153">
        <v>21114476.197039317</v>
      </c>
      <c r="D236" s="153">
        <v>554804</v>
      </c>
      <c r="E236" s="153">
        <v>0</v>
      </c>
      <c r="F236" s="153">
        <v>5062054</v>
      </c>
      <c r="G236" s="153">
        <v>250335</v>
      </c>
      <c r="H236" s="153">
        <v>6418974</v>
      </c>
      <c r="I236" s="153">
        <v>3292</v>
      </c>
      <c r="J236" s="153">
        <v>451519.37</v>
      </c>
      <c r="K236" s="153"/>
      <c r="L236" s="153">
        <f t="shared" si="6"/>
        <v>41282</v>
      </c>
      <c r="M236">
        <v>302</v>
      </c>
      <c r="N236" s="153">
        <v>41584</v>
      </c>
      <c r="O236" s="153">
        <f t="shared" si="7"/>
        <v>40786</v>
      </c>
      <c r="P236">
        <v>535</v>
      </c>
      <c r="Q236" s="153">
        <v>41321</v>
      </c>
      <c r="R236" s="153"/>
      <c r="S236" s="153"/>
      <c r="T236" s="153"/>
      <c r="U236" s="153"/>
      <c r="V236" s="153"/>
      <c r="W236" s="153"/>
      <c r="X236" s="153"/>
      <c r="Y236" s="153"/>
      <c r="Z236" s="153"/>
      <c r="AA236" s="153"/>
      <c r="AB236" s="153"/>
      <c r="AC236" s="153"/>
      <c r="AD236" s="153"/>
      <c r="AE236" s="153"/>
      <c r="AF236" s="153"/>
      <c r="AG236" s="153"/>
      <c r="AH236" s="153"/>
      <c r="AI236" s="153"/>
    </row>
    <row r="237" spans="1:35" x14ac:dyDescent="0.25">
      <c r="A237" t="s">
        <v>370</v>
      </c>
      <c r="B237" s="153">
        <v>57219942.840807244</v>
      </c>
      <c r="C237" s="153">
        <v>55153809.840807244</v>
      </c>
      <c r="D237" s="153">
        <v>1523518</v>
      </c>
      <c r="E237" s="153">
        <v>0</v>
      </c>
      <c r="F237" s="153">
        <v>224376</v>
      </c>
      <c r="G237" s="153">
        <v>318239</v>
      </c>
      <c r="H237" s="153">
        <v>7014416</v>
      </c>
      <c r="I237" s="153">
        <v>1732</v>
      </c>
      <c r="J237" s="153">
        <v>215768.87</v>
      </c>
      <c r="K237" s="153"/>
      <c r="L237" s="153">
        <f t="shared" si="6"/>
        <v>149546</v>
      </c>
      <c r="M237" s="153">
        <v>12233</v>
      </c>
      <c r="N237" s="153">
        <v>161779</v>
      </c>
      <c r="O237" s="153">
        <f t="shared" si="7"/>
        <v>132362</v>
      </c>
      <c r="P237" s="153">
        <v>13333</v>
      </c>
      <c r="Q237" s="153">
        <v>145695</v>
      </c>
      <c r="R237" s="153"/>
      <c r="S237" s="153"/>
      <c r="T237" s="153"/>
      <c r="U237" s="153"/>
      <c r="V237" s="153"/>
      <c r="W237" s="153"/>
      <c r="X237" s="153"/>
      <c r="Y237" s="153"/>
      <c r="Z237" s="153"/>
      <c r="AA237" s="153"/>
      <c r="AB237" s="153"/>
      <c r="AC237" s="153"/>
      <c r="AD237" s="153"/>
      <c r="AE237" s="153"/>
      <c r="AF237" s="153"/>
      <c r="AG237" s="153"/>
      <c r="AH237" s="153"/>
      <c r="AI237" s="153"/>
    </row>
    <row r="238" spans="1:35" x14ac:dyDescent="0.25">
      <c r="A238" t="s">
        <v>319</v>
      </c>
      <c r="B238" s="153">
        <v>130859831.76543407</v>
      </c>
      <c r="C238" s="153">
        <v>114273977.66636983</v>
      </c>
      <c r="D238" s="153">
        <v>1185515</v>
      </c>
      <c r="E238" s="153">
        <v>6720073</v>
      </c>
      <c r="F238" s="153">
        <v>6478561</v>
      </c>
      <c r="G238" s="153">
        <v>2201705.0990642402</v>
      </c>
      <c r="H238" s="153">
        <v>23310590</v>
      </c>
      <c r="I238" s="153">
        <v>14423</v>
      </c>
      <c r="J238" s="153">
        <v>1873606.84</v>
      </c>
      <c r="K238" s="153"/>
      <c r="L238" s="153">
        <f t="shared" si="6"/>
        <v>233176</v>
      </c>
      <c r="M238" s="153">
        <v>6691</v>
      </c>
      <c r="N238" s="153">
        <v>239867</v>
      </c>
      <c r="O238" s="153">
        <f t="shared" si="7"/>
        <v>234909</v>
      </c>
      <c r="P238" s="153">
        <v>1426</v>
      </c>
      <c r="Q238" s="153">
        <v>236335</v>
      </c>
      <c r="R238" s="153"/>
      <c r="S238" s="153"/>
      <c r="T238" s="153"/>
      <c r="U238" s="153"/>
      <c r="V238" s="153"/>
      <c r="W238" s="153"/>
      <c r="X238" s="153"/>
      <c r="Y238" s="153"/>
      <c r="Z238" s="153"/>
      <c r="AA238" s="153"/>
      <c r="AB238" s="153"/>
      <c r="AC238" s="153"/>
      <c r="AD238" s="153"/>
      <c r="AE238" s="153"/>
      <c r="AF238" s="153"/>
      <c r="AG238" s="153"/>
      <c r="AH238" s="153"/>
      <c r="AI238" s="153"/>
    </row>
    <row r="239" spans="1:35" x14ac:dyDescent="0.25">
      <c r="A239" t="s">
        <v>246</v>
      </c>
      <c r="B239" s="153">
        <v>30960994.316698235</v>
      </c>
      <c r="C239" s="153">
        <v>27799543.316698235</v>
      </c>
      <c r="D239" s="153">
        <v>845310</v>
      </c>
      <c r="E239" s="153">
        <v>0</v>
      </c>
      <c r="F239" s="153">
        <v>2047672</v>
      </c>
      <c r="G239" s="153">
        <v>268469</v>
      </c>
      <c r="H239" s="153">
        <v>3202837</v>
      </c>
      <c r="I239" s="153">
        <v>8582</v>
      </c>
      <c r="J239" s="153">
        <v>368119.62</v>
      </c>
      <c r="K239" s="153"/>
      <c r="L239" s="153">
        <f t="shared" si="6"/>
        <v>53786</v>
      </c>
      <c r="M239" s="153">
        <v>1506</v>
      </c>
      <c r="N239" s="153">
        <v>55292</v>
      </c>
      <c r="O239" s="153">
        <f t="shared" si="7"/>
        <v>48617</v>
      </c>
      <c r="P239">
        <v>880</v>
      </c>
      <c r="Q239" s="153">
        <v>49497</v>
      </c>
      <c r="R239" s="153"/>
      <c r="S239" s="153"/>
      <c r="T239" s="153"/>
      <c r="U239" s="153"/>
      <c r="V239" s="153"/>
      <c r="W239" s="153"/>
      <c r="X239" s="153"/>
      <c r="Y239" s="153"/>
      <c r="Z239" s="153"/>
      <c r="AA239" s="153"/>
      <c r="AB239" s="153"/>
      <c r="AC239" s="153"/>
      <c r="AD239" s="153"/>
      <c r="AE239" s="153"/>
      <c r="AF239" s="153"/>
      <c r="AG239" s="153"/>
      <c r="AH239" s="153"/>
      <c r="AI239" s="153"/>
    </row>
    <row r="240" spans="1:35" x14ac:dyDescent="0.25">
      <c r="A240" t="s">
        <v>200</v>
      </c>
      <c r="B240" s="153">
        <v>50657856.340133026</v>
      </c>
      <c r="C240" s="153">
        <v>45204432.340133026</v>
      </c>
      <c r="D240" s="153">
        <v>692099</v>
      </c>
      <c r="E240" s="153">
        <v>0</v>
      </c>
      <c r="F240" s="153">
        <v>4384860</v>
      </c>
      <c r="G240" s="153">
        <v>376465</v>
      </c>
      <c r="H240" s="153">
        <v>6062802</v>
      </c>
      <c r="I240" s="153">
        <v>6029</v>
      </c>
      <c r="J240" s="153">
        <v>233984.97</v>
      </c>
      <c r="K240" s="153"/>
      <c r="L240" s="153">
        <f t="shared" si="6"/>
        <v>87515</v>
      </c>
      <c r="M240" s="153">
        <v>3714</v>
      </c>
      <c r="N240" s="153">
        <v>91229</v>
      </c>
      <c r="O240" s="153">
        <f t="shared" si="7"/>
        <v>77430</v>
      </c>
      <c r="P240" s="153">
        <v>1557</v>
      </c>
      <c r="Q240" s="153">
        <v>78987</v>
      </c>
      <c r="R240" s="153"/>
      <c r="S240" s="153"/>
      <c r="T240" s="153"/>
      <c r="U240" s="153"/>
      <c r="V240" s="153"/>
      <c r="W240" s="153"/>
      <c r="X240" s="153"/>
      <c r="Y240" s="153"/>
      <c r="Z240" s="153"/>
      <c r="AA240" s="153"/>
      <c r="AB240" s="153"/>
      <c r="AC240" s="153"/>
      <c r="AD240" s="153"/>
      <c r="AE240" s="153"/>
      <c r="AF240" s="153"/>
      <c r="AG240" s="153"/>
      <c r="AH240" s="153"/>
      <c r="AI240" s="153"/>
    </row>
    <row r="241" spans="1:35" x14ac:dyDescent="0.25">
      <c r="A241" t="s">
        <v>395</v>
      </c>
      <c r="B241" s="153">
        <v>30518016.541083474</v>
      </c>
      <c r="C241" s="153">
        <v>28082454.541083474</v>
      </c>
      <c r="D241" s="153">
        <v>729734</v>
      </c>
      <c r="E241" s="153">
        <v>0</v>
      </c>
      <c r="F241" s="153">
        <v>1369751</v>
      </c>
      <c r="G241" s="153">
        <v>336077</v>
      </c>
      <c r="H241" s="153">
        <v>3666321</v>
      </c>
      <c r="I241" s="153">
        <v>6680</v>
      </c>
      <c r="J241" s="153">
        <v>660289.42000000004</v>
      </c>
      <c r="K241" s="153"/>
      <c r="L241" s="153">
        <f t="shared" si="6"/>
        <v>51051</v>
      </c>
      <c r="M241">
        <v>93</v>
      </c>
      <c r="N241" s="153">
        <v>51144</v>
      </c>
      <c r="O241" s="153">
        <f t="shared" si="7"/>
        <v>48258</v>
      </c>
      <c r="P241">
        <v>982</v>
      </c>
      <c r="Q241" s="153">
        <v>49240</v>
      </c>
      <c r="R241" s="153"/>
      <c r="S241" s="153"/>
      <c r="T241" s="153"/>
      <c r="U241" s="153"/>
      <c r="V241" s="153"/>
      <c r="W241" s="153"/>
      <c r="X241" s="153"/>
      <c r="Y241" s="153"/>
      <c r="Z241" s="153"/>
      <c r="AA241" s="153"/>
      <c r="AB241" s="153"/>
      <c r="AC241" s="153"/>
      <c r="AD241" s="153"/>
      <c r="AE241" s="153"/>
      <c r="AF241" s="153"/>
      <c r="AG241" s="153"/>
      <c r="AH241" s="153"/>
      <c r="AI241" s="153"/>
    </row>
    <row r="242" spans="1:35" x14ac:dyDescent="0.25">
      <c r="A242" t="s">
        <v>247</v>
      </c>
      <c r="B242" s="153">
        <v>47471167.529703587</v>
      </c>
      <c r="C242" s="153">
        <v>41347179.529703587</v>
      </c>
      <c r="D242" s="153">
        <v>3501769</v>
      </c>
      <c r="E242" s="153">
        <v>0</v>
      </c>
      <c r="F242" s="153">
        <v>2353234</v>
      </c>
      <c r="G242" s="153">
        <v>268985</v>
      </c>
      <c r="H242" s="153">
        <v>8363097</v>
      </c>
      <c r="I242" s="153">
        <v>6700</v>
      </c>
      <c r="J242" s="153">
        <v>145447.14000000001</v>
      </c>
      <c r="K242" s="153"/>
      <c r="L242" s="153">
        <f t="shared" si="6"/>
        <v>83023</v>
      </c>
      <c r="M242" s="153">
        <v>4256</v>
      </c>
      <c r="N242" s="153">
        <v>87279</v>
      </c>
      <c r="O242" s="153">
        <f t="shared" si="7"/>
        <v>78564</v>
      </c>
      <c r="P242" s="153">
        <v>3153</v>
      </c>
      <c r="Q242" s="153">
        <v>81717</v>
      </c>
      <c r="R242" s="153"/>
      <c r="S242" s="153"/>
      <c r="T242" s="153"/>
      <c r="U242" s="153"/>
      <c r="V242" s="153"/>
      <c r="W242" s="153"/>
      <c r="X242" s="153"/>
      <c r="Y242" s="153"/>
      <c r="Z242" s="153"/>
      <c r="AA242" s="153"/>
      <c r="AB242" s="153"/>
      <c r="AC242" s="153"/>
      <c r="AD242" s="153"/>
      <c r="AE242" s="153"/>
      <c r="AF242" s="153"/>
      <c r="AG242" s="153"/>
      <c r="AH242" s="153"/>
      <c r="AI242" s="153"/>
    </row>
    <row r="243" spans="1:35" x14ac:dyDescent="0.25">
      <c r="A243" t="s">
        <v>275</v>
      </c>
      <c r="B243" s="153">
        <v>5571924.5460658828</v>
      </c>
      <c r="C243" s="153">
        <v>5226554.5460658828</v>
      </c>
      <c r="D243" s="153">
        <v>83703</v>
      </c>
      <c r="E243" s="153">
        <v>0</v>
      </c>
      <c r="F243" s="153">
        <v>239299</v>
      </c>
      <c r="G243" s="153">
        <v>22368</v>
      </c>
      <c r="H243" s="153">
        <v>495010</v>
      </c>
      <c r="I243" s="153">
        <v>0</v>
      </c>
      <c r="J243" s="153">
        <v>54060.800000000003</v>
      </c>
      <c r="K243" s="153"/>
      <c r="L243" s="153">
        <f t="shared" si="6"/>
        <v>14810</v>
      </c>
      <c r="M243">
        <v>276</v>
      </c>
      <c r="N243" s="153">
        <v>15086</v>
      </c>
      <c r="O243" s="153">
        <f t="shared" si="7"/>
        <v>15497</v>
      </c>
      <c r="P243">
        <v>193</v>
      </c>
      <c r="Q243" s="153">
        <v>15690</v>
      </c>
      <c r="R243" s="153"/>
      <c r="S243" s="153"/>
      <c r="T243" s="153"/>
      <c r="U243" s="153"/>
      <c r="V243" s="153"/>
      <c r="W243" s="153"/>
      <c r="X243" s="153"/>
      <c r="Y243" s="153"/>
      <c r="Z243" s="153"/>
      <c r="AA243" s="153"/>
      <c r="AB243" s="153"/>
      <c r="AC243" s="153"/>
      <c r="AD243" s="153"/>
      <c r="AE243" s="153"/>
      <c r="AF243" s="153"/>
      <c r="AG243" s="153"/>
      <c r="AH243" s="153"/>
      <c r="AI243" s="153"/>
    </row>
    <row r="244" spans="1:35" x14ac:dyDescent="0.25">
      <c r="A244" t="s">
        <v>444</v>
      </c>
      <c r="B244" s="153">
        <v>18085625.025189973</v>
      </c>
      <c r="C244" s="153">
        <v>15021407.025189975</v>
      </c>
      <c r="D244" s="153">
        <v>298111</v>
      </c>
      <c r="E244" s="153">
        <v>0</v>
      </c>
      <c r="F244" s="153">
        <v>2690117</v>
      </c>
      <c r="G244" s="153">
        <v>75990</v>
      </c>
      <c r="H244" s="153">
        <v>1414706</v>
      </c>
      <c r="I244" s="153">
        <v>1696</v>
      </c>
      <c r="J244" s="153">
        <v>76612.14</v>
      </c>
      <c r="K244" s="153"/>
      <c r="L244" s="153">
        <f t="shared" si="6"/>
        <v>39165</v>
      </c>
      <c r="M244">
        <v>20</v>
      </c>
      <c r="N244" s="153">
        <v>39185</v>
      </c>
      <c r="O244" s="153">
        <f t="shared" si="7"/>
        <v>31742</v>
      </c>
      <c r="P244">
        <v>36</v>
      </c>
      <c r="Q244" s="153">
        <v>31778</v>
      </c>
      <c r="R244" s="153"/>
      <c r="S244" s="153"/>
      <c r="T244" s="153"/>
      <c r="U244" s="153"/>
      <c r="V244" s="153"/>
      <c r="W244" s="153"/>
      <c r="X244" s="153"/>
      <c r="Y244" s="153"/>
      <c r="Z244" s="153"/>
      <c r="AA244" s="153"/>
      <c r="AB244" s="153"/>
      <c r="AC244" s="153"/>
      <c r="AD244" s="153"/>
      <c r="AE244" s="153"/>
      <c r="AF244" s="153"/>
      <c r="AG244" s="153"/>
      <c r="AH244" s="153"/>
      <c r="AI244" s="153"/>
    </row>
    <row r="245" spans="1:35" x14ac:dyDescent="0.25">
      <c r="A245" t="s">
        <v>248</v>
      </c>
      <c r="B245" s="153">
        <v>70781513.989570901</v>
      </c>
      <c r="C245" s="153">
        <v>62344018.989570901</v>
      </c>
      <c r="D245" s="153">
        <v>1523462</v>
      </c>
      <c r="E245" s="153">
        <v>0</v>
      </c>
      <c r="F245" s="153">
        <v>6393081</v>
      </c>
      <c r="G245" s="153">
        <v>520952</v>
      </c>
      <c r="H245" s="153">
        <v>13906142</v>
      </c>
      <c r="I245" s="153">
        <v>7248</v>
      </c>
      <c r="J245" s="153">
        <v>794628.4</v>
      </c>
      <c r="K245" s="153"/>
      <c r="L245" s="153">
        <f t="shared" si="6"/>
        <v>110864</v>
      </c>
      <c r="M245" s="153">
        <v>3922</v>
      </c>
      <c r="N245" s="153">
        <v>114786</v>
      </c>
      <c r="O245" s="153">
        <f t="shared" si="7"/>
        <v>109902</v>
      </c>
      <c r="P245">
        <v>962</v>
      </c>
      <c r="Q245" s="153">
        <v>110864</v>
      </c>
      <c r="R245" s="153"/>
      <c r="S245" s="153"/>
      <c r="T245" s="153"/>
      <c r="U245" s="153"/>
      <c r="V245" s="153"/>
      <c r="W245" s="153"/>
      <c r="X245" s="153"/>
      <c r="Y245" s="153"/>
      <c r="Z245" s="153"/>
      <c r="AA245" s="153"/>
      <c r="AB245" s="153"/>
      <c r="AC245" s="153"/>
      <c r="AD245" s="153"/>
      <c r="AE245" s="153"/>
      <c r="AF245" s="153"/>
      <c r="AG245" s="153"/>
      <c r="AH245" s="153"/>
      <c r="AI245" s="153"/>
    </row>
    <row r="246" spans="1:35" x14ac:dyDescent="0.25">
      <c r="A246" t="s">
        <v>276</v>
      </c>
      <c r="B246" s="153">
        <v>25286415.527358748</v>
      </c>
      <c r="C246" s="153">
        <v>23205779.527358748</v>
      </c>
      <c r="D246" s="153">
        <v>519529</v>
      </c>
      <c r="E246" s="153">
        <v>0</v>
      </c>
      <c r="F246" s="153">
        <v>1372902</v>
      </c>
      <c r="G246" s="153">
        <v>188205</v>
      </c>
      <c r="H246" s="153">
        <v>3848755</v>
      </c>
      <c r="I246" s="153">
        <v>157</v>
      </c>
      <c r="J246" s="153">
        <v>420815.61</v>
      </c>
      <c r="K246" s="153"/>
      <c r="L246" s="153">
        <f t="shared" si="6"/>
        <v>44570</v>
      </c>
      <c r="M246">
        <v>550</v>
      </c>
      <c r="N246" s="153">
        <v>45120</v>
      </c>
      <c r="O246" s="153">
        <f t="shared" si="7"/>
        <v>42135</v>
      </c>
      <c r="P246" s="153">
        <v>1155</v>
      </c>
      <c r="Q246" s="153">
        <v>43290</v>
      </c>
      <c r="R246" s="153"/>
      <c r="S246" s="153"/>
      <c r="T246" s="153"/>
      <c r="U246" s="153"/>
      <c r="V246" s="153"/>
      <c r="W246" s="153"/>
      <c r="X246" s="153"/>
      <c r="Y246" s="153"/>
      <c r="Z246" s="153"/>
      <c r="AA246" s="153"/>
      <c r="AB246" s="153"/>
      <c r="AC246" s="153"/>
      <c r="AD246" s="153"/>
      <c r="AE246" s="153"/>
      <c r="AF246" s="153"/>
      <c r="AG246" s="153"/>
      <c r="AH246" s="153"/>
      <c r="AI246" s="153"/>
    </row>
    <row r="247" spans="1:35" x14ac:dyDescent="0.25">
      <c r="A247" t="s">
        <v>371</v>
      </c>
      <c r="B247" s="153">
        <v>61222310.409454376</v>
      </c>
      <c r="C247" s="153">
        <v>59557788.409454376</v>
      </c>
      <c r="D247" s="153">
        <v>1043797</v>
      </c>
      <c r="E247" s="153">
        <v>0</v>
      </c>
      <c r="F247" s="153">
        <v>260282</v>
      </c>
      <c r="G247" s="153">
        <v>360443</v>
      </c>
      <c r="H247" s="153">
        <v>12128918</v>
      </c>
      <c r="I247" s="153">
        <v>5803</v>
      </c>
      <c r="J247" s="153">
        <v>1279077.5900000001</v>
      </c>
      <c r="K247" s="153"/>
      <c r="L247" s="153">
        <f t="shared" si="6"/>
        <v>121263</v>
      </c>
      <c r="M247" s="153">
        <v>5460</v>
      </c>
      <c r="N247" s="153">
        <v>126723</v>
      </c>
      <c r="O247" s="153">
        <f t="shared" si="7"/>
        <v>124339</v>
      </c>
      <c r="P247" s="153">
        <v>4604</v>
      </c>
      <c r="Q247" s="153">
        <v>128943</v>
      </c>
      <c r="R247" s="153"/>
      <c r="S247" s="153"/>
      <c r="T247" s="153"/>
      <c r="U247" s="153"/>
      <c r="V247" s="153"/>
      <c r="W247" s="153"/>
      <c r="X247" s="153"/>
      <c r="Y247" s="153"/>
      <c r="Z247" s="153"/>
      <c r="AA247" s="153"/>
      <c r="AB247" s="153"/>
      <c r="AC247" s="153"/>
      <c r="AD247" s="153"/>
      <c r="AE247" s="153"/>
      <c r="AF247" s="153"/>
      <c r="AG247" s="153"/>
      <c r="AH247" s="153"/>
      <c r="AI247" s="153"/>
    </row>
    <row r="248" spans="1:35" x14ac:dyDescent="0.25">
      <c r="A248" t="s">
        <v>201</v>
      </c>
      <c r="B248" s="153">
        <v>52459665.243683606</v>
      </c>
      <c r="C248" s="153">
        <v>47364863.243683606</v>
      </c>
      <c r="D248" s="153">
        <v>1377636</v>
      </c>
      <c r="E248" s="153">
        <v>0</v>
      </c>
      <c r="F248" s="153">
        <v>3459631</v>
      </c>
      <c r="G248" s="153">
        <v>257535</v>
      </c>
      <c r="H248" s="153">
        <v>5731496</v>
      </c>
      <c r="I248" s="153">
        <v>1897</v>
      </c>
      <c r="J248" s="153">
        <v>543413.34</v>
      </c>
      <c r="K248" s="153"/>
      <c r="L248" s="153">
        <f t="shared" si="6"/>
        <v>90778</v>
      </c>
      <c r="M248" s="153">
        <v>1377</v>
      </c>
      <c r="N248" s="153">
        <v>92155</v>
      </c>
      <c r="O248" s="153">
        <f t="shared" si="7"/>
        <v>85546</v>
      </c>
      <c r="P248" s="153">
        <v>3330</v>
      </c>
      <c r="Q248" s="153">
        <v>88876</v>
      </c>
      <c r="R248" s="153"/>
      <c r="S248" s="153"/>
      <c r="T248" s="153"/>
      <c r="U248" s="153"/>
      <c r="V248" s="153"/>
      <c r="W248" s="153"/>
      <c r="X248" s="153"/>
      <c r="Y248" s="153"/>
      <c r="Z248" s="153"/>
      <c r="AA248" s="153"/>
      <c r="AB248" s="153"/>
      <c r="AC248" s="153"/>
      <c r="AD248" s="153"/>
      <c r="AE248" s="153"/>
      <c r="AF248" s="153"/>
      <c r="AG248" s="153"/>
      <c r="AH248" s="153"/>
      <c r="AI248" s="153"/>
    </row>
    <row r="249" spans="1:35" x14ac:dyDescent="0.25">
      <c r="A249" t="s">
        <v>372</v>
      </c>
      <c r="B249" s="153">
        <v>80000307.697933137</v>
      </c>
      <c r="C249" s="153">
        <v>76078138.697933137</v>
      </c>
      <c r="D249" s="153">
        <v>1182325</v>
      </c>
      <c r="E249" s="153">
        <v>0</v>
      </c>
      <c r="F249" s="153">
        <v>2266409</v>
      </c>
      <c r="G249" s="153">
        <v>473435</v>
      </c>
      <c r="H249" s="153">
        <v>21484724</v>
      </c>
      <c r="I249" s="153">
        <v>2298</v>
      </c>
      <c r="J249" s="153">
        <v>1589008.2</v>
      </c>
      <c r="K249" s="153"/>
      <c r="L249" s="153">
        <f t="shared" si="6"/>
        <v>189838</v>
      </c>
      <c r="M249">
        <v>560</v>
      </c>
      <c r="N249" s="153">
        <v>190398</v>
      </c>
      <c r="O249" s="153">
        <f t="shared" si="7"/>
        <v>172063</v>
      </c>
      <c r="P249">
        <v>516</v>
      </c>
      <c r="Q249" s="153">
        <v>172579</v>
      </c>
      <c r="R249" s="153"/>
      <c r="S249" s="153"/>
      <c r="T249" s="153"/>
      <c r="U249" s="153"/>
      <c r="V249" s="153"/>
      <c r="W249" s="153"/>
      <c r="X249" s="153"/>
      <c r="Y249" s="153"/>
      <c r="Z249" s="153"/>
      <c r="AA249" s="153"/>
      <c r="AB249" s="153"/>
      <c r="AC249" s="153"/>
      <c r="AD249" s="153"/>
      <c r="AE249" s="153"/>
      <c r="AF249" s="153"/>
      <c r="AG249" s="153"/>
      <c r="AH249" s="153"/>
      <c r="AI249" s="153"/>
    </row>
    <row r="250" spans="1:35" x14ac:dyDescent="0.25">
      <c r="A250" t="s">
        <v>482</v>
      </c>
      <c r="B250" s="153">
        <v>29517667.985102367</v>
      </c>
      <c r="C250" s="153">
        <v>25477622.985102367</v>
      </c>
      <c r="D250" s="153">
        <v>875792</v>
      </c>
      <c r="E250" s="153">
        <v>0</v>
      </c>
      <c r="F250" s="153">
        <v>2951396</v>
      </c>
      <c r="G250" s="153">
        <v>212857</v>
      </c>
      <c r="H250" s="153">
        <v>3962530</v>
      </c>
      <c r="I250" s="153">
        <v>9741</v>
      </c>
      <c r="J250" s="153">
        <v>252213.37</v>
      </c>
      <c r="K250" s="153"/>
      <c r="L250" s="153">
        <f t="shared" si="6"/>
        <v>56916</v>
      </c>
      <c r="M250" s="153">
        <v>1591</v>
      </c>
      <c r="N250" s="153">
        <v>58507</v>
      </c>
      <c r="O250" s="153">
        <f t="shared" si="7"/>
        <v>56839</v>
      </c>
      <c r="P250" s="153">
        <v>3659</v>
      </c>
      <c r="Q250" s="153">
        <v>60498</v>
      </c>
      <c r="R250" s="153"/>
      <c r="S250" s="153"/>
      <c r="T250" s="153"/>
      <c r="U250" s="153"/>
      <c r="V250" s="153"/>
      <c r="W250" s="153"/>
      <c r="X250" s="153"/>
      <c r="Y250" s="153"/>
      <c r="Z250" s="153"/>
      <c r="AA250" s="153"/>
      <c r="AB250" s="153"/>
      <c r="AC250" s="153"/>
      <c r="AD250" s="153"/>
      <c r="AE250" s="153"/>
      <c r="AF250" s="153"/>
      <c r="AG250" s="153"/>
      <c r="AH250" s="153"/>
      <c r="AI250" s="153"/>
    </row>
    <row r="251" spans="1:35" x14ac:dyDescent="0.25">
      <c r="A251" t="s">
        <v>483</v>
      </c>
      <c r="B251" s="153">
        <v>106087267.91010386</v>
      </c>
      <c r="C251" s="153">
        <v>90673378.910103858</v>
      </c>
      <c r="D251" s="153">
        <v>2821261</v>
      </c>
      <c r="E251" s="153">
        <v>0</v>
      </c>
      <c r="F251" s="153">
        <v>11677816</v>
      </c>
      <c r="G251" s="153">
        <v>914812</v>
      </c>
      <c r="H251" s="153">
        <v>25786278</v>
      </c>
      <c r="I251" s="153">
        <v>8785</v>
      </c>
      <c r="J251" s="153">
        <v>2406801.7799999998</v>
      </c>
      <c r="K251" s="153"/>
      <c r="L251" s="153">
        <f t="shared" si="6"/>
        <v>176959</v>
      </c>
      <c r="M251" s="153">
        <v>11638</v>
      </c>
      <c r="N251" s="153">
        <v>188597</v>
      </c>
      <c r="O251" s="153">
        <f t="shared" si="7"/>
        <v>172222</v>
      </c>
      <c r="P251" s="153">
        <v>15164</v>
      </c>
      <c r="Q251" s="153">
        <v>187386</v>
      </c>
      <c r="R251" s="153"/>
      <c r="S251" s="153"/>
      <c r="T251" s="153"/>
      <c r="U251" s="153"/>
      <c r="V251" s="153"/>
      <c r="W251" s="153"/>
      <c r="X251" s="153"/>
      <c r="Y251" s="153"/>
      <c r="Z251" s="153"/>
      <c r="AA251" s="153"/>
      <c r="AB251" s="153"/>
      <c r="AC251" s="153"/>
      <c r="AD251" s="153"/>
      <c r="AE251" s="153"/>
      <c r="AF251" s="153"/>
      <c r="AG251" s="153"/>
      <c r="AH251" s="153"/>
      <c r="AI251" s="153"/>
    </row>
    <row r="252" spans="1:35" x14ac:dyDescent="0.25">
      <c r="A252" t="s">
        <v>445</v>
      </c>
      <c r="B252" s="153">
        <v>126720779.41473496</v>
      </c>
      <c r="C252" s="153">
        <v>109393866.41473496</v>
      </c>
      <c r="D252" s="153">
        <v>2020956</v>
      </c>
      <c r="E252" s="153">
        <v>0</v>
      </c>
      <c r="F252" s="153">
        <v>14326576</v>
      </c>
      <c r="G252" s="153">
        <v>979381</v>
      </c>
      <c r="H252" s="153">
        <v>31400573</v>
      </c>
      <c r="I252" s="153">
        <v>11365</v>
      </c>
      <c r="J252" s="153">
        <v>2771643.55</v>
      </c>
      <c r="K252" s="153"/>
      <c r="L252" s="153">
        <f t="shared" si="6"/>
        <v>218807</v>
      </c>
      <c r="M252" s="153">
        <v>13835</v>
      </c>
      <c r="N252" s="153">
        <v>232642</v>
      </c>
      <c r="O252" s="153">
        <f t="shared" si="7"/>
        <v>211302</v>
      </c>
      <c r="P252" s="153">
        <v>18863</v>
      </c>
      <c r="Q252" s="153">
        <v>230165</v>
      </c>
      <c r="R252" s="153"/>
      <c r="S252" s="153"/>
      <c r="T252" s="153"/>
      <c r="U252" s="153"/>
      <c r="V252" s="153"/>
      <c r="W252" s="153"/>
      <c r="X252" s="153"/>
      <c r="Y252" s="153"/>
      <c r="Z252" s="153"/>
      <c r="AA252" s="153"/>
      <c r="AB252" s="153"/>
      <c r="AC252" s="153"/>
      <c r="AD252" s="153"/>
      <c r="AE252" s="153"/>
      <c r="AF252" s="153"/>
      <c r="AG252" s="153"/>
      <c r="AH252" s="153"/>
      <c r="AI252" s="153"/>
    </row>
    <row r="253" spans="1:35" x14ac:dyDescent="0.25">
      <c r="A253" t="s">
        <v>373</v>
      </c>
      <c r="B253" s="153">
        <v>1659600896.106849</v>
      </c>
      <c r="C253" s="153">
        <v>1380652089.828459</v>
      </c>
      <c r="D253" s="153">
        <v>29968754</v>
      </c>
      <c r="E253" s="153">
        <v>110162014</v>
      </c>
      <c r="F253" s="153">
        <v>53407895</v>
      </c>
      <c r="G253" s="153">
        <v>85410143.278389901</v>
      </c>
      <c r="H253" s="153">
        <v>541867944</v>
      </c>
      <c r="I253" s="153">
        <v>88472</v>
      </c>
      <c r="J253" s="153">
        <v>54057724.200000003</v>
      </c>
      <c r="K253" s="153"/>
      <c r="L253" s="153">
        <f t="shared" si="6"/>
        <v>3320848</v>
      </c>
      <c r="M253" s="153">
        <v>153150</v>
      </c>
      <c r="N253" s="153">
        <v>3473998</v>
      </c>
      <c r="O253" s="153">
        <f t="shared" si="7"/>
        <v>3224846</v>
      </c>
      <c r="P253" s="153">
        <v>262153</v>
      </c>
      <c r="Q253" s="153">
        <v>3486999</v>
      </c>
      <c r="R253" s="153"/>
      <c r="S253" s="153"/>
      <c r="T253" s="153"/>
      <c r="U253" s="153"/>
      <c r="V253" s="153"/>
      <c r="W253" s="153"/>
      <c r="X253" s="153"/>
      <c r="Y253" s="153"/>
      <c r="Z253" s="153"/>
      <c r="AA253" s="153"/>
      <c r="AB253" s="153"/>
      <c r="AC253" s="153"/>
      <c r="AD253" s="153"/>
      <c r="AE253" s="153"/>
      <c r="AF253" s="153"/>
      <c r="AG253" s="153"/>
      <c r="AH253" s="153"/>
      <c r="AI253" s="153"/>
    </row>
    <row r="254" spans="1:35" x14ac:dyDescent="0.25">
      <c r="A254" t="s">
        <v>250</v>
      </c>
      <c r="B254" s="153">
        <v>2468791.0218320615</v>
      </c>
      <c r="C254" s="153">
        <v>2390780.0218320615</v>
      </c>
      <c r="D254" s="153">
        <v>44898</v>
      </c>
      <c r="E254" s="153">
        <v>0</v>
      </c>
      <c r="F254" s="153">
        <v>28733</v>
      </c>
      <c r="G254" s="153">
        <v>4380</v>
      </c>
      <c r="H254" s="153">
        <v>78995</v>
      </c>
      <c r="I254" s="153">
        <v>0</v>
      </c>
      <c r="J254" s="153">
        <v>54060.800000000003</v>
      </c>
      <c r="K254" s="153"/>
      <c r="L254" s="153">
        <f t="shared" si="6"/>
        <v>4568</v>
      </c>
      <c r="M254">
        <v>170</v>
      </c>
      <c r="N254" s="153">
        <v>4738</v>
      </c>
      <c r="O254" s="153">
        <f t="shared" si="7"/>
        <v>5503</v>
      </c>
      <c r="P254">
        <v>191</v>
      </c>
      <c r="Q254" s="153">
        <v>5694</v>
      </c>
      <c r="R254" s="153"/>
      <c r="S254" s="153"/>
      <c r="T254" s="153"/>
      <c r="U254" s="153"/>
      <c r="V254" s="153"/>
      <c r="W254" s="153"/>
      <c r="X254" s="153"/>
      <c r="Y254" s="153"/>
      <c r="Z254" s="153"/>
      <c r="AA254" s="153"/>
      <c r="AB254" s="153"/>
      <c r="AC254" s="153"/>
      <c r="AD254" s="153"/>
      <c r="AE254" s="153"/>
      <c r="AF254" s="153"/>
      <c r="AG254" s="153"/>
      <c r="AH254" s="153"/>
      <c r="AI254" s="153"/>
    </row>
    <row r="255" spans="1:35" x14ac:dyDescent="0.25">
      <c r="A255" t="s">
        <v>446</v>
      </c>
      <c r="B255" s="153">
        <v>34402147.823476128</v>
      </c>
      <c r="C255" s="153">
        <v>27483766.823476128</v>
      </c>
      <c r="D255" s="153">
        <v>352841</v>
      </c>
      <c r="E255" s="153">
        <v>0</v>
      </c>
      <c r="F255" s="153">
        <v>6354510</v>
      </c>
      <c r="G255" s="153">
        <v>211030</v>
      </c>
      <c r="H255" s="153">
        <v>4570648</v>
      </c>
      <c r="I255" s="153">
        <v>791</v>
      </c>
      <c r="J255" s="153">
        <v>515257.31</v>
      </c>
      <c r="K255" s="153"/>
      <c r="L255" s="153">
        <f t="shared" si="6"/>
        <v>52108</v>
      </c>
      <c r="M255" s="153">
        <v>3890</v>
      </c>
      <c r="N255" s="153">
        <v>55998</v>
      </c>
      <c r="O255" s="153">
        <f t="shared" si="7"/>
        <v>52159</v>
      </c>
      <c r="P255" s="153">
        <v>3753</v>
      </c>
      <c r="Q255" s="153">
        <v>55912</v>
      </c>
      <c r="R255" s="153"/>
      <c r="S255" s="153"/>
      <c r="T255" s="153"/>
      <c r="U255" s="153"/>
      <c r="V255" s="153"/>
      <c r="W255" s="153"/>
      <c r="X255" s="153"/>
      <c r="Y255" s="153"/>
      <c r="Z255" s="153"/>
      <c r="AA255" s="153"/>
      <c r="AB255" s="153"/>
      <c r="AC255" s="153"/>
      <c r="AD255" s="153"/>
      <c r="AE255" s="153"/>
      <c r="AF255" s="153"/>
      <c r="AG255" s="153"/>
      <c r="AH255" s="153"/>
      <c r="AI255" s="153"/>
    </row>
    <row r="256" spans="1:35" x14ac:dyDescent="0.25">
      <c r="A256" t="s">
        <v>320</v>
      </c>
      <c r="B256" s="153">
        <v>63949623.979674019</v>
      </c>
      <c r="C256" s="153">
        <v>57876638.979674019</v>
      </c>
      <c r="D256" s="153">
        <v>1144357</v>
      </c>
      <c r="E256" s="153">
        <v>0</v>
      </c>
      <c r="F256" s="153">
        <v>4382814</v>
      </c>
      <c r="G256" s="153">
        <v>545814</v>
      </c>
      <c r="H256" s="153">
        <v>8963968</v>
      </c>
      <c r="I256" s="153">
        <v>11854</v>
      </c>
      <c r="J256" s="153">
        <v>166291.24</v>
      </c>
      <c r="K256" s="153"/>
      <c r="L256" s="153">
        <f t="shared" si="6"/>
        <v>111331</v>
      </c>
      <c r="M256" s="153">
        <v>18353</v>
      </c>
      <c r="N256" s="153">
        <v>129684</v>
      </c>
      <c r="O256" s="153">
        <f t="shared" si="7"/>
        <v>109416</v>
      </c>
      <c r="P256" s="153">
        <v>12466</v>
      </c>
      <c r="Q256" s="153">
        <v>121882</v>
      </c>
      <c r="R256" s="153"/>
      <c r="S256" s="153"/>
      <c r="T256" s="153"/>
      <c r="U256" s="153"/>
      <c r="V256" s="153"/>
      <c r="W256" s="153"/>
      <c r="X256" s="153"/>
      <c r="Y256" s="153"/>
      <c r="Z256" s="153"/>
      <c r="AA256" s="153"/>
      <c r="AB256" s="153"/>
      <c r="AC256" s="153"/>
      <c r="AD256" s="153"/>
      <c r="AE256" s="153"/>
      <c r="AF256" s="153"/>
      <c r="AG256" s="153"/>
      <c r="AH256" s="153"/>
      <c r="AI256" s="153"/>
    </row>
    <row r="257" spans="1:35" x14ac:dyDescent="0.25">
      <c r="A257" t="s">
        <v>251</v>
      </c>
      <c r="B257" s="153">
        <v>10990478.355845796</v>
      </c>
      <c r="C257" s="153">
        <v>10675227.355845796</v>
      </c>
      <c r="D257" s="153">
        <v>74777</v>
      </c>
      <c r="E257" s="153">
        <v>0</v>
      </c>
      <c r="F257" s="153">
        <v>181525</v>
      </c>
      <c r="G257" s="153">
        <v>58949</v>
      </c>
      <c r="H257" s="153">
        <v>1009200</v>
      </c>
      <c r="I257" s="153">
        <v>30</v>
      </c>
      <c r="J257" s="153">
        <v>77229.929999999993</v>
      </c>
      <c r="K257" s="153"/>
      <c r="L257" s="153">
        <f t="shared" si="6"/>
        <v>17544</v>
      </c>
      <c r="M257" s="153">
        <v>1315</v>
      </c>
      <c r="N257" s="153">
        <v>18859</v>
      </c>
      <c r="O257" s="153">
        <f t="shared" si="7"/>
        <v>20897</v>
      </c>
      <c r="P257" s="153">
        <v>1229</v>
      </c>
      <c r="Q257" s="153">
        <v>22126</v>
      </c>
      <c r="R257" s="153"/>
      <c r="S257" s="153"/>
      <c r="T257" s="153"/>
      <c r="U257" s="153"/>
      <c r="V257" s="153"/>
      <c r="W257" s="153"/>
      <c r="X257" s="153"/>
      <c r="Y257" s="153"/>
      <c r="Z257" s="153"/>
      <c r="AA257" s="153"/>
      <c r="AB257" s="153"/>
      <c r="AC257" s="153"/>
      <c r="AD257" s="153"/>
      <c r="AE257" s="153"/>
      <c r="AF257" s="153"/>
      <c r="AG257" s="153"/>
      <c r="AH257" s="153"/>
      <c r="AI257" s="153"/>
    </row>
    <row r="258" spans="1:35" x14ac:dyDescent="0.25">
      <c r="A258" t="s">
        <v>374</v>
      </c>
      <c r="B258" s="153">
        <v>146258626.18031958</v>
      </c>
      <c r="C258" s="153">
        <v>131343218.18031958</v>
      </c>
      <c r="D258" s="153">
        <v>2001777</v>
      </c>
      <c r="E258" s="153">
        <v>0</v>
      </c>
      <c r="F258" s="153">
        <v>10971086</v>
      </c>
      <c r="G258" s="153">
        <v>1942545</v>
      </c>
      <c r="H258" s="153">
        <v>40569759</v>
      </c>
      <c r="I258" s="153">
        <v>1709</v>
      </c>
      <c r="J258" s="153">
        <v>6282421.8700000001</v>
      </c>
      <c r="K258" s="153"/>
      <c r="L258" s="153">
        <f t="shared" si="6"/>
        <v>295846</v>
      </c>
      <c r="M258" s="153">
        <v>22617</v>
      </c>
      <c r="N258" s="153">
        <v>318463</v>
      </c>
      <c r="O258" s="153">
        <f t="shared" si="7"/>
        <v>274359</v>
      </c>
      <c r="P258" s="153">
        <v>23704</v>
      </c>
      <c r="Q258" s="153">
        <v>298063</v>
      </c>
      <c r="R258" s="153"/>
      <c r="S258" s="153"/>
      <c r="T258" s="153"/>
      <c r="U258" s="153"/>
      <c r="V258" s="153"/>
      <c r="W258" s="153"/>
      <c r="X258" s="153"/>
      <c r="Y258" s="153"/>
      <c r="Z258" s="153"/>
      <c r="AA258" s="153"/>
      <c r="AB258" s="153"/>
      <c r="AC258" s="153"/>
      <c r="AD258" s="153"/>
      <c r="AE258" s="153"/>
      <c r="AF258" s="153"/>
      <c r="AG258" s="153"/>
      <c r="AH258" s="153"/>
      <c r="AI258" s="153"/>
    </row>
    <row r="259" spans="1:35" x14ac:dyDescent="0.25">
      <c r="A259" t="s">
        <v>179</v>
      </c>
      <c r="B259" s="153">
        <v>2897163.1241262453</v>
      </c>
      <c r="C259" s="153">
        <v>2866410.1241262453</v>
      </c>
      <c r="D259" s="153">
        <v>4747</v>
      </c>
      <c r="E259" s="153">
        <v>0</v>
      </c>
      <c r="F259" s="153">
        <v>8496</v>
      </c>
      <c r="G259" s="153">
        <v>17510</v>
      </c>
      <c r="H259" s="153">
        <v>145745</v>
      </c>
      <c r="I259" s="153">
        <v>0</v>
      </c>
      <c r="J259" s="153">
        <v>54060.800000000003</v>
      </c>
      <c r="K259" s="153"/>
      <c r="L259" s="153">
        <f t="shared" ref="L259:L322" si="8">SUM(-M259,N259)</f>
        <v>6831</v>
      </c>
      <c r="M259">
        <v>252</v>
      </c>
      <c r="N259" s="153">
        <v>7083</v>
      </c>
      <c r="O259" s="153">
        <f t="shared" ref="O259:O322" si="9">SUM(-P259,Q259)</f>
        <v>6683</v>
      </c>
      <c r="P259">
        <v>137</v>
      </c>
      <c r="Q259" s="153">
        <v>6820</v>
      </c>
      <c r="R259" s="153"/>
      <c r="S259" s="153"/>
      <c r="T259" s="153"/>
      <c r="U259" s="153"/>
      <c r="V259" s="153"/>
      <c r="W259" s="153"/>
      <c r="X259" s="153"/>
      <c r="Y259" s="153"/>
      <c r="Z259" s="153"/>
      <c r="AA259" s="153"/>
      <c r="AB259" s="153"/>
      <c r="AC259" s="153"/>
      <c r="AD259" s="153"/>
      <c r="AE259" s="153"/>
      <c r="AF259" s="153"/>
      <c r="AG259" s="153"/>
      <c r="AH259" s="153"/>
      <c r="AI259" s="153"/>
    </row>
    <row r="260" spans="1:35" x14ac:dyDescent="0.25">
      <c r="A260" t="s">
        <v>396</v>
      </c>
      <c r="B260" s="153">
        <v>51611120.307913736</v>
      </c>
      <c r="C260" s="153">
        <v>44974089.307913736</v>
      </c>
      <c r="D260" s="153">
        <v>1318680</v>
      </c>
      <c r="E260" s="153">
        <v>0</v>
      </c>
      <c r="F260" s="153">
        <v>4742888</v>
      </c>
      <c r="G260" s="153">
        <v>575463</v>
      </c>
      <c r="H260" s="153">
        <v>6575103</v>
      </c>
      <c r="I260" s="153">
        <v>8487</v>
      </c>
      <c r="J260" s="153">
        <v>293186.28999999998</v>
      </c>
      <c r="K260" s="153"/>
      <c r="L260" s="153">
        <f t="shared" si="8"/>
        <v>107203</v>
      </c>
      <c r="M260" s="153">
        <v>4670</v>
      </c>
      <c r="N260" s="153">
        <v>111873</v>
      </c>
      <c r="O260" s="153">
        <f t="shared" si="9"/>
        <v>101199</v>
      </c>
      <c r="P260" s="153">
        <v>4089</v>
      </c>
      <c r="Q260" s="153">
        <v>105288</v>
      </c>
      <c r="R260" s="153"/>
      <c r="S260" s="153"/>
      <c r="T260" s="153"/>
      <c r="U260" s="153"/>
      <c r="V260" s="153"/>
      <c r="W260" s="153"/>
      <c r="X260" s="153"/>
      <c r="Y260" s="153"/>
      <c r="Z260" s="153"/>
      <c r="AA260" s="153"/>
      <c r="AB260" s="153"/>
      <c r="AC260" s="153"/>
      <c r="AD260" s="153"/>
      <c r="AE260" s="153"/>
      <c r="AF260" s="153"/>
      <c r="AG260" s="153"/>
      <c r="AH260" s="153"/>
      <c r="AI260" s="153"/>
    </row>
    <row r="261" spans="1:35" x14ac:dyDescent="0.25">
      <c r="A261" t="s">
        <v>511</v>
      </c>
      <c r="B261" s="153">
        <v>1291168446.1804161</v>
      </c>
      <c r="C261" s="153">
        <v>1093282976.8306308</v>
      </c>
      <c r="D261" s="153">
        <v>16581150</v>
      </c>
      <c r="E261" s="153">
        <v>81457502</v>
      </c>
      <c r="F261" s="153">
        <v>44044289</v>
      </c>
      <c r="G261" s="153">
        <v>55802528.349785395</v>
      </c>
      <c r="H261" s="153">
        <v>348485529</v>
      </c>
      <c r="I261" s="153">
        <v>70892</v>
      </c>
      <c r="J261" s="153">
        <v>40082907.859999999</v>
      </c>
      <c r="K261" s="153"/>
      <c r="L261" s="153">
        <f t="shared" si="8"/>
        <v>2323809</v>
      </c>
      <c r="M261" s="153">
        <v>258930</v>
      </c>
      <c r="N261" s="153">
        <v>2582739</v>
      </c>
      <c r="O261" s="153">
        <f t="shared" si="9"/>
        <v>2135468</v>
      </c>
      <c r="P261" s="153">
        <v>311480</v>
      </c>
      <c r="Q261" s="153">
        <v>2446948</v>
      </c>
      <c r="R261" s="153"/>
      <c r="S261" s="153"/>
      <c r="T261" s="153"/>
      <c r="U261" s="153"/>
      <c r="V261" s="153"/>
      <c r="W261" s="153"/>
      <c r="X261" s="153"/>
      <c r="Y261" s="153"/>
      <c r="Z261" s="153"/>
      <c r="AA261" s="153"/>
      <c r="AB261" s="153"/>
      <c r="AC261" s="153"/>
      <c r="AD261" s="153"/>
      <c r="AE261" s="153"/>
      <c r="AF261" s="153"/>
      <c r="AG261" s="153"/>
      <c r="AH261" s="153"/>
      <c r="AI261" s="153"/>
    </row>
    <row r="262" spans="1:35" x14ac:dyDescent="0.25">
      <c r="A262" t="s">
        <v>551</v>
      </c>
      <c r="B262" s="153">
        <v>283241422.11600924</v>
      </c>
      <c r="C262" s="153">
        <v>212869671.74990058</v>
      </c>
      <c r="D262" s="153">
        <v>4895083</v>
      </c>
      <c r="E262" s="153">
        <v>29501114</v>
      </c>
      <c r="F262" s="153">
        <v>23082034</v>
      </c>
      <c r="G262" s="153">
        <v>12893519.36610866</v>
      </c>
      <c r="H262" s="153">
        <v>58249728</v>
      </c>
      <c r="I262" s="153">
        <v>19365</v>
      </c>
      <c r="J262" s="153">
        <v>4352783.66</v>
      </c>
      <c r="K262" s="153"/>
      <c r="L262" s="153">
        <f t="shared" si="8"/>
        <v>759786</v>
      </c>
      <c r="M262" s="153">
        <v>24200</v>
      </c>
      <c r="N262" s="153">
        <v>783986</v>
      </c>
      <c r="O262" s="153">
        <f t="shared" si="9"/>
        <v>720627</v>
      </c>
      <c r="P262" s="153">
        <v>27004</v>
      </c>
      <c r="Q262" s="153">
        <v>747631</v>
      </c>
      <c r="R262" s="153"/>
      <c r="S262" s="153"/>
      <c r="T262" s="153"/>
      <c r="U262" s="153"/>
      <c r="V262" s="153"/>
      <c r="W262" s="153"/>
      <c r="X262" s="153"/>
      <c r="Y262" s="153"/>
      <c r="Z262" s="153"/>
      <c r="AA262" s="153"/>
      <c r="AB262" s="153"/>
      <c r="AC262" s="153"/>
      <c r="AD262" s="153"/>
      <c r="AE262" s="153"/>
      <c r="AF262" s="153"/>
      <c r="AG262" s="153"/>
      <c r="AH262" s="153"/>
      <c r="AI262" s="153"/>
    </row>
    <row r="263" spans="1:35" x14ac:dyDescent="0.25">
      <c r="A263" t="s">
        <v>485</v>
      </c>
      <c r="B263" s="153">
        <v>16807606.989482895</v>
      </c>
      <c r="C263" s="153">
        <v>13466487.989482895</v>
      </c>
      <c r="D263" s="153">
        <v>881570</v>
      </c>
      <c r="E263" s="153">
        <v>0</v>
      </c>
      <c r="F263" s="153">
        <v>2383495</v>
      </c>
      <c r="G263" s="153">
        <v>76054</v>
      </c>
      <c r="H263" s="153">
        <v>1939374</v>
      </c>
      <c r="I263" s="153">
        <v>1231</v>
      </c>
      <c r="J263" s="153">
        <v>87061.47</v>
      </c>
      <c r="K263" s="153"/>
      <c r="L263" s="153">
        <f t="shared" si="8"/>
        <v>25349</v>
      </c>
      <c r="M263">
        <v>339</v>
      </c>
      <c r="N263" s="153">
        <v>25688</v>
      </c>
      <c r="O263" s="153">
        <f t="shared" si="9"/>
        <v>24581</v>
      </c>
      <c r="P263">
        <v>396</v>
      </c>
      <c r="Q263" s="153">
        <v>24977</v>
      </c>
      <c r="R263" s="153"/>
      <c r="S263" s="153"/>
      <c r="T263" s="153"/>
      <c r="U263" s="153"/>
      <c r="V263" s="153"/>
      <c r="W263" s="153"/>
      <c r="X263" s="153"/>
      <c r="Y263" s="153"/>
      <c r="Z263" s="153"/>
      <c r="AA263" s="153"/>
      <c r="AB263" s="153"/>
      <c r="AC263" s="153"/>
      <c r="AD263" s="153"/>
      <c r="AE263" s="153"/>
      <c r="AF263" s="153"/>
      <c r="AG263" s="153"/>
      <c r="AH263" s="153"/>
      <c r="AI263" s="153"/>
    </row>
    <row r="264" spans="1:35" x14ac:dyDescent="0.25">
      <c r="A264" t="s">
        <v>507</v>
      </c>
      <c r="B264" s="153">
        <v>16570056.733442657</v>
      </c>
      <c r="C264" s="153">
        <v>14780394.733442657</v>
      </c>
      <c r="D264" s="153">
        <v>203009</v>
      </c>
      <c r="E264" s="153">
        <v>0</v>
      </c>
      <c r="F264" s="153">
        <v>1365894</v>
      </c>
      <c r="G264" s="153">
        <v>220759</v>
      </c>
      <c r="H264" s="153">
        <v>1215326</v>
      </c>
      <c r="I264" s="153">
        <v>2453</v>
      </c>
      <c r="J264" s="153">
        <v>59664.35</v>
      </c>
      <c r="K264" s="153"/>
      <c r="L264" s="153">
        <f t="shared" si="8"/>
        <v>26508</v>
      </c>
      <c r="M264">
        <v>742</v>
      </c>
      <c r="N264" s="153">
        <v>27250</v>
      </c>
      <c r="O264" s="153">
        <f t="shared" si="9"/>
        <v>26090</v>
      </c>
      <c r="P264" s="153">
        <v>4117</v>
      </c>
      <c r="Q264" s="153">
        <v>30207</v>
      </c>
      <c r="R264" s="153"/>
      <c r="S264" s="153"/>
      <c r="T264" s="153"/>
      <c r="U264" s="153"/>
      <c r="V264" s="153"/>
      <c r="W264" s="153"/>
      <c r="X264" s="153"/>
      <c r="Y264" s="153"/>
      <c r="Z264" s="153"/>
      <c r="AA264" s="153"/>
      <c r="AB264" s="153"/>
      <c r="AC264" s="153"/>
      <c r="AD264" s="153"/>
      <c r="AE264" s="153"/>
      <c r="AF264" s="153"/>
      <c r="AG264" s="153"/>
      <c r="AH264" s="153"/>
      <c r="AI264" s="153"/>
    </row>
    <row r="265" spans="1:35" x14ac:dyDescent="0.25">
      <c r="A265" t="s">
        <v>447</v>
      </c>
      <c r="B265" s="153">
        <v>36331011.198288336</v>
      </c>
      <c r="C265" s="153">
        <v>31262796.198288333</v>
      </c>
      <c r="D265" s="153">
        <v>467068</v>
      </c>
      <c r="E265" s="153">
        <v>0</v>
      </c>
      <c r="F265" s="153">
        <v>4443913</v>
      </c>
      <c r="G265" s="153">
        <v>157234</v>
      </c>
      <c r="H265" s="153">
        <v>3573647</v>
      </c>
      <c r="I265" s="153">
        <v>1118</v>
      </c>
      <c r="J265" s="153">
        <v>129804.09</v>
      </c>
      <c r="K265" s="153"/>
      <c r="L265" s="153">
        <f t="shared" si="8"/>
        <v>68953</v>
      </c>
      <c r="M265" s="153">
        <v>2271</v>
      </c>
      <c r="N265" s="153">
        <v>71224</v>
      </c>
      <c r="O265" s="153">
        <f t="shared" si="9"/>
        <v>63119</v>
      </c>
      <c r="P265" s="153">
        <v>2558</v>
      </c>
      <c r="Q265" s="153">
        <v>65677</v>
      </c>
      <c r="R265" s="153"/>
      <c r="S265" s="153"/>
      <c r="T265" s="153"/>
      <c r="U265" s="153"/>
      <c r="V265" s="153"/>
      <c r="W265" s="153"/>
      <c r="X265" s="153"/>
      <c r="Y265" s="153"/>
      <c r="Z265" s="153"/>
      <c r="AA265" s="153"/>
      <c r="AB265" s="153"/>
      <c r="AC265" s="153"/>
      <c r="AD265" s="153"/>
      <c r="AE265" s="153"/>
      <c r="AF265" s="153"/>
      <c r="AG265" s="153"/>
      <c r="AH265" s="153"/>
      <c r="AI265" s="153"/>
    </row>
    <row r="266" spans="1:35" x14ac:dyDescent="0.25">
      <c r="A266" t="s">
        <v>486</v>
      </c>
      <c r="B266" s="153">
        <v>161261684.52745378</v>
      </c>
      <c r="C266" s="153">
        <v>143091155.52745378</v>
      </c>
      <c r="D266" s="153">
        <v>1676246</v>
      </c>
      <c r="E266" s="153">
        <v>0</v>
      </c>
      <c r="F266" s="153">
        <v>14250835</v>
      </c>
      <c r="G266" s="153">
        <v>2243448</v>
      </c>
      <c r="H266" s="153">
        <v>38691253</v>
      </c>
      <c r="I266" s="153">
        <v>13232</v>
      </c>
      <c r="J266" s="153">
        <v>1971046.37</v>
      </c>
      <c r="K266" s="153"/>
      <c r="L266" s="153">
        <f t="shared" si="8"/>
        <v>307507</v>
      </c>
      <c r="M266" s="153">
        <v>8703</v>
      </c>
      <c r="N266" s="153">
        <v>316210</v>
      </c>
      <c r="O266" s="153">
        <f t="shared" si="9"/>
        <v>297432</v>
      </c>
      <c r="P266" s="153">
        <v>19336</v>
      </c>
      <c r="Q266" s="153">
        <v>316768</v>
      </c>
      <c r="R266" s="153"/>
      <c r="S266" s="153"/>
      <c r="T266" s="153"/>
      <c r="U266" s="153"/>
      <c r="V266" s="153"/>
      <c r="W266" s="153"/>
      <c r="X266" s="153"/>
      <c r="Y266" s="153"/>
      <c r="Z266" s="153"/>
      <c r="AA266" s="153"/>
      <c r="AB266" s="153"/>
      <c r="AC266" s="153"/>
      <c r="AD266" s="153"/>
      <c r="AE266" s="153"/>
      <c r="AF266" s="153"/>
      <c r="AG266" s="153"/>
      <c r="AH266" s="153"/>
      <c r="AI266" s="153"/>
    </row>
    <row r="267" spans="1:35" x14ac:dyDescent="0.25">
      <c r="A267" t="s">
        <v>375</v>
      </c>
      <c r="B267" s="153">
        <v>38817252.5331918</v>
      </c>
      <c r="C267" s="153">
        <v>35391807.5331918</v>
      </c>
      <c r="D267" s="153">
        <v>738295</v>
      </c>
      <c r="E267" s="153">
        <v>0</v>
      </c>
      <c r="F267" s="153">
        <v>2354196</v>
      </c>
      <c r="G267" s="153">
        <v>332954</v>
      </c>
      <c r="H267" s="153">
        <v>6632586</v>
      </c>
      <c r="I267" s="153">
        <v>1826</v>
      </c>
      <c r="J267" s="153">
        <v>619816.62</v>
      </c>
      <c r="K267" s="153"/>
      <c r="L267" s="153">
        <f t="shared" si="8"/>
        <v>68088</v>
      </c>
      <c r="M267" s="153">
        <v>2006</v>
      </c>
      <c r="N267" s="153">
        <v>70094</v>
      </c>
      <c r="O267" s="153">
        <f t="shared" si="9"/>
        <v>61552</v>
      </c>
      <c r="P267" s="153">
        <v>1725</v>
      </c>
      <c r="Q267" s="153">
        <v>63277</v>
      </c>
      <c r="R267" s="153"/>
      <c r="S267" s="153"/>
      <c r="T267" s="153"/>
      <c r="U267" s="153"/>
      <c r="V267" s="153"/>
      <c r="W267" s="153"/>
      <c r="X267" s="153"/>
      <c r="Y267" s="153"/>
      <c r="Z267" s="153"/>
      <c r="AA267" s="153"/>
      <c r="AB267" s="153"/>
      <c r="AC267" s="153"/>
      <c r="AD267" s="153"/>
      <c r="AE267" s="153"/>
      <c r="AF267" s="153"/>
      <c r="AG267" s="153"/>
      <c r="AH267" s="153"/>
      <c r="AI267" s="153"/>
    </row>
    <row r="268" spans="1:35" x14ac:dyDescent="0.25">
      <c r="A268" t="s">
        <v>397</v>
      </c>
      <c r="B268" s="153">
        <v>36341773.487404115</v>
      </c>
      <c r="C268" s="153">
        <v>32917947.487404115</v>
      </c>
      <c r="D268" s="153">
        <v>793186</v>
      </c>
      <c r="E268" s="153">
        <v>0</v>
      </c>
      <c r="F268" s="153">
        <v>2162049</v>
      </c>
      <c r="G268" s="153">
        <v>468591</v>
      </c>
      <c r="H268" s="153">
        <v>4622171</v>
      </c>
      <c r="I268" s="153">
        <v>6646</v>
      </c>
      <c r="J268" s="153">
        <v>261092.47</v>
      </c>
      <c r="K268" s="153"/>
      <c r="L268" s="153">
        <f t="shared" si="8"/>
        <v>70070</v>
      </c>
      <c r="M268" s="153">
        <v>2835</v>
      </c>
      <c r="N268" s="153">
        <v>72905</v>
      </c>
      <c r="O268" s="153">
        <f t="shared" si="9"/>
        <v>68451</v>
      </c>
      <c r="P268" s="153">
        <v>1743</v>
      </c>
      <c r="Q268" s="153">
        <v>70194</v>
      </c>
      <c r="R268" s="153"/>
      <c r="S268" s="153"/>
      <c r="T268" s="153"/>
      <c r="U268" s="153"/>
      <c r="V268" s="153"/>
      <c r="W268" s="153"/>
      <c r="X268" s="153"/>
      <c r="Y268" s="153"/>
      <c r="Z268" s="153"/>
      <c r="AA268" s="153"/>
      <c r="AB268" s="153"/>
      <c r="AC268" s="153"/>
      <c r="AD268" s="153"/>
      <c r="AE268" s="153"/>
      <c r="AF268" s="153"/>
      <c r="AG268" s="153"/>
      <c r="AH268" s="153"/>
      <c r="AI268" s="153"/>
    </row>
    <row r="269" spans="1:35" x14ac:dyDescent="0.25">
      <c r="A269" t="s">
        <v>180</v>
      </c>
      <c r="B269" s="153">
        <v>106999589.58189237</v>
      </c>
      <c r="C269" s="153">
        <v>89082764.581892371</v>
      </c>
      <c r="D269" s="153">
        <v>6443359</v>
      </c>
      <c r="E269" s="153">
        <v>0</v>
      </c>
      <c r="F269" s="153">
        <v>10679509</v>
      </c>
      <c r="G269" s="153">
        <v>793957</v>
      </c>
      <c r="H269" s="153">
        <v>25459947</v>
      </c>
      <c r="I269" s="153">
        <v>11091</v>
      </c>
      <c r="J269" s="153">
        <v>935948.08</v>
      </c>
      <c r="K269" s="153"/>
      <c r="L269" s="153">
        <f t="shared" si="8"/>
        <v>178306</v>
      </c>
      <c r="M269" s="153">
        <v>20538</v>
      </c>
      <c r="N269" s="153">
        <v>198844</v>
      </c>
      <c r="O269" s="153">
        <f t="shared" si="9"/>
        <v>172641</v>
      </c>
      <c r="P269" s="153">
        <v>30420</v>
      </c>
      <c r="Q269" s="153">
        <v>203061</v>
      </c>
      <c r="R269" s="153"/>
      <c r="S269" s="153"/>
      <c r="T269" s="153"/>
      <c r="U269" s="153"/>
      <c r="V269" s="153"/>
      <c r="W269" s="153"/>
      <c r="X269" s="153"/>
      <c r="Y269" s="153"/>
      <c r="Z269" s="153"/>
      <c r="AA269" s="153"/>
      <c r="AB269" s="153"/>
      <c r="AC269" s="153"/>
      <c r="AD269" s="153"/>
      <c r="AE269" s="153"/>
      <c r="AF269" s="153"/>
      <c r="AG269" s="153"/>
      <c r="AH269" s="153"/>
      <c r="AI269" s="153"/>
    </row>
    <row r="270" spans="1:35" x14ac:dyDescent="0.25">
      <c r="A270" t="s">
        <v>277</v>
      </c>
      <c r="B270" s="153">
        <v>58834036.976209745</v>
      </c>
      <c r="C270" s="153">
        <v>54446409.976209745</v>
      </c>
      <c r="D270" s="153">
        <v>1078360</v>
      </c>
      <c r="E270" s="153">
        <v>0</v>
      </c>
      <c r="F270" s="153">
        <v>2889678</v>
      </c>
      <c r="G270" s="153">
        <v>419589</v>
      </c>
      <c r="H270" s="153">
        <v>10836625</v>
      </c>
      <c r="I270" s="153">
        <v>7657</v>
      </c>
      <c r="J270" s="153">
        <v>1038757.46</v>
      </c>
      <c r="K270" s="153"/>
      <c r="L270" s="153">
        <f t="shared" si="8"/>
        <v>114136</v>
      </c>
      <c r="M270" s="153">
        <v>6428</v>
      </c>
      <c r="N270" s="153">
        <v>120564</v>
      </c>
      <c r="O270" s="153">
        <f t="shared" si="9"/>
        <v>100208</v>
      </c>
      <c r="P270" s="153">
        <v>10106</v>
      </c>
      <c r="Q270" s="153">
        <v>110314</v>
      </c>
      <c r="R270" s="153"/>
      <c r="S270" s="153"/>
      <c r="T270" s="153"/>
      <c r="U270" s="153"/>
      <c r="V270" s="153"/>
      <c r="W270" s="153"/>
      <c r="X270" s="153"/>
      <c r="Y270" s="153"/>
      <c r="Z270" s="153"/>
      <c r="AA270" s="153"/>
      <c r="AB270" s="153"/>
      <c r="AC270" s="153"/>
      <c r="AD270" s="153"/>
      <c r="AE270" s="153"/>
      <c r="AF270" s="153"/>
      <c r="AG270" s="153"/>
      <c r="AH270" s="153"/>
      <c r="AI270" s="153"/>
    </row>
    <row r="271" spans="1:35" x14ac:dyDescent="0.25">
      <c r="A271" t="s">
        <v>448</v>
      </c>
      <c r="B271" s="153">
        <v>24280665.601050206</v>
      </c>
      <c r="C271" s="153">
        <v>21793280.601050206</v>
      </c>
      <c r="D271" s="153">
        <v>560382</v>
      </c>
      <c r="E271" s="153">
        <v>0</v>
      </c>
      <c r="F271" s="153">
        <v>1800974</v>
      </c>
      <c r="G271" s="153">
        <v>126029</v>
      </c>
      <c r="H271" s="153">
        <v>3016491</v>
      </c>
      <c r="I271" s="153">
        <v>3865</v>
      </c>
      <c r="J271" s="153">
        <v>137641.15</v>
      </c>
      <c r="K271" s="153"/>
      <c r="L271" s="153">
        <f t="shared" si="8"/>
        <v>49754</v>
      </c>
      <c r="M271" s="153">
        <v>6756</v>
      </c>
      <c r="N271" s="153">
        <v>56510</v>
      </c>
      <c r="O271" s="153">
        <f t="shared" si="9"/>
        <v>43459</v>
      </c>
      <c r="P271" s="153">
        <v>4812</v>
      </c>
      <c r="Q271" s="153">
        <v>48271</v>
      </c>
      <c r="R271" s="153"/>
      <c r="S271" s="153"/>
      <c r="T271" s="153"/>
      <c r="U271" s="153"/>
      <c r="V271" s="153"/>
      <c r="W271" s="153"/>
      <c r="X271" s="153"/>
      <c r="Y271" s="153"/>
      <c r="Z271" s="153"/>
      <c r="AA271" s="153"/>
      <c r="AB271" s="153"/>
      <c r="AC271" s="153"/>
      <c r="AD271" s="153"/>
      <c r="AE271" s="153"/>
      <c r="AF271" s="153"/>
      <c r="AG271" s="153"/>
      <c r="AH271" s="153"/>
      <c r="AI271" s="153"/>
    </row>
    <row r="272" spans="1:35" x14ac:dyDescent="0.25">
      <c r="A272" t="s">
        <v>449</v>
      </c>
      <c r="B272" s="153">
        <v>18543114.812992718</v>
      </c>
      <c r="C272" s="153">
        <v>17216274.812992718</v>
      </c>
      <c r="D272" s="153">
        <v>296269</v>
      </c>
      <c r="E272" s="153">
        <v>0</v>
      </c>
      <c r="F272" s="153">
        <v>901596</v>
      </c>
      <c r="G272" s="153">
        <v>128975</v>
      </c>
      <c r="H272" s="153">
        <v>2952698</v>
      </c>
      <c r="I272" s="153">
        <v>1204</v>
      </c>
      <c r="J272" s="153">
        <v>63166.27</v>
      </c>
      <c r="K272" s="153"/>
      <c r="L272" s="153">
        <f t="shared" si="8"/>
        <v>43993</v>
      </c>
      <c r="M272" s="153">
        <v>3073</v>
      </c>
      <c r="N272" s="153">
        <v>47066</v>
      </c>
      <c r="O272" s="153">
        <f t="shared" si="9"/>
        <v>41484</v>
      </c>
      <c r="P272" s="153">
        <v>7779</v>
      </c>
      <c r="Q272" s="153">
        <v>49263</v>
      </c>
      <c r="R272" s="153"/>
      <c r="S272" s="153"/>
      <c r="T272" s="153"/>
      <c r="U272" s="153"/>
      <c r="V272" s="153"/>
      <c r="W272" s="153"/>
      <c r="X272" s="153"/>
      <c r="Y272" s="153"/>
      <c r="Z272" s="153"/>
      <c r="AA272" s="153"/>
      <c r="AB272" s="153"/>
      <c r="AC272" s="153"/>
      <c r="AD272" s="153"/>
      <c r="AE272" s="153"/>
      <c r="AF272" s="153"/>
      <c r="AG272" s="153"/>
      <c r="AH272" s="153"/>
      <c r="AI272" s="153"/>
    </row>
    <row r="273" spans="1:35" x14ac:dyDescent="0.25">
      <c r="A273" t="s">
        <v>159</v>
      </c>
      <c r="B273" s="153">
        <v>75559477.081836671</v>
      </c>
      <c r="C273" s="153">
        <v>54696977.081836671</v>
      </c>
      <c r="D273" s="153">
        <v>3219972</v>
      </c>
      <c r="E273" s="153">
        <v>0</v>
      </c>
      <c r="F273" s="153">
        <v>17034252</v>
      </c>
      <c r="G273" s="153">
        <v>608276</v>
      </c>
      <c r="H273" s="153">
        <v>13729409</v>
      </c>
      <c r="I273" s="153">
        <v>11724</v>
      </c>
      <c r="J273" s="153">
        <v>759478.68</v>
      </c>
      <c r="K273" s="153"/>
      <c r="L273" s="153">
        <f t="shared" si="8"/>
        <v>113075</v>
      </c>
      <c r="M273" s="153">
        <v>7189</v>
      </c>
      <c r="N273" s="153">
        <v>120264</v>
      </c>
      <c r="O273" s="153">
        <f t="shared" si="9"/>
        <v>107890</v>
      </c>
      <c r="P273" s="153">
        <v>3540</v>
      </c>
      <c r="Q273" s="153">
        <v>111430</v>
      </c>
      <c r="R273" s="153"/>
      <c r="S273" s="153"/>
      <c r="T273" s="153"/>
      <c r="U273" s="153"/>
      <c r="V273" s="153"/>
      <c r="W273" s="153"/>
      <c r="X273" s="153"/>
      <c r="Y273" s="153"/>
      <c r="Z273" s="153"/>
      <c r="AA273" s="153"/>
      <c r="AB273" s="153"/>
      <c r="AC273" s="153"/>
      <c r="AD273" s="153"/>
      <c r="AE273" s="153"/>
      <c r="AF273" s="153"/>
      <c r="AG273" s="153"/>
      <c r="AH273" s="153"/>
      <c r="AI273" s="153"/>
    </row>
    <row r="274" spans="1:35" x14ac:dyDescent="0.25">
      <c r="A274" t="s">
        <v>202</v>
      </c>
      <c r="B274" s="153">
        <v>20424652.956055146</v>
      </c>
      <c r="C274" s="153">
        <v>18741833.956055146</v>
      </c>
      <c r="D274" s="153">
        <v>296988</v>
      </c>
      <c r="E274" s="153">
        <v>0</v>
      </c>
      <c r="F274" s="153">
        <v>1202885</v>
      </c>
      <c r="G274" s="153">
        <v>182946</v>
      </c>
      <c r="H274" s="153">
        <v>2046665</v>
      </c>
      <c r="I274" s="153">
        <v>1388</v>
      </c>
      <c r="J274" s="153">
        <v>339224.02</v>
      </c>
      <c r="K274" s="153"/>
      <c r="L274" s="153">
        <f t="shared" si="8"/>
        <v>34294</v>
      </c>
      <c r="M274" s="153">
        <v>2769</v>
      </c>
      <c r="N274" s="153">
        <v>37063</v>
      </c>
      <c r="O274" s="153">
        <f t="shared" si="9"/>
        <v>33685</v>
      </c>
      <c r="P274" s="153">
        <v>3132</v>
      </c>
      <c r="Q274" s="153">
        <v>36817</v>
      </c>
      <c r="R274" s="153"/>
      <c r="S274" s="153"/>
      <c r="T274" s="153"/>
      <c r="U274" s="153"/>
      <c r="V274" s="153"/>
      <c r="W274" s="153"/>
      <c r="X274" s="153"/>
      <c r="Y274" s="153"/>
      <c r="Z274" s="153"/>
      <c r="AA274" s="153"/>
      <c r="AB274" s="153"/>
      <c r="AC274" s="153"/>
      <c r="AD274" s="153"/>
      <c r="AE274" s="153"/>
      <c r="AF274" s="153"/>
      <c r="AG274" s="153"/>
      <c r="AH274" s="153"/>
      <c r="AI274" s="153"/>
    </row>
    <row r="275" spans="1:35" x14ac:dyDescent="0.25">
      <c r="A275" t="s">
        <v>321</v>
      </c>
      <c r="B275" s="153">
        <v>30894726.426815223</v>
      </c>
      <c r="C275" s="153">
        <v>27783671.426815223</v>
      </c>
      <c r="D275" s="153">
        <v>904100</v>
      </c>
      <c r="E275" s="153">
        <v>0</v>
      </c>
      <c r="F275" s="153">
        <v>2029567</v>
      </c>
      <c r="G275" s="153">
        <v>177388</v>
      </c>
      <c r="H275" s="153">
        <v>3851990</v>
      </c>
      <c r="I275" s="153">
        <v>900</v>
      </c>
      <c r="J275" s="153">
        <v>396544.81</v>
      </c>
      <c r="K275" s="153"/>
      <c r="L275" s="153">
        <f t="shared" si="8"/>
        <v>47331</v>
      </c>
      <c r="M275" s="153">
        <v>1473</v>
      </c>
      <c r="N275" s="153">
        <v>48804</v>
      </c>
      <c r="O275" s="153">
        <f t="shared" si="9"/>
        <v>44052</v>
      </c>
      <c r="P275" s="153">
        <v>1579</v>
      </c>
      <c r="Q275" s="153">
        <v>45631</v>
      </c>
      <c r="R275" s="153"/>
      <c r="S275" s="153"/>
      <c r="T275" s="153"/>
      <c r="U275" s="153"/>
      <c r="V275" s="153"/>
      <c r="W275" s="153"/>
      <c r="X275" s="153"/>
      <c r="Y275" s="153"/>
      <c r="Z275" s="153"/>
      <c r="AA275" s="153"/>
      <c r="AB275" s="153"/>
      <c r="AC275" s="153"/>
      <c r="AD275" s="153"/>
      <c r="AE275" s="153"/>
      <c r="AF275" s="153"/>
      <c r="AG275" s="153"/>
      <c r="AH275" s="153"/>
      <c r="AI275" s="153"/>
    </row>
    <row r="276" spans="1:35" x14ac:dyDescent="0.25">
      <c r="A276" t="s">
        <v>450</v>
      </c>
      <c r="B276" s="153">
        <v>35684767.908319488</v>
      </c>
      <c r="C276" s="153">
        <v>31608333.908319488</v>
      </c>
      <c r="D276" s="153">
        <v>1231223</v>
      </c>
      <c r="E276" s="153">
        <v>0</v>
      </c>
      <c r="F276" s="153">
        <v>2656616</v>
      </c>
      <c r="G276" s="153">
        <v>188595</v>
      </c>
      <c r="H276" s="153">
        <v>6377480</v>
      </c>
      <c r="I276" s="153">
        <v>1087</v>
      </c>
      <c r="J276" s="153">
        <v>297540.98</v>
      </c>
      <c r="K276" s="153"/>
      <c r="L276" s="153">
        <f t="shared" si="8"/>
        <v>55854</v>
      </c>
      <c r="M276" s="153">
        <v>3999</v>
      </c>
      <c r="N276" s="153">
        <v>59853</v>
      </c>
      <c r="O276" s="153">
        <f t="shared" si="9"/>
        <v>52800</v>
      </c>
      <c r="P276" s="153">
        <v>2759</v>
      </c>
      <c r="Q276" s="153">
        <v>55559</v>
      </c>
      <c r="R276" s="153"/>
      <c r="S276" s="153"/>
      <c r="T276" s="153"/>
      <c r="U276" s="153"/>
      <c r="V276" s="153"/>
      <c r="W276" s="153"/>
      <c r="X276" s="153"/>
      <c r="Y276" s="153"/>
      <c r="Z276" s="153"/>
      <c r="AA276" s="153"/>
      <c r="AB276" s="153"/>
      <c r="AC276" s="153"/>
      <c r="AD276" s="153"/>
      <c r="AE276" s="153"/>
      <c r="AF276" s="153"/>
      <c r="AG276" s="153"/>
      <c r="AH276" s="153"/>
      <c r="AI276" s="153"/>
    </row>
    <row r="277" spans="1:35" x14ac:dyDescent="0.25">
      <c r="A277" t="s">
        <v>203</v>
      </c>
      <c r="B277" s="153">
        <v>71489784.729858875</v>
      </c>
      <c r="C277" s="153">
        <v>62190275.729858868</v>
      </c>
      <c r="D277" s="153">
        <v>1717096</v>
      </c>
      <c r="E277" s="153">
        <v>0</v>
      </c>
      <c r="F277" s="153">
        <v>7006168</v>
      </c>
      <c r="G277" s="153">
        <v>576245</v>
      </c>
      <c r="H277" s="153">
        <v>12622774</v>
      </c>
      <c r="I277" s="153">
        <v>10372</v>
      </c>
      <c r="J277" s="153">
        <v>726920.53</v>
      </c>
      <c r="K277" s="153"/>
      <c r="L277" s="153">
        <f t="shared" si="8"/>
        <v>122583</v>
      </c>
      <c r="M277" s="153">
        <v>5264</v>
      </c>
      <c r="N277" s="153">
        <v>127847</v>
      </c>
      <c r="O277" s="153">
        <f t="shared" si="9"/>
        <v>113445</v>
      </c>
      <c r="P277" s="153">
        <v>4098</v>
      </c>
      <c r="Q277" s="153">
        <v>117543</v>
      </c>
      <c r="R277" s="153"/>
      <c r="S277" s="153"/>
      <c r="T277" s="153"/>
      <c r="U277" s="153"/>
      <c r="V277" s="153"/>
      <c r="W277" s="153"/>
      <c r="X277" s="153"/>
      <c r="Y277" s="153"/>
      <c r="Z277" s="153"/>
      <c r="AA277" s="153"/>
      <c r="AB277" s="153"/>
      <c r="AC277" s="153"/>
      <c r="AD277" s="153"/>
      <c r="AE277" s="153"/>
      <c r="AF277" s="153"/>
      <c r="AG277" s="153"/>
      <c r="AH277" s="153"/>
      <c r="AI277" s="153"/>
    </row>
    <row r="278" spans="1:35" x14ac:dyDescent="0.25">
      <c r="A278" t="s">
        <v>487</v>
      </c>
      <c r="B278" s="153">
        <v>35178081.567090482</v>
      </c>
      <c r="C278" s="153">
        <v>31368681.567090485</v>
      </c>
      <c r="D278" s="153">
        <v>437134</v>
      </c>
      <c r="E278" s="153">
        <v>0</v>
      </c>
      <c r="F278" s="153">
        <v>3081435</v>
      </c>
      <c r="G278" s="153">
        <v>290831</v>
      </c>
      <c r="H278" s="153">
        <v>4473983</v>
      </c>
      <c r="I278" s="153">
        <v>6482</v>
      </c>
      <c r="J278" s="153">
        <v>209183.48</v>
      </c>
      <c r="K278" s="153"/>
      <c r="L278" s="153">
        <f t="shared" si="8"/>
        <v>57571</v>
      </c>
      <c r="M278" s="153">
        <v>4830</v>
      </c>
      <c r="N278" s="153">
        <v>62401</v>
      </c>
      <c r="O278" s="153">
        <f t="shared" si="9"/>
        <v>55822</v>
      </c>
      <c r="P278" s="153">
        <v>4379</v>
      </c>
      <c r="Q278" s="153">
        <v>60201</v>
      </c>
      <c r="R278" s="153"/>
      <c r="S278" s="153"/>
      <c r="T278" s="153"/>
      <c r="U278" s="153"/>
      <c r="V278" s="153"/>
      <c r="W278" s="153"/>
      <c r="X278" s="153"/>
      <c r="Y278" s="153"/>
      <c r="Z278" s="153"/>
      <c r="AA278" s="153"/>
      <c r="AB278" s="153"/>
      <c r="AC278" s="153"/>
      <c r="AD278" s="153"/>
      <c r="AE278" s="153"/>
      <c r="AF278" s="153"/>
      <c r="AG278" s="153"/>
      <c r="AH278" s="153"/>
      <c r="AI278" s="153"/>
    </row>
    <row r="279" spans="1:35" x14ac:dyDescent="0.25">
      <c r="A279" t="s">
        <v>278</v>
      </c>
      <c r="B279" s="153">
        <v>76674418.264960527</v>
      </c>
      <c r="C279" s="153">
        <v>71573143.264960527</v>
      </c>
      <c r="D279" s="153">
        <v>1338578</v>
      </c>
      <c r="E279" s="153">
        <v>0</v>
      </c>
      <c r="F279" s="153">
        <v>3270587</v>
      </c>
      <c r="G279" s="153">
        <v>492110</v>
      </c>
      <c r="H279" s="153">
        <v>11700978</v>
      </c>
      <c r="I279" s="153">
        <v>8844</v>
      </c>
      <c r="J279" s="153">
        <v>476403.11</v>
      </c>
      <c r="K279" s="153"/>
      <c r="L279" s="153">
        <f t="shared" si="8"/>
        <v>129489</v>
      </c>
      <c r="M279" s="153">
        <v>2051</v>
      </c>
      <c r="N279" s="153">
        <v>131540</v>
      </c>
      <c r="O279" s="153">
        <f t="shared" si="9"/>
        <v>125018</v>
      </c>
      <c r="P279" s="153">
        <v>3508</v>
      </c>
      <c r="Q279" s="153">
        <v>128526</v>
      </c>
      <c r="R279" s="153"/>
      <c r="S279" s="153"/>
      <c r="T279" s="153"/>
      <c r="U279" s="153"/>
      <c r="V279" s="153"/>
      <c r="W279" s="153"/>
      <c r="X279" s="153"/>
      <c r="Y279" s="153"/>
      <c r="Z279" s="153"/>
      <c r="AA279" s="153"/>
      <c r="AB279" s="153"/>
      <c r="AC279" s="153"/>
      <c r="AD279" s="153"/>
      <c r="AE279" s="153"/>
      <c r="AF279" s="153"/>
      <c r="AG279" s="153"/>
      <c r="AH279" s="153"/>
      <c r="AI279" s="153"/>
    </row>
    <row r="280" spans="1:35" x14ac:dyDescent="0.25">
      <c r="A280" t="s">
        <v>508</v>
      </c>
      <c r="B280" s="153">
        <v>151100489.1736393</v>
      </c>
      <c r="C280" s="153">
        <v>133187932.17363928</v>
      </c>
      <c r="D280" s="153">
        <v>2843008</v>
      </c>
      <c r="E280" s="153">
        <v>0</v>
      </c>
      <c r="F280" s="153">
        <v>13771126</v>
      </c>
      <c r="G280" s="153">
        <v>1298423</v>
      </c>
      <c r="H280" s="153">
        <v>30694907</v>
      </c>
      <c r="I280" s="153">
        <v>58585</v>
      </c>
      <c r="J280" s="153">
        <v>1108266.33</v>
      </c>
      <c r="K280" s="153"/>
      <c r="L280" s="153">
        <f t="shared" si="8"/>
        <v>250481</v>
      </c>
      <c r="M280" s="153">
        <v>3881</v>
      </c>
      <c r="N280" s="153">
        <v>254362</v>
      </c>
      <c r="O280" s="153">
        <f t="shared" si="9"/>
        <v>245391</v>
      </c>
      <c r="P280" s="153">
        <v>1044</v>
      </c>
      <c r="Q280" s="153">
        <v>246435</v>
      </c>
      <c r="R280" s="153"/>
      <c r="S280" s="153"/>
      <c r="T280" s="153"/>
      <c r="U280" s="153"/>
      <c r="V280" s="153"/>
      <c r="W280" s="153"/>
      <c r="X280" s="153"/>
      <c r="Y280" s="153"/>
      <c r="Z280" s="153"/>
      <c r="AA280" s="153"/>
      <c r="AB280" s="153"/>
      <c r="AC280" s="153"/>
      <c r="AD280" s="153"/>
      <c r="AE280" s="153"/>
      <c r="AF280" s="153"/>
      <c r="AG280" s="153"/>
      <c r="AH280" s="153"/>
      <c r="AI280" s="153"/>
    </row>
    <row r="281" spans="1:35" x14ac:dyDescent="0.25">
      <c r="A281" t="s">
        <v>398</v>
      </c>
      <c r="B281" s="153">
        <v>89219214.294038028</v>
      </c>
      <c r="C281" s="153">
        <v>76994912.294038028</v>
      </c>
      <c r="D281" s="153">
        <v>1545946</v>
      </c>
      <c r="E281" s="153">
        <v>0</v>
      </c>
      <c r="F281" s="153">
        <v>9132160</v>
      </c>
      <c r="G281" s="153">
        <v>1546196</v>
      </c>
      <c r="H281" s="153">
        <v>14766167</v>
      </c>
      <c r="I281" s="153">
        <v>3621</v>
      </c>
      <c r="J281" s="153">
        <v>1496228.93</v>
      </c>
      <c r="K281" s="153"/>
      <c r="L281" s="153">
        <f t="shared" si="8"/>
        <v>153017</v>
      </c>
      <c r="M281" s="153">
        <v>4069</v>
      </c>
      <c r="N281" s="153">
        <v>157086</v>
      </c>
      <c r="O281" s="153">
        <f t="shared" si="9"/>
        <v>150978</v>
      </c>
      <c r="P281">
        <v>654</v>
      </c>
      <c r="Q281" s="153">
        <v>151632</v>
      </c>
      <c r="R281" s="153"/>
      <c r="S281" s="153"/>
      <c r="T281" s="153"/>
      <c r="U281" s="153"/>
      <c r="V281" s="153"/>
      <c r="W281" s="153"/>
      <c r="X281" s="153"/>
      <c r="Y281" s="153"/>
      <c r="Z281" s="153"/>
      <c r="AA281" s="153"/>
      <c r="AB281" s="153"/>
      <c r="AC281" s="153"/>
      <c r="AD281" s="153"/>
      <c r="AE281" s="153"/>
      <c r="AF281" s="153"/>
      <c r="AG281" s="153"/>
      <c r="AH281" s="153"/>
      <c r="AI281" s="153"/>
    </row>
    <row r="282" spans="1:35" x14ac:dyDescent="0.25">
      <c r="A282" t="s">
        <v>181</v>
      </c>
      <c r="B282" s="153">
        <v>8548883.5382739455</v>
      </c>
      <c r="C282" s="153">
        <v>8277643.5382739445</v>
      </c>
      <c r="D282" s="153">
        <v>4747</v>
      </c>
      <c r="E282" s="153">
        <v>0</v>
      </c>
      <c r="F282" s="153">
        <v>226069</v>
      </c>
      <c r="G282" s="153">
        <v>40424</v>
      </c>
      <c r="H282" s="153">
        <v>336752</v>
      </c>
      <c r="I282" s="153">
        <v>273</v>
      </c>
      <c r="J282" s="153">
        <v>61652.79</v>
      </c>
      <c r="K282" s="153"/>
      <c r="L282" s="153">
        <f t="shared" si="8"/>
        <v>20854</v>
      </c>
      <c r="M282">
        <v>322</v>
      </c>
      <c r="N282" s="153">
        <v>21176</v>
      </c>
      <c r="O282" s="153">
        <f t="shared" si="9"/>
        <v>20916</v>
      </c>
      <c r="P282">
        <v>447</v>
      </c>
      <c r="Q282" s="153">
        <v>21363</v>
      </c>
      <c r="R282" s="153"/>
      <c r="S282" s="153"/>
      <c r="T282" s="153"/>
      <c r="U282" s="153"/>
      <c r="V282" s="153"/>
      <c r="W282" s="153"/>
      <c r="X282" s="153"/>
      <c r="Y282" s="153"/>
      <c r="Z282" s="153"/>
      <c r="AA282" s="153"/>
      <c r="AB282" s="153"/>
      <c r="AC282" s="153"/>
      <c r="AD282" s="153"/>
      <c r="AE282" s="153"/>
      <c r="AF282" s="153"/>
      <c r="AG282" s="153"/>
      <c r="AH282" s="153"/>
      <c r="AI282" s="153"/>
    </row>
    <row r="283" spans="1:35" x14ac:dyDescent="0.25">
      <c r="A283" t="s">
        <v>322</v>
      </c>
      <c r="B283" s="153">
        <v>24298736.60393199</v>
      </c>
      <c r="C283" s="153">
        <v>21287167.60393199</v>
      </c>
      <c r="D283" s="153">
        <v>333938</v>
      </c>
      <c r="E283" s="153">
        <v>0</v>
      </c>
      <c r="F283" s="153">
        <v>2477645</v>
      </c>
      <c r="G283" s="153">
        <v>199986</v>
      </c>
      <c r="H283" s="153">
        <v>1837965</v>
      </c>
      <c r="I283" s="153">
        <v>5314</v>
      </c>
      <c r="J283" s="153">
        <v>148863.67999999999</v>
      </c>
      <c r="K283" s="153"/>
      <c r="L283" s="153">
        <f t="shared" si="8"/>
        <v>52550</v>
      </c>
      <c r="M283">
        <v>682</v>
      </c>
      <c r="N283" s="153">
        <v>53232</v>
      </c>
      <c r="O283" s="153">
        <f t="shared" si="9"/>
        <v>56278</v>
      </c>
      <c r="P283" s="153">
        <v>2062</v>
      </c>
      <c r="Q283" s="153">
        <v>58340</v>
      </c>
      <c r="R283" s="153"/>
      <c r="S283" s="153"/>
      <c r="T283" s="153"/>
      <c r="U283" s="153"/>
      <c r="V283" s="153"/>
      <c r="W283" s="153"/>
      <c r="X283" s="153"/>
      <c r="Y283" s="153"/>
      <c r="Z283" s="153"/>
      <c r="AA283" s="153"/>
      <c r="AB283" s="153"/>
      <c r="AC283" s="153"/>
      <c r="AD283" s="153"/>
      <c r="AE283" s="153"/>
      <c r="AF283" s="153"/>
      <c r="AG283" s="153"/>
      <c r="AH283" s="153"/>
      <c r="AI283" s="153"/>
    </row>
    <row r="284" spans="1:35" x14ac:dyDescent="0.25">
      <c r="A284" t="s">
        <v>377</v>
      </c>
      <c r="B284" s="153">
        <v>42458665.204435639</v>
      </c>
      <c r="C284" s="153">
        <v>38144754.204435639</v>
      </c>
      <c r="D284" s="153">
        <v>1337343</v>
      </c>
      <c r="E284" s="153">
        <v>0</v>
      </c>
      <c r="F284" s="153">
        <v>2753973</v>
      </c>
      <c r="G284" s="153">
        <v>222595</v>
      </c>
      <c r="H284" s="153">
        <v>5368405</v>
      </c>
      <c r="I284" s="153">
        <v>2590</v>
      </c>
      <c r="J284" s="153">
        <v>81626.070000000007</v>
      </c>
      <c r="K284" s="153"/>
      <c r="L284" s="153">
        <f t="shared" si="8"/>
        <v>73595</v>
      </c>
      <c r="M284" s="153">
        <v>3966</v>
      </c>
      <c r="N284" s="153">
        <v>77561</v>
      </c>
      <c r="O284" s="153">
        <f t="shared" si="9"/>
        <v>70159</v>
      </c>
      <c r="P284" s="153">
        <v>3845</v>
      </c>
      <c r="Q284" s="153">
        <v>74004</v>
      </c>
      <c r="R284" s="153"/>
      <c r="S284" s="153"/>
      <c r="T284" s="153"/>
      <c r="U284" s="153"/>
      <c r="V284" s="153"/>
      <c r="W284" s="153"/>
      <c r="X284" s="153"/>
      <c r="Y284" s="153"/>
      <c r="Z284" s="153"/>
      <c r="AA284" s="153"/>
      <c r="AB284" s="153"/>
      <c r="AC284" s="153"/>
      <c r="AD284" s="153"/>
      <c r="AE284" s="153"/>
      <c r="AF284" s="153"/>
      <c r="AG284" s="153"/>
      <c r="AH284" s="153"/>
      <c r="AI284" s="153"/>
    </row>
    <row r="285" spans="1:35" x14ac:dyDescent="0.25">
      <c r="A285" t="s">
        <v>399</v>
      </c>
      <c r="B285" s="153">
        <v>36706972.081590995</v>
      </c>
      <c r="C285" s="153">
        <v>33635456.081590995</v>
      </c>
      <c r="D285" s="153">
        <v>722531</v>
      </c>
      <c r="E285" s="153">
        <v>0</v>
      </c>
      <c r="F285" s="153">
        <v>1984259</v>
      </c>
      <c r="G285" s="153">
        <v>364726</v>
      </c>
      <c r="H285" s="153">
        <v>4904792</v>
      </c>
      <c r="I285" s="153">
        <v>1802</v>
      </c>
      <c r="J285" s="153">
        <v>603898.82999999996</v>
      </c>
      <c r="K285" s="153"/>
      <c r="L285" s="153">
        <f t="shared" si="8"/>
        <v>65816</v>
      </c>
      <c r="M285">
        <v>426</v>
      </c>
      <c r="N285" s="153">
        <v>66242</v>
      </c>
      <c r="O285" s="153">
        <f t="shared" si="9"/>
        <v>60898</v>
      </c>
      <c r="P285">
        <v>822</v>
      </c>
      <c r="Q285" s="153">
        <v>61720</v>
      </c>
      <c r="R285" s="153"/>
      <c r="S285" s="153"/>
      <c r="T285" s="153"/>
      <c r="U285" s="153"/>
      <c r="V285" s="153"/>
      <c r="W285" s="153"/>
      <c r="X285" s="153"/>
      <c r="Y285" s="153"/>
      <c r="Z285" s="153"/>
      <c r="AA285" s="153"/>
      <c r="AB285" s="153"/>
      <c r="AC285" s="153"/>
      <c r="AD285" s="153"/>
      <c r="AE285" s="153"/>
      <c r="AF285" s="153"/>
      <c r="AG285" s="153"/>
      <c r="AH285" s="153"/>
      <c r="AI285" s="153"/>
    </row>
    <row r="286" spans="1:35" x14ac:dyDescent="0.25">
      <c r="A286" t="s">
        <v>252</v>
      </c>
      <c r="B286" s="153">
        <v>72121035.416412383</v>
      </c>
      <c r="C286" s="153">
        <v>61712661.416412376</v>
      </c>
      <c r="D286" s="153">
        <v>1362270</v>
      </c>
      <c r="E286" s="153">
        <v>0</v>
      </c>
      <c r="F286" s="153">
        <v>8344269</v>
      </c>
      <c r="G286" s="153">
        <v>701835</v>
      </c>
      <c r="H286" s="153">
        <v>16111512</v>
      </c>
      <c r="I286" s="153">
        <v>11639</v>
      </c>
      <c r="J286" s="153">
        <v>2079340.45</v>
      </c>
      <c r="K286" s="153"/>
      <c r="L286" s="153">
        <f t="shared" si="8"/>
        <v>119054</v>
      </c>
      <c r="M286" s="153">
        <v>3484</v>
      </c>
      <c r="N286" s="153">
        <v>122538</v>
      </c>
      <c r="O286" s="153">
        <f t="shared" si="9"/>
        <v>120329</v>
      </c>
      <c r="P286" s="153">
        <v>2890</v>
      </c>
      <c r="Q286" s="153">
        <v>123219</v>
      </c>
      <c r="R286" s="153"/>
      <c r="S286" s="153"/>
      <c r="T286" s="153"/>
      <c r="U286" s="153"/>
      <c r="V286" s="153"/>
      <c r="W286" s="153"/>
      <c r="X286" s="153"/>
      <c r="Y286" s="153"/>
      <c r="Z286" s="153"/>
      <c r="AA286" s="153"/>
      <c r="AB286" s="153"/>
      <c r="AC286" s="153"/>
      <c r="AD286" s="153"/>
      <c r="AE286" s="153"/>
      <c r="AF286" s="153"/>
      <c r="AG286" s="153"/>
      <c r="AH286" s="153"/>
      <c r="AI286" s="153"/>
    </row>
    <row r="287" spans="1:35" x14ac:dyDescent="0.25">
      <c r="A287" t="s">
        <v>451</v>
      </c>
      <c r="B287" s="153">
        <v>450595335.77374834</v>
      </c>
      <c r="C287" s="153">
        <v>332555388.93957782</v>
      </c>
      <c r="D287" s="153">
        <v>9917833</v>
      </c>
      <c r="E287" s="153">
        <v>0</v>
      </c>
      <c r="F287" s="153">
        <v>30950533</v>
      </c>
      <c r="G287" s="153">
        <v>20542937.834170502</v>
      </c>
      <c r="H287" s="153">
        <v>101583558</v>
      </c>
      <c r="I287" s="153">
        <v>52618</v>
      </c>
      <c r="J287" s="153">
        <v>8392962.5399999991</v>
      </c>
      <c r="K287" s="153"/>
      <c r="L287" s="153">
        <f t="shared" si="8"/>
        <v>793404</v>
      </c>
      <c r="M287" s="153">
        <v>191330</v>
      </c>
      <c r="N287" s="153">
        <v>984734</v>
      </c>
      <c r="O287" s="153">
        <f t="shared" si="9"/>
        <v>762538</v>
      </c>
      <c r="P287" s="153">
        <v>99310</v>
      </c>
      <c r="Q287" s="153">
        <v>861848</v>
      </c>
      <c r="R287" s="153"/>
      <c r="S287" s="153"/>
      <c r="T287" s="153"/>
      <c r="U287" s="153"/>
      <c r="V287" s="153"/>
      <c r="W287" s="153"/>
      <c r="X287" s="153"/>
      <c r="Y287" s="153"/>
      <c r="Z287" s="153"/>
      <c r="AA287" s="153"/>
      <c r="AB287" s="153"/>
      <c r="AC287" s="153"/>
      <c r="AD287" s="153"/>
      <c r="AE287" s="153"/>
      <c r="AF287" s="153"/>
      <c r="AG287" s="153"/>
      <c r="AH287" s="153"/>
      <c r="AI287" s="153"/>
    </row>
    <row r="288" spans="1:35" x14ac:dyDescent="0.25">
      <c r="A288" t="s">
        <v>204</v>
      </c>
      <c r="B288" s="153">
        <v>26167187.12579003</v>
      </c>
      <c r="C288" s="153">
        <v>23439124.12579003</v>
      </c>
      <c r="D288" s="153">
        <v>481577</v>
      </c>
      <c r="E288" s="153">
        <v>0</v>
      </c>
      <c r="F288" s="153">
        <v>2084466</v>
      </c>
      <c r="G288" s="153">
        <v>162020</v>
      </c>
      <c r="H288" s="153">
        <v>2335153</v>
      </c>
      <c r="I288" s="153">
        <v>23927</v>
      </c>
      <c r="J288" s="153">
        <v>63166.27</v>
      </c>
      <c r="K288" s="153"/>
      <c r="L288" s="153">
        <f t="shared" si="8"/>
        <v>41640</v>
      </c>
      <c r="M288" s="153">
        <v>2679</v>
      </c>
      <c r="N288" s="153">
        <v>44319</v>
      </c>
      <c r="O288" s="153">
        <f t="shared" si="9"/>
        <v>39516</v>
      </c>
      <c r="P288" s="153">
        <v>17456</v>
      </c>
      <c r="Q288" s="153">
        <v>56972</v>
      </c>
      <c r="R288" s="153"/>
      <c r="S288" s="153"/>
      <c r="T288" s="153"/>
      <c r="U288" s="153"/>
      <c r="V288" s="153"/>
      <c r="W288" s="153"/>
      <c r="X288" s="153"/>
      <c r="Y288" s="153"/>
      <c r="Z288" s="153"/>
      <c r="AA288" s="153"/>
      <c r="AB288" s="153"/>
      <c r="AC288" s="153"/>
      <c r="AD288" s="153"/>
      <c r="AE288" s="153"/>
      <c r="AF288" s="153"/>
      <c r="AG288" s="153"/>
      <c r="AH288" s="153"/>
      <c r="AI288" s="153"/>
    </row>
    <row r="289" spans="1:35" x14ac:dyDescent="0.25">
      <c r="A289" t="s">
        <v>205</v>
      </c>
      <c r="B289" s="153">
        <v>52732817.004479744</v>
      </c>
      <c r="C289" s="153">
        <v>43350167.004479744</v>
      </c>
      <c r="D289" s="153">
        <v>2250160</v>
      </c>
      <c r="E289" s="153">
        <v>0</v>
      </c>
      <c r="F289" s="153">
        <v>6769259</v>
      </c>
      <c r="G289" s="153">
        <v>363231</v>
      </c>
      <c r="H289" s="153">
        <v>7281722</v>
      </c>
      <c r="I289" s="153">
        <v>15835</v>
      </c>
      <c r="J289" s="153">
        <v>847341.34</v>
      </c>
      <c r="K289" s="153"/>
      <c r="L289" s="153">
        <f t="shared" si="8"/>
        <v>92003</v>
      </c>
      <c r="M289" s="153">
        <v>2426</v>
      </c>
      <c r="N289" s="153">
        <v>94429</v>
      </c>
      <c r="O289" s="153">
        <f t="shared" si="9"/>
        <v>80380</v>
      </c>
      <c r="P289" s="153">
        <v>3872</v>
      </c>
      <c r="Q289" s="153">
        <v>84252</v>
      </c>
      <c r="R289" s="153"/>
      <c r="S289" s="153"/>
      <c r="T289" s="153"/>
      <c r="U289" s="153"/>
      <c r="V289" s="153"/>
      <c r="W289" s="153"/>
      <c r="X289" s="153"/>
      <c r="Y289" s="153"/>
      <c r="Z289" s="153"/>
      <c r="AA289" s="153"/>
      <c r="AB289" s="153"/>
      <c r="AC289" s="153"/>
      <c r="AD289" s="153"/>
      <c r="AE289" s="153"/>
      <c r="AF289" s="153"/>
      <c r="AG289" s="153"/>
      <c r="AH289" s="153"/>
      <c r="AI289" s="153"/>
    </row>
    <row r="290" spans="1:35" x14ac:dyDescent="0.25">
      <c r="A290" t="s">
        <v>138</v>
      </c>
      <c r="B290" s="153">
        <v>40933990.229459397</v>
      </c>
      <c r="C290" s="153">
        <v>39130021.229459397</v>
      </c>
      <c r="D290" s="153">
        <v>1365729</v>
      </c>
      <c r="E290" s="153">
        <v>0</v>
      </c>
      <c r="F290" s="153">
        <v>205079</v>
      </c>
      <c r="G290" s="153">
        <v>233161</v>
      </c>
      <c r="H290" s="153">
        <v>6757654</v>
      </c>
      <c r="I290" s="153">
        <v>15166</v>
      </c>
      <c r="J290" s="153">
        <v>54060.800000000003</v>
      </c>
      <c r="K290" s="153"/>
      <c r="L290" s="153">
        <f t="shared" si="8"/>
        <v>74723</v>
      </c>
      <c r="M290" s="153">
        <v>1868</v>
      </c>
      <c r="N290" s="153">
        <v>76591</v>
      </c>
      <c r="O290" s="153">
        <f t="shared" si="9"/>
        <v>72833</v>
      </c>
      <c r="P290" s="153">
        <v>2924</v>
      </c>
      <c r="Q290" s="153">
        <v>75757</v>
      </c>
      <c r="R290" s="153"/>
      <c r="S290" s="153"/>
      <c r="T290" s="153"/>
      <c r="U290" s="153"/>
      <c r="V290" s="153"/>
      <c r="W290" s="153"/>
      <c r="X290" s="153"/>
      <c r="Y290" s="153"/>
      <c r="Z290" s="153"/>
      <c r="AA290" s="153"/>
      <c r="AB290" s="153"/>
      <c r="AC290" s="153"/>
      <c r="AD290" s="153"/>
      <c r="AE290" s="153"/>
      <c r="AF290" s="153"/>
      <c r="AG290" s="153"/>
      <c r="AH290" s="153"/>
      <c r="AI290" s="153"/>
    </row>
    <row r="291" spans="1:35" x14ac:dyDescent="0.25">
      <c r="A291" t="s">
        <v>182</v>
      </c>
      <c r="B291" s="153">
        <v>48245437.912256896</v>
      </c>
      <c r="C291" s="153">
        <v>42341196.912256896</v>
      </c>
      <c r="D291" s="153">
        <v>1909788</v>
      </c>
      <c r="E291" s="153">
        <v>0</v>
      </c>
      <c r="F291" s="153">
        <v>3571588</v>
      </c>
      <c r="G291" s="153">
        <v>422865</v>
      </c>
      <c r="H291" s="153">
        <v>8329666</v>
      </c>
      <c r="I291" s="153">
        <v>2722</v>
      </c>
      <c r="J291" s="153">
        <v>281444.28999999998</v>
      </c>
      <c r="K291" s="153"/>
      <c r="L291" s="153">
        <f t="shared" si="8"/>
        <v>77613</v>
      </c>
      <c r="M291">
        <v>84</v>
      </c>
      <c r="N291" s="153">
        <v>77697</v>
      </c>
      <c r="O291" s="153">
        <f t="shared" si="9"/>
        <v>76394</v>
      </c>
      <c r="P291">
        <v>217</v>
      </c>
      <c r="Q291" s="153">
        <v>76611</v>
      </c>
      <c r="R291" s="153"/>
      <c r="S291" s="153"/>
      <c r="T291" s="153"/>
      <c r="U291" s="153"/>
      <c r="V291" s="153"/>
      <c r="W291" s="153"/>
      <c r="X291" s="153"/>
      <c r="Y291" s="153"/>
      <c r="Z291" s="153"/>
      <c r="AA291" s="153"/>
      <c r="AB291" s="153"/>
      <c r="AC291" s="153"/>
      <c r="AD291" s="153"/>
      <c r="AE291" s="153"/>
      <c r="AF291" s="153"/>
      <c r="AG291" s="153"/>
      <c r="AH291" s="153"/>
      <c r="AI291" s="153"/>
    </row>
    <row r="292" spans="1:35" x14ac:dyDescent="0.25">
      <c r="A292" t="s">
        <v>452</v>
      </c>
      <c r="B292" s="153">
        <v>63818327.652583182</v>
      </c>
      <c r="C292" s="153">
        <v>54389246.652583182</v>
      </c>
      <c r="D292" s="153">
        <v>1123029</v>
      </c>
      <c r="E292" s="153">
        <v>0</v>
      </c>
      <c r="F292" s="153">
        <v>7805082</v>
      </c>
      <c r="G292" s="153">
        <v>500970</v>
      </c>
      <c r="H292" s="153">
        <v>9598361</v>
      </c>
      <c r="I292" s="153">
        <v>3205</v>
      </c>
      <c r="J292" s="153">
        <v>910048.7</v>
      </c>
      <c r="K292" s="153"/>
      <c r="L292" s="153">
        <f t="shared" si="8"/>
        <v>111890</v>
      </c>
      <c r="M292" s="153">
        <v>7685</v>
      </c>
      <c r="N292" s="153">
        <v>119575</v>
      </c>
      <c r="O292" s="153">
        <f t="shared" si="9"/>
        <v>113264</v>
      </c>
      <c r="P292" s="153">
        <v>8550</v>
      </c>
      <c r="Q292" s="153">
        <v>121814</v>
      </c>
      <c r="R292" s="153"/>
      <c r="S292" s="153"/>
      <c r="T292" s="153"/>
      <c r="U292" s="153"/>
      <c r="V292" s="153"/>
      <c r="W292" s="153"/>
      <c r="X292" s="153"/>
      <c r="Y292" s="153"/>
      <c r="Z292" s="153"/>
      <c r="AA292" s="153"/>
      <c r="AB292" s="153"/>
      <c r="AC292" s="153"/>
      <c r="AD292" s="153"/>
      <c r="AE292" s="153"/>
      <c r="AF292" s="153"/>
      <c r="AG292" s="153"/>
      <c r="AH292" s="153"/>
      <c r="AI292" s="153"/>
    </row>
    <row r="293" spans="1:35" x14ac:dyDescent="0.25">
      <c r="A293" t="s">
        <v>323</v>
      </c>
      <c r="B293" s="153">
        <v>14381434.415012794</v>
      </c>
      <c r="C293" s="153">
        <v>13398612.415012794</v>
      </c>
      <c r="D293" s="153">
        <v>116165</v>
      </c>
      <c r="E293" s="153">
        <v>0</v>
      </c>
      <c r="F293" s="153">
        <v>769953</v>
      </c>
      <c r="G293" s="153">
        <v>96704</v>
      </c>
      <c r="H293" s="153">
        <v>1914768</v>
      </c>
      <c r="I293" s="153">
        <v>2653</v>
      </c>
      <c r="J293" s="153">
        <v>54060.800000000003</v>
      </c>
      <c r="K293" s="153"/>
      <c r="L293" s="153">
        <f t="shared" si="8"/>
        <v>23288</v>
      </c>
      <c r="M293">
        <v>873</v>
      </c>
      <c r="N293" s="153">
        <v>24161</v>
      </c>
      <c r="O293" s="153">
        <f t="shared" si="9"/>
        <v>21737</v>
      </c>
      <c r="P293">
        <v>874</v>
      </c>
      <c r="Q293" s="153">
        <v>22611</v>
      </c>
      <c r="R293" s="153"/>
      <c r="S293" s="153"/>
      <c r="T293" s="153"/>
      <c r="U293" s="153"/>
      <c r="V293" s="153"/>
      <c r="W293" s="153"/>
      <c r="X293" s="153"/>
      <c r="Y293" s="153"/>
      <c r="Z293" s="153"/>
      <c r="AA293" s="153"/>
      <c r="AB293" s="153"/>
      <c r="AC293" s="153"/>
      <c r="AD293" s="153"/>
      <c r="AE293" s="153"/>
      <c r="AF293" s="153"/>
      <c r="AG293" s="153"/>
      <c r="AH293" s="153"/>
      <c r="AI293" s="153"/>
    </row>
    <row r="294" spans="1:35" x14ac:dyDescent="0.25">
      <c r="A294" t="s">
        <v>324</v>
      </c>
      <c r="B294" s="153">
        <v>37652052.926048748</v>
      </c>
      <c r="C294" s="153">
        <v>35349371.926048748</v>
      </c>
      <c r="D294" s="153">
        <v>659527</v>
      </c>
      <c r="E294" s="153">
        <v>0</v>
      </c>
      <c r="F294" s="153">
        <v>1371959</v>
      </c>
      <c r="G294" s="153">
        <v>271195</v>
      </c>
      <c r="H294" s="153">
        <v>5771632</v>
      </c>
      <c r="I294" s="153">
        <v>3196</v>
      </c>
      <c r="J294" s="153">
        <v>399910.65</v>
      </c>
      <c r="K294" s="153"/>
      <c r="L294" s="153">
        <f t="shared" si="8"/>
        <v>75988</v>
      </c>
      <c r="M294" s="153">
        <v>3759</v>
      </c>
      <c r="N294" s="153">
        <v>79747</v>
      </c>
      <c r="O294" s="153">
        <f t="shared" si="9"/>
        <v>72740</v>
      </c>
      <c r="P294" s="153">
        <v>3086</v>
      </c>
      <c r="Q294" s="153">
        <v>75826</v>
      </c>
      <c r="R294" s="153"/>
      <c r="S294" s="153"/>
      <c r="T294" s="153"/>
      <c r="U294" s="153"/>
      <c r="V294" s="153"/>
      <c r="W294" s="153"/>
      <c r="X294" s="153"/>
      <c r="Y294" s="153"/>
      <c r="Z294" s="153"/>
      <c r="AA294" s="153"/>
      <c r="AB294" s="153"/>
      <c r="AC294" s="153"/>
      <c r="AD294" s="153"/>
      <c r="AE294" s="153"/>
      <c r="AF294" s="153"/>
      <c r="AG294" s="153"/>
      <c r="AH294" s="153"/>
      <c r="AI294" s="153"/>
    </row>
    <row r="295" spans="1:35" x14ac:dyDescent="0.25">
      <c r="A295" t="s">
        <v>498</v>
      </c>
      <c r="B295" s="153">
        <v>26044295.114498783</v>
      </c>
      <c r="C295" s="153">
        <v>22166869.114498783</v>
      </c>
      <c r="D295" s="153">
        <v>2181116</v>
      </c>
      <c r="E295" s="153">
        <v>0</v>
      </c>
      <c r="F295" s="153">
        <v>1536891</v>
      </c>
      <c r="G295" s="153">
        <v>159419</v>
      </c>
      <c r="H295" s="153">
        <v>1908831</v>
      </c>
      <c r="I295" s="153">
        <v>6968</v>
      </c>
      <c r="J295" s="153">
        <v>1004496.73</v>
      </c>
      <c r="K295" s="153"/>
      <c r="L295" s="153">
        <f t="shared" si="8"/>
        <v>47864</v>
      </c>
      <c r="M295">
        <v>534</v>
      </c>
      <c r="N295" s="153">
        <v>48398</v>
      </c>
      <c r="O295" s="153">
        <f t="shared" si="9"/>
        <v>46734</v>
      </c>
      <c r="P295">
        <v>362</v>
      </c>
      <c r="Q295" s="153">
        <v>47096</v>
      </c>
      <c r="R295" s="153"/>
      <c r="S295" s="153"/>
      <c r="T295" s="153"/>
      <c r="U295" s="153"/>
      <c r="V295" s="153"/>
      <c r="W295" s="153"/>
      <c r="X295" s="153"/>
      <c r="Y295" s="153"/>
      <c r="Z295" s="153"/>
      <c r="AA295" s="153"/>
      <c r="AB295" s="153"/>
      <c r="AC295" s="153"/>
      <c r="AD295" s="153"/>
      <c r="AE295" s="153"/>
      <c r="AF295" s="153"/>
      <c r="AG295" s="153"/>
      <c r="AH295" s="153"/>
      <c r="AI295" s="153"/>
    </row>
    <row r="296" spans="1:35" x14ac:dyDescent="0.25">
      <c r="A296" t="s">
        <v>279</v>
      </c>
      <c r="B296" s="153">
        <v>713155058.43475878</v>
      </c>
      <c r="C296" s="153">
        <v>544785803.65295219</v>
      </c>
      <c r="D296" s="153">
        <v>12838055</v>
      </c>
      <c r="E296" s="153">
        <v>92265896</v>
      </c>
      <c r="F296" s="153">
        <v>19838116</v>
      </c>
      <c r="G296" s="153">
        <v>43427187.781806633</v>
      </c>
      <c r="H296" s="153">
        <v>143667168</v>
      </c>
      <c r="I296" s="153">
        <v>71869</v>
      </c>
      <c r="J296" s="153">
        <v>17180881.629999999</v>
      </c>
      <c r="K296" s="153"/>
      <c r="L296" s="153">
        <f t="shared" si="8"/>
        <v>1391412</v>
      </c>
      <c r="M296" s="153">
        <v>120418</v>
      </c>
      <c r="N296" s="153">
        <v>1511830</v>
      </c>
      <c r="O296" s="153">
        <f t="shared" si="9"/>
        <v>1335484</v>
      </c>
      <c r="P296" s="153">
        <v>79336</v>
      </c>
      <c r="Q296" s="153">
        <v>1414820</v>
      </c>
      <c r="R296" s="153"/>
      <c r="S296" s="153"/>
      <c r="T296" s="153"/>
      <c r="U296" s="153"/>
      <c r="V296" s="153"/>
      <c r="W296" s="153"/>
      <c r="X296" s="153"/>
      <c r="Y296" s="153"/>
      <c r="Z296" s="153"/>
      <c r="AA296" s="153"/>
      <c r="AB296" s="153"/>
      <c r="AC296" s="153"/>
      <c r="AD296" s="153"/>
      <c r="AE296" s="153"/>
      <c r="AF296" s="153"/>
      <c r="AG296" s="153"/>
      <c r="AH296" s="153"/>
      <c r="AI296" s="153"/>
    </row>
    <row r="297" spans="1:35" x14ac:dyDescent="0.25">
      <c r="A297" t="s">
        <v>280</v>
      </c>
      <c r="B297" s="153">
        <v>60981693.67098473</v>
      </c>
      <c r="C297" s="153">
        <v>55233826.67098473</v>
      </c>
      <c r="D297" s="153">
        <v>3667717</v>
      </c>
      <c r="E297" s="153">
        <v>0</v>
      </c>
      <c r="F297" s="153">
        <v>1686291</v>
      </c>
      <c r="G297" s="153">
        <v>393859</v>
      </c>
      <c r="H297" s="153">
        <v>8806541</v>
      </c>
      <c r="I297" s="153">
        <v>9657</v>
      </c>
      <c r="J297" s="153">
        <v>329577.75</v>
      </c>
      <c r="K297" s="153"/>
      <c r="L297" s="153">
        <f t="shared" si="8"/>
        <v>108638</v>
      </c>
      <c r="M297" s="153">
        <v>1292</v>
      </c>
      <c r="N297" s="153">
        <v>109930</v>
      </c>
      <c r="O297" s="153">
        <f t="shared" si="9"/>
        <v>100795</v>
      </c>
      <c r="P297" s="153">
        <v>3432</v>
      </c>
      <c r="Q297" s="153">
        <v>104227</v>
      </c>
      <c r="R297" s="153"/>
      <c r="S297" s="153"/>
      <c r="T297" s="153"/>
      <c r="U297" s="153"/>
      <c r="V297" s="153"/>
      <c r="W297" s="153"/>
      <c r="X297" s="153"/>
      <c r="Y297" s="153"/>
      <c r="Z297" s="153"/>
      <c r="AA297" s="153"/>
      <c r="AB297" s="153"/>
      <c r="AC297" s="153"/>
      <c r="AD297" s="153"/>
      <c r="AE297" s="153"/>
      <c r="AF297" s="153"/>
      <c r="AG297" s="153"/>
      <c r="AH297" s="153"/>
      <c r="AI297" s="153"/>
    </row>
    <row r="298" spans="1:35" x14ac:dyDescent="0.25">
      <c r="A298" t="s">
        <v>488</v>
      </c>
      <c r="B298" s="153">
        <v>16178052.487796437</v>
      </c>
      <c r="C298" s="153">
        <v>14504980.487796437</v>
      </c>
      <c r="D298" s="153">
        <v>52357</v>
      </c>
      <c r="E298" s="153">
        <v>0</v>
      </c>
      <c r="F298" s="153">
        <v>1470280</v>
      </c>
      <c r="G298" s="153">
        <v>150435</v>
      </c>
      <c r="H298" s="153">
        <v>4271777</v>
      </c>
      <c r="I298" s="153">
        <v>3866</v>
      </c>
      <c r="J298" s="153">
        <v>184626.92</v>
      </c>
      <c r="K298" s="153"/>
      <c r="L298" s="153">
        <f t="shared" si="8"/>
        <v>28566</v>
      </c>
      <c r="M298">
        <v>871</v>
      </c>
      <c r="N298" s="153">
        <v>29437</v>
      </c>
      <c r="O298" s="153">
        <f t="shared" si="9"/>
        <v>27339</v>
      </c>
      <c r="P298">
        <v>986</v>
      </c>
      <c r="Q298" s="153">
        <v>28325</v>
      </c>
      <c r="R298" s="153"/>
      <c r="S298" s="153"/>
      <c r="T298" s="153"/>
      <c r="U298" s="153"/>
      <c r="V298" s="153"/>
      <c r="W298" s="153"/>
      <c r="X298" s="153"/>
      <c r="Y298" s="153"/>
      <c r="Z298" s="153"/>
      <c r="AA298" s="153"/>
      <c r="AB298" s="153"/>
      <c r="AC298" s="153"/>
      <c r="AD298" s="153"/>
      <c r="AE298" s="153"/>
      <c r="AF298" s="153"/>
      <c r="AG298" s="153"/>
      <c r="AH298" s="153"/>
      <c r="AI298" s="153"/>
    </row>
    <row r="299" spans="1:35" x14ac:dyDescent="0.25">
      <c r="A299" t="s">
        <v>489</v>
      </c>
      <c r="B299" s="153">
        <v>24198970.388692722</v>
      </c>
      <c r="C299" s="153">
        <v>21846145.388692722</v>
      </c>
      <c r="D299" s="153">
        <v>475464</v>
      </c>
      <c r="E299" s="153">
        <v>0</v>
      </c>
      <c r="F299" s="153">
        <v>1682989</v>
      </c>
      <c r="G299" s="153">
        <v>194372</v>
      </c>
      <c r="H299" s="153">
        <v>4251785</v>
      </c>
      <c r="I299" s="153">
        <v>3535</v>
      </c>
      <c r="J299" s="153">
        <v>112271.92</v>
      </c>
      <c r="K299" s="153"/>
      <c r="L299" s="153">
        <f t="shared" si="8"/>
        <v>48330</v>
      </c>
      <c r="M299" s="153">
        <v>8193</v>
      </c>
      <c r="N299" s="153">
        <v>56523</v>
      </c>
      <c r="O299" s="153">
        <f t="shared" si="9"/>
        <v>46950</v>
      </c>
      <c r="P299">
        <v>545</v>
      </c>
      <c r="Q299" s="153">
        <v>47495</v>
      </c>
      <c r="R299" s="153"/>
      <c r="S299" s="153"/>
      <c r="T299" s="153"/>
      <c r="U299" s="153"/>
      <c r="V299" s="153"/>
      <c r="W299" s="153"/>
      <c r="X299" s="153"/>
      <c r="Y299" s="153"/>
      <c r="Z299" s="153"/>
      <c r="AA299" s="153"/>
      <c r="AB299" s="153"/>
      <c r="AC299" s="153"/>
      <c r="AD299" s="153"/>
      <c r="AE299" s="153"/>
      <c r="AF299" s="153"/>
      <c r="AG299" s="153"/>
      <c r="AH299" s="153"/>
      <c r="AI299" s="153"/>
    </row>
    <row r="300" spans="1:35" x14ac:dyDescent="0.25">
      <c r="A300" t="s">
        <v>453</v>
      </c>
      <c r="B300" s="153">
        <v>43528664.926315017</v>
      </c>
      <c r="C300" s="153">
        <v>39435853.926315017</v>
      </c>
      <c r="D300" s="153">
        <v>604575</v>
      </c>
      <c r="E300" s="153">
        <v>0</v>
      </c>
      <c r="F300" s="153">
        <v>3379476</v>
      </c>
      <c r="G300" s="153">
        <v>112544</v>
      </c>
      <c r="H300" s="153">
        <v>7211865</v>
      </c>
      <c r="I300" s="153">
        <v>1761</v>
      </c>
      <c r="J300" s="153">
        <v>246127.29</v>
      </c>
      <c r="K300" s="153"/>
      <c r="L300" s="153">
        <f t="shared" si="8"/>
        <v>75539</v>
      </c>
      <c r="M300" s="153">
        <v>2677</v>
      </c>
      <c r="N300" s="153">
        <v>78216</v>
      </c>
      <c r="O300" s="153">
        <f t="shared" si="9"/>
        <v>73104</v>
      </c>
      <c r="P300" s="153">
        <v>1774</v>
      </c>
      <c r="Q300" s="153">
        <v>74878</v>
      </c>
      <c r="R300" s="153"/>
      <c r="S300" s="153"/>
      <c r="T300" s="153"/>
      <c r="U300" s="153"/>
      <c r="V300" s="153"/>
      <c r="W300" s="153"/>
      <c r="X300" s="153"/>
      <c r="Y300" s="153"/>
      <c r="Z300" s="153"/>
      <c r="AA300" s="153"/>
      <c r="AB300" s="153"/>
      <c r="AC300" s="153"/>
      <c r="AD300" s="153"/>
      <c r="AE300" s="153"/>
      <c r="AF300" s="153"/>
      <c r="AG300" s="153"/>
      <c r="AH300" s="153"/>
      <c r="AI300" s="153"/>
    </row>
    <row r="301" spans="1:35" x14ac:dyDescent="0.25">
      <c r="A301" t="s">
        <v>161</v>
      </c>
      <c r="B301" s="153">
        <v>58558386.945074774</v>
      </c>
      <c r="C301" s="153">
        <v>46023575.945074774</v>
      </c>
      <c r="D301" s="153">
        <v>2793174</v>
      </c>
      <c r="E301" s="153">
        <v>0</v>
      </c>
      <c r="F301" s="153">
        <v>8917395</v>
      </c>
      <c r="G301" s="153">
        <v>579172</v>
      </c>
      <c r="H301" s="153">
        <v>12718888</v>
      </c>
      <c r="I301" s="153">
        <v>20610</v>
      </c>
      <c r="J301" s="153">
        <v>806550.67</v>
      </c>
      <c r="K301" s="153"/>
      <c r="L301" s="153">
        <f t="shared" si="8"/>
        <v>95478</v>
      </c>
      <c r="M301" s="153">
        <v>1368</v>
      </c>
      <c r="N301" s="153">
        <v>96846</v>
      </c>
      <c r="O301" s="153">
        <f t="shared" si="9"/>
        <v>93935</v>
      </c>
      <c r="P301">
        <v>992</v>
      </c>
      <c r="Q301" s="153">
        <v>94927</v>
      </c>
      <c r="R301" s="153"/>
      <c r="S301" s="153"/>
      <c r="T301" s="153"/>
      <c r="U301" s="153"/>
      <c r="V301" s="153"/>
      <c r="W301" s="153"/>
      <c r="X301" s="153"/>
      <c r="Y301" s="153"/>
      <c r="Z301" s="153"/>
      <c r="AA301" s="153"/>
      <c r="AB301" s="153"/>
      <c r="AC301" s="153"/>
      <c r="AD301" s="153"/>
      <c r="AE301" s="153"/>
      <c r="AF301" s="153"/>
      <c r="AG301" s="153"/>
      <c r="AH301" s="153"/>
      <c r="AI301" s="153"/>
    </row>
    <row r="302" spans="1:35" x14ac:dyDescent="0.25">
      <c r="A302" t="s">
        <v>281</v>
      </c>
      <c r="B302" s="153">
        <v>99270199.784001455</v>
      </c>
      <c r="C302" s="153">
        <v>89470205.784001455</v>
      </c>
      <c r="D302" s="153">
        <v>2070282</v>
      </c>
      <c r="E302" s="153">
        <v>0</v>
      </c>
      <c r="F302" s="153">
        <v>7174448</v>
      </c>
      <c r="G302" s="153">
        <v>649964</v>
      </c>
      <c r="H302" s="153">
        <v>19342809</v>
      </c>
      <c r="I302" s="153">
        <v>1316</v>
      </c>
      <c r="J302" s="153">
        <v>1490294.93</v>
      </c>
      <c r="K302" s="153"/>
      <c r="L302" s="153">
        <f t="shared" si="8"/>
        <v>201657</v>
      </c>
      <c r="M302" s="153">
        <v>5584</v>
      </c>
      <c r="N302" s="153">
        <v>207241</v>
      </c>
      <c r="O302" s="153">
        <f t="shared" si="9"/>
        <v>204609</v>
      </c>
      <c r="P302" s="153">
        <v>6532</v>
      </c>
      <c r="Q302" s="153">
        <v>211141</v>
      </c>
      <c r="R302" s="153"/>
      <c r="S302" s="153"/>
      <c r="T302" s="153"/>
      <c r="U302" s="153"/>
      <c r="V302" s="153"/>
      <c r="W302" s="153"/>
      <c r="X302" s="153"/>
      <c r="Y302" s="153"/>
      <c r="Z302" s="153"/>
      <c r="AA302" s="153"/>
      <c r="AB302" s="153"/>
      <c r="AC302" s="153"/>
      <c r="AD302" s="153"/>
      <c r="AE302" s="153"/>
      <c r="AF302" s="153"/>
      <c r="AG302" s="153"/>
      <c r="AH302" s="153"/>
      <c r="AI302" s="153"/>
    </row>
    <row r="303" spans="1:35" x14ac:dyDescent="0.25">
      <c r="A303" t="s">
        <v>400</v>
      </c>
      <c r="B303" s="153">
        <v>25888112.656203091</v>
      </c>
      <c r="C303" s="153">
        <v>24129309.656203091</v>
      </c>
      <c r="D303" s="153">
        <v>333684</v>
      </c>
      <c r="E303" s="153">
        <v>0</v>
      </c>
      <c r="F303" s="153">
        <v>1142799</v>
      </c>
      <c r="G303" s="153">
        <v>275756</v>
      </c>
      <c r="H303" s="153">
        <v>2967479</v>
      </c>
      <c r="I303" s="153">
        <v>1059</v>
      </c>
      <c r="J303" s="153">
        <v>63490.43</v>
      </c>
      <c r="K303" s="153"/>
      <c r="L303" s="153">
        <f t="shared" si="8"/>
        <v>69029</v>
      </c>
      <c r="M303" s="153">
        <v>3705</v>
      </c>
      <c r="N303" s="153">
        <v>72734</v>
      </c>
      <c r="O303" s="153">
        <f t="shared" si="9"/>
        <v>67170</v>
      </c>
      <c r="P303" s="153">
        <v>4394</v>
      </c>
      <c r="Q303" s="153">
        <v>71564</v>
      </c>
      <c r="R303" s="153"/>
      <c r="S303" s="153"/>
      <c r="T303" s="153"/>
      <c r="U303" s="153"/>
      <c r="V303" s="153"/>
      <c r="W303" s="153"/>
      <c r="X303" s="153"/>
      <c r="Y303" s="153"/>
      <c r="Z303" s="153"/>
      <c r="AA303" s="153"/>
      <c r="AB303" s="153"/>
      <c r="AC303" s="153"/>
      <c r="AD303" s="153"/>
      <c r="AE303" s="153"/>
      <c r="AF303" s="153"/>
      <c r="AG303" s="153"/>
      <c r="AH303" s="153"/>
      <c r="AI303" s="153"/>
    </row>
    <row r="304" spans="1:35" x14ac:dyDescent="0.25">
      <c r="A304" t="s">
        <v>454</v>
      </c>
      <c r="B304" s="153">
        <v>57340105.652319998</v>
      </c>
      <c r="C304" s="153">
        <v>51599060.652319998</v>
      </c>
      <c r="D304" s="153">
        <v>1342779</v>
      </c>
      <c r="E304" s="153">
        <v>0</v>
      </c>
      <c r="F304" s="153">
        <v>4085266</v>
      </c>
      <c r="G304" s="153">
        <v>357325</v>
      </c>
      <c r="H304" s="153">
        <v>7536184</v>
      </c>
      <c r="I304" s="153">
        <v>2122</v>
      </c>
      <c r="J304" s="153">
        <v>282838.75</v>
      </c>
      <c r="K304" s="153"/>
      <c r="L304" s="153">
        <f t="shared" si="8"/>
        <v>116720</v>
      </c>
      <c r="M304" s="153">
        <v>10651</v>
      </c>
      <c r="N304" s="153">
        <v>127371</v>
      </c>
      <c r="O304" s="153">
        <f t="shared" si="9"/>
        <v>116776</v>
      </c>
      <c r="P304" s="153">
        <v>4936</v>
      </c>
      <c r="Q304" s="153">
        <v>121712</v>
      </c>
      <c r="R304" s="153"/>
      <c r="S304" s="153"/>
      <c r="T304" s="153"/>
      <c r="U304" s="153"/>
      <c r="V304" s="153"/>
      <c r="W304" s="153"/>
      <c r="X304" s="153"/>
      <c r="Y304" s="153"/>
      <c r="Z304" s="153"/>
      <c r="AA304" s="153"/>
      <c r="AB304" s="153"/>
      <c r="AC304" s="153"/>
      <c r="AD304" s="153"/>
      <c r="AE304" s="153"/>
      <c r="AF304" s="153"/>
      <c r="AG304" s="153"/>
      <c r="AH304" s="153"/>
      <c r="AI304" s="153"/>
    </row>
    <row r="305" spans="1:35" x14ac:dyDescent="0.25">
      <c r="A305" t="s">
        <v>325</v>
      </c>
      <c r="B305" s="153">
        <v>95190386.005111217</v>
      </c>
      <c r="C305" s="153">
        <v>86416799.005111217</v>
      </c>
      <c r="D305" s="153">
        <v>2520185</v>
      </c>
      <c r="E305" s="153">
        <v>0</v>
      </c>
      <c r="F305" s="153">
        <v>5458570</v>
      </c>
      <c r="G305" s="153">
        <v>697285</v>
      </c>
      <c r="H305" s="153">
        <v>19986254</v>
      </c>
      <c r="I305" s="153">
        <v>5678</v>
      </c>
      <c r="J305" s="153">
        <v>1402705.08</v>
      </c>
      <c r="K305" s="153"/>
      <c r="L305" s="153">
        <f t="shared" si="8"/>
        <v>173396</v>
      </c>
      <c r="M305" s="153">
        <v>5332</v>
      </c>
      <c r="N305" s="153">
        <v>178728</v>
      </c>
      <c r="O305" s="153">
        <f t="shared" si="9"/>
        <v>169952</v>
      </c>
      <c r="P305" s="153">
        <v>7120</v>
      </c>
      <c r="Q305" s="153">
        <v>177072</v>
      </c>
      <c r="R305" s="153"/>
      <c r="S305" s="153"/>
      <c r="T305" s="153"/>
      <c r="U305" s="153"/>
      <c r="V305" s="153"/>
      <c r="W305" s="153"/>
      <c r="X305" s="153"/>
      <c r="Y305" s="153"/>
      <c r="Z305" s="153"/>
      <c r="AA305" s="153"/>
      <c r="AB305" s="153"/>
      <c r="AC305" s="153"/>
      <c r="AD305" s="153"/>
      <c r="AE305" s="153"/>
      <c r="AF305" s="153"/>
      <c r="AG305" s="153"/>
      <c r="AH305" s="153"/>
      <c r="AI305" s="153"/>
    </row>
    <row r="306" spans="1:35" x14ac:dyDescent="0.25">
      <c r="A306" t="s">
        <v>490</v>
      </c>
      <c r="B306" s="153">
        <v>233702147.44873273</v>
      </c>
      <c r="C306" s="153">
        <v>153401952.27384573</v>
      </c>
      <c r="D306" s="153">
        <v>4098233</v>
      </c>
      <c r="E306" s="153">
        <v>46542823</v>
      </c>
      <c r="F306" s="153">
        <v>14114715</v>
      </c>
      <c r="G306" s="153">
        <v>15517463.174887002</v>
      </c>
      <c r="H306" s="153">
        <v>43066942</v>
      </c>
      <c r="I306" s="153">
        <v>12775</v>
      </c>
      <c r="J306" s="153">
        <v>4027213.65</v>
      </c>
      <c r="K306" s="153"/>
      <c r="L306" s="153">
        <f t="shared" si="8"/>
        <v>413546</v>
      </c>
      <c r="M306" s="153">
        <v>4187</v>
      </c>
      <c r="N306" s="153">
        <v>417733</v>
      </c>
      <c r="O306" s="153">
        <f t="shared" si="9"/>
        <v>381272</v>
      </c>
      <c r="P306" s="153">
        <v>6365</v>
      </c>
      <c r="Q306" s="153">
        <v>387637</v>
      </c>
      <c r="R306" s="153"/>
      <c r="S306" s="153"/>
      <c r="T306" s="153"/>
      <c r="U306" s="153"/>
      <c r="V306" s="153"/>
      <c r="W306" s="153"/>
      <c r="X306" s="153"/>
      <c r="Y306" s="153"/>
      <c r="Z306" s="153"/>
      <c r="AA306" s="153"/>
      <c r="AB306" s="153"/>
      <c r="AC306" s="153"/>
      <c r="AD306" s="153"/>
      <c r="AE306" s="153"/>
      <c r="AF306" s="153"/>
      <c r="AG306" s="153"/>
      <c r="AH306" s="153"/>
      <c r="AI306" s="153"/>
    </row>
    <row r="307" spans="1:35" x14ac:dyDescent="0.25">
      <c r="A307" t="s">
        <v>491</v>
      </c>
      <c r="B307" s="153">
        <v>71071381.682610452</v>
      </c>
      <c r="C307" s="153">
        <v>58759953.682610452</v>
      </c>
      <c r="D307" s="153">
        <v>1177796</v>
      </c>
      <c r="E307" s="153">
        <v>0</v>
      </c>
      <c r="F307" s="153">
        <v>10376639</v>
      </c>
      <c r="G307" s="153">
        <v>769746</v>
      </c>
      <c r="H307" s="153">
        <v>13152338</v>
      </c>
      <c r="I307" s="153">
        <v>4087</v>
      </c>
      <c r="J307" s="153">
        <v>966428.34</v>
      </c>
      <c r="K307" s="153"/>
      <c r="L307" s="153">
        <f t="shared" si="8"/>
        <v>118491</v>
      </c>
      <c r="M307" s="153">
        <v>6594</v>
      </c>
      <c r="N307" s="153">
        <v>125085</v>
      </c>
      <c r="O307" s="153">
        <f t="shared" si="9"/>
        <v>115527</v>
      </c>
      <c r="P307" s="153">
        <v>4725</v>
      </c>
      <c r="Q307" s="153">
        <v>120252</v>
      </c>
      <c r="R307" s="153"/>
      <c r="S307" s="153"/>
      <c r="T307" s="153"/>
      <c r="U307" s="153"/>
      <c r="V307" s="153"/>
      <c r="W307" s="153"/>
      <c r="X307" s="153"/>
      <c r="Y307" s="153"/>
      <c r="Z307" s="153"/>
      <c r="AA307" s="153"/>
      <c r="AB307" s="153"/>
      <c r="AC307" s="153"/>
      <c r="AD307" s="153"/>
      <c r="AE307" s="153"/>
      <c r="AF307" s="153"/>
      <c r="AG307" s="153"/>
      <c r="AH307" s="153"/>
      <c r="AI307" s="153"/>
    </row>
    <row r="308" spans="1:35" x14ac:dyDescent="0.25">
      <c r="A308" t="s">
        <v>752</v>
      </c>
      <c r="B308" s="153">
        <v>74420814.627994642</v>
      </c>
      <c r="C308" s="153">
        <v>68931859.627994642</v>
      </c>
      <c r="D308" s="153">
        <v>1751262</v>
      </c>
      <c r="E308" s="153">
        <v>0</v>
      </c>
      <c r="F308" s="153">
        <v>3257449</v>
      </c>
      <c r="G308" s="153">
        <v>710678</v>
      </c>
      <c r="H308" s="153">
        <v>10384529</v>
      </c>
      <c r="I308" s="153">
        <v>1935</v>
      </c>
      <c r="J308" s="153">
        <v>1494747.13</v>
      </c>
      <c r="K308" s="153"/>
      <c r="L308" s="153">
        <f t="shared" si="8"/>
        <v>137757</v>
      </c>
      <c r="M308" s="153"/>
      <c r="N308" s="309">
        <v>137757</v>
      </c>
      <c r="O308" s="153">
        <f t="shared" si="9"/>
        <v>137757</v>
      </c>
      <c r="P308" s="153">
        <v>2064</v>
      </c>
      <c r="Q308" s="153">
        <v>139821</v>
      </c>
      <c r="R308" s="153"/>
      <c r="S308" s="153"/>
      <c r="T308" s="153"/>
      <c r="U308" s="153"/>
      <c r="V308" s="153"/>
      <c r="W308" s="153"/>
      <c r="X308" s="153"/>
      <c r="Y308" s="153"/>
      <c r="Z308" s="153"/>
      <c r="AA308" s="153"/>
      <c r="AB308" s="153"/>
      <c r="AC308" s="153"/>
      <c r="AD308" s="153"/>
      <c r="AE308" s="153"/>
      <c r="AF308" s="153"/>
      <c r="AG308" s="153"/>
      <c r="AH308" s="153"/>
      <c r="AI308" s="153"/>
    </row>
    <row r="309" spans="1:35" x14ac:dyDescent="0.25">
      <c r="A309" t="s">
        <v>378</v>
      </c>
      <c r="B309" s="153">
        <v>147914750.28921011</v>
      </c>
      <c r="C309" s="153">
        <v>115889345.41408333</v>
      </c>
      <c r="D309" s="153">
        <v>1383904</v>
      </c>
      <c r="E309" s="153">
        <v>17376648</v>
      </c>
      <c r="F309" s="153">
        <v>7972488</v>
      </c>
      <c r="G309" s="153">
        <v>5418703.87512678</v>
      </c>
      <c r="H309" s="153">
        <v>36591356</v>
      </c>
      <c r="I309" s="153">
        <v>5551</v>
      </c>
      <c r="J309" s="153">
        <v>4048222.39</v>
      </c>
      <c r="K309" s="153"/>
      <c r="L309" s="153">
        <f t="shared" si="8"/>
        <v>249021</v>
      </c>
      <c r="M309" s="153">
        <v>4209</v>
      </c>
      <c r="N309" s="153">
        <v>253230</v>
      </c>
      <c r="O309" s="153">
        <f t="shared" si="9"/>
        <v>242623</v>
      </c>
      <c r="P309" s="153">
        <v>12085</v>
      </c>
      <c r="Q309" s="153">
        <v>254708</v>
      </c>
      <c r="R309" s="153"/>
      <c r="S309" s="153"/>
      <c r="T309" s="153"/>
      <c r="U309" s="153"/>
      <c r="V309" s="153"/>
      <c r="W309" s="153"/>
      <c r="X309" s="153"/>
      <c r="Y309" s="153"/>
      <c r="Z309" s="153"/>
      <c r="AA309" s="153"/>
      <c r="AB309" s="153"/>
      <c r="AC309" s="153"/>
      <c r="AD309" s="153"/>
      <c r="AE309" s="153"/>
      <c r="AF309" s="153"/>
      <c r="AG309" s="153"/>
      <c r="AH309" s="153"/>
      <c r="AI309" s="153"/>
    </row>
    <row r="310" spans="1:35" x14ac:dyDescent="0.25">
      <c r="A310" t="s">
        <v>183</v>
      </c>
      <c r="B310" s="153">
        <v>2986672.1706494568</v>
      </c>
      <c r="C310" s="153">
        <v>2952889.1706494568</v>
      </c>
      <c r="D310" s="153">
        <v>4747</v>
      </c>
      <c r="E310" s="153">
        <v>0</v>
      </c>
      <c r="F310" s="153">
        <v>8496</v>
      </c>
      <c r="G310" s="153">
        <v>19549</v>
      </c>
      <c r="H310" s="153">
        <v>136949</v>
      </c>
      <c r="I310" s="153">
        <v>0</v>
      </c>
      <c r="J310" s="153">
        <v>54060.800000000003</v>
      </c>
      <c r="K310" s="153"/>
      <c r="L310" s="153">
        <f t="shared" si="8"/>
        <v>7096</v>
      </c>
      <c r="M310" s="153">
        <v>1168</v>
      </c>
      <c r="N310" s="153">
        <v>8264</v>
      </c>
      <c r="O310" s="153">
        <f t="shared" si="9"/>
        <v>7893</v>
      </c>
      <c r="P310">
        <v>285</v>
      </c>
      <c r="Q310" s="153">
        <v>8178</v>
      </c>
      <c r="R310" s="153"/>
      <c r="S310" s="153"/>
      <c r="T310" s="153"/>
      <c r="U310" s="153"/>
      <c r="V310" s="153"/>
      <c r="W310" s="153"/>
      <c r="X310" s="153"/>
      <c r="Y310" s="153"/>
      <c r="Z310" s="153"/>
      <c r="AA310" s="153"/>
      <c r="AB310" s="153"/>
      <c r="AC310" s="153"/>
      <c r="AD310" s="153"/>
      <c r="AE310" s="153"/>
      <c r="AF310" s="153"/>
      <c r="AG310" s="153"/>
      <c r="AH310" s="153"/>
      <c r="AI310" s="153"/>
    </row>
    <row r="311" spans="1:35" x14ac:dyDescent="0.25">
      <c r="A311" t="s">
        <v>401</v>
      </c>
      <c r="B311" s="153">
        <v>135610470.99944404</v>
      </c>
      <c r="C311" s="153">
        <v>72701400.572084963</v>
      </c>
      <c r="D311" s="153">
        <v>1090245</v>
      </c>
      <c r="E311" s="153">
        <v>44353968</v>
      </c>
      <c r="F311" s="153">
        <v>7199624</v>
      </c>
      <c r="G311" s="153">
        <v>10200831.42735908</v>
      </c>
      <c r="H311" s="153">
        <v>23332235</v>
      </c>
      <c r="I311" s="153">
        <v>10745</v>
      </c>
      <c r="J311" s="153">
        <v>1288180.7</v>
      </c>
      <c r="K311" s="153"/>
      <c r="L311" s="153">
        <f t="shared" si="8"/>
        <v>234756</v>
      </c>
      <c r="M311" s="153">
        <v>5187</v>
      </c>
      <c r="N311" s="153">
        <v>239943</v>
      </c>
      <c r="O311" s="153">
        <f t="shared" si="9"/>
        <v>212532</v>
      </c>
      <c r="P311" s="153">
        <v>3166</v>
      </c>
      <c r="Q311" s="153">
        <v>215698</v>
      </c>
      <c r="R311" s="153"/>
      <c r="S311" s="153"/>
      <c r="T311" s="153"/>
      <c r="U311" s="153"/>
      <c r="V311" s="153"/>
      <c r="W311" s="153"/>
      <c r="X311" s="153"/>
      <c r="Y311" s="153"/>
      <c r="Z311" s="153"/>
      <c r="AA311" s="153"/>
      <c r="AB311" s="153"/>
      <c r="AC311" s="153"/>
      <c r="AD311" s="153"/>
      <c r="AE311" s="153"/>
      <c r="AF311" s="153"/>
      <c r="AG311" s="153"/>
      <c r="AH311" s="153"/>
      <c r="AI311" s="153"/>
    </row>
    <row r="312" spans="1:35" x14ac:dyDescent="0.25">
      <c r="A312" t="s">
        <v>492</v>
      </c>
      <c r="B312" s="153">
        <v>16023107.515633432</v>
      </c>
      <c r="C312" s="153">
        <v>14220620.515633432</v>
      </c>
      <c r="D312" s="153">
        <v>269792</v>
      </c>
      <c r="E312" s="153">
        <v>0</v>
      </c>
      <c r="F312" s="153">
        <v>1446598</v>
      </c>
      <c r="G312" s="153">
        <v>86823</v>
      </c>
      <c r="H312" s="153">
        <v>1780155</v>
      </c>
      <c r="I312" s="153">
        <v>552</v>
      </c>
      <c r="J312" s="153">
        <v>54060.800000000003</v>
      </c>
      <c r="K312" s="153"/>
      <c r="L312" s="153">
        <f t="shared" si="8"/>
        <v>24860</v>
      </c>
      <c r="M312" s="153">
        <v>1232</v>
      </c>
      <c r="N312" s="153">
        <v>26092</v>
      </c>
      <c r="O312" s="153">
        <f t="shared" si="9"/>
        <v>24470</v>
      </c>
      <c r="P312">
        <v>910</v>
      </c>
      <c r="Q312" s="153">
        <v>25380</v>
      </c>
      <c r="R312" s="153"/>
      <c r="S312" s="153"/>
      <c r="T312" s="153"/>
      <c r="U312" s="153"/>
      <c r="V312" s="153"/>
      <c r="W312" s="153"/>
      <c r="X312" s="153"/>
      <c r="Y312" s="153"/>
      <c r="Z312" s="153"/>
      <c r="AA312" s="153"/>
      <c r="AB312" s="153"/>
      <c r="AC312" s="153"/>
      <c r="AD312" s="153"/>
      <c r="AE312" s="153"/>
      <c r="AF312" s="153"/>
      <c r="AG312" s="153"/>
      <c r="AH312" s="153"/>
      <c r="AI312" s="153"/>
    </row>
    <row r="313" spans="1:35" x14ac:dyDescent="0.25">
      <c r="A313" t="s">
        <v>379</v>
      </c>
      <c r="B313" s="153">
        <v>27996573.377809849</v>
      </c>
      <c r="C313" s="153">
        <v>27235429.377809849</v>
      </c>
      <c r="D313" s="153">
        <v>481850</v>
      </c>
      <c r="E313" s="153">
        <v>0</v>
      </c>
      <c r="F313" s="153">
        <v>123861</v>
      </c>
      <c r="G313" s="153">
        <v>159032</v>
      </c>
      <c r="H313" s="153">
        <v>4588228</v>
      </c>
      <c r="I313" s="153">
        <v>7429</v>
      </c>
      <c r="J313" s="153">
        <v>154580.87</v>
      </c>
      <c r="K313" s="153"/>
      <c r="L313" s="153">
        <f t="shared" si="8"/>
        <v>52354</v>
      </c>
      <c r="M313" s="153">
        <v>1391</v>
      </c>
      <c r="N313" s="153">
        <v>53745</v>
      </c>
      <c r="O313" s="153">
        <f t="shared" si="9"/>
        <v>50233</v>
      </c>
      <c r="P313" s="153">
        <v>2084</v>
      </c>
      <c r="Q313" s="153">
        <v>52317</v>
      </c>
      <c r="R313" s="153"/>
      <c r="S313" s="153"/>
      <c r="T313" s="153"/>
      <c r="U313" s="153"/>
      <c r="V313" s="153"/>
      <c r="W313" s="153"/>
      <c r="X313" s="153"/>
      <c r="Y313" s="153"/>
      <c r="Z313" s="153"/>
      <c r="AA313" s="153"/>
      <c r="AB313" s="153"/>
      <c r="AC313" s="153"/>
      <c r="AD313" s="153"/>
      <c r="AE313" s="153"/>
      <c r="AF313" s="153"/>
      <c r="AG313" s="153"/>
      <c r="AH313" s="153"/>
      <c r="AI313" s="153"/>
    </row>
    <row r="314" spans="1:35" x14ac:dyDescent="0.25">
      <c r="A314" t="s">
        <v>253</v>
      </c>
      <c r="B314" s="153">
        <v>35792931.510440424</v>
      </c>
      <c r="C314" s="153">
        <v>29045978.51044042</v>
      </c>
      <c r="D314" s="153">
        <v>4831502</v>
      </c>
      <c r="E314" s="153">
        <v>0</v>
      </c>
      <c r="F314" s="153">
        <v>1862254</v>
      </c>
      <c r="G314" s="153">
        <v>194710</v>
      </c>
      <c r="H314" s="153">
        <v>3754083</v>
      </c>
      <c r="I314" s="153">
        <v>1751</v>
      </c>
      <c r="J314" s="153">
        <v>61652.79</v>
      </c>
      <c r="K314" s="153"/>
      <c r="L314" s="153">
        <f t="shared" si="8"/>
        <v>60065</v>
      </c>
      <c r="M314" s="153">
        <v>1791</v>
      </c>
      <c r="N314" s="153">
        <v>61856</v>
      </c>
      <c r="O314" s="153">
        <f t="shared" si="9"/>
        <v>57169</v>
      </c>
      <c r="P314" s="153">
        <v>1832</v>
      </c>
      <c r="Q314" s="153">
        <v>59001</v>
      </c>
      <c r="R314" s="153"/>
      <c r="S314" s="153"/>
      <c r="T314" s="153"/>
      <c r="U314" s="153"/>
      <c r="V314" s="153"/>
      <c r="W314" s="153"/>
      <c r="X314" s="153"/>
      <c r="Y314" s="153"/>
      <c r="Z314" s="153"/>
      <c r="AA314" s="153"/>
      <c r="AB314" s="153"/>
      <c r="AC314" s="153"/>
      <c r="AD314" s="153"/>
      <c r="AE314" s="153"/>
      <c r="AF314" s="153"/>
      <c r="AG314" s="153"/>
      <c r="AH314" s="153"/>
      <c r="AI314" s="153"/>
    </row>
    <row r="315" spans="1:35" x14ac:dyDescent="0.25">
      <c r="A315" t="s">
        <v>455</v>
      </c>
      <c r="B315" s="153">
        <v>35298943.017754912</v>
      </c>
      <c r="C315" s="153">
        <v>30604112.017754912</v>
      </c>
      <c r="D315" s="153">
        <v>246167</v>
      </c>
      <c r="E315" s="153">
        <v>0</v>
      </c>
      <c r="F315" s="153">
        <v>4341719</v>
      </c>
      <c r="G315" s="153">
        <v>144468</v>
      </c>
      <c r="H315" s="153">
        <v>4707139</v>
      </c>
      <c r="I315" s="153">
        <v>3009</v>
      </c>
      <c r="J315" s="153">
        <v>71297.5</v>
      </c>
      <c r="K315" s="153"/>
      <c r="L315" s="153">
        <f t="shared" si="8"/>
        <v>65985</v>
      </c>
      <c r="M315" s="153">
        <v>24792</v>
      </c>
      <c r="N315" s="153">
        <v>90777</v>
      </c>
      <c r="O315" s="153">
        <f t="shared" si="9"/>
        <v>68545</v>
      </c>
      <c r="P315" s="153">
        <v>2734</v>
      </c>
      <c r="Q315" s="153">
        <v>71279</v>
      </c>
      <c r="R315" s="153"/>
      <c r="S315" s="153"/>
      <c r="T315" s="153"/>
      <c r="U315" s="153"/>
      <c r="V315" s="153"/>
      <c r="W315" s="153"/>
      <c r="X315" s="153"/>
      <c r="Y315" s="153"/>
      <c r="Z315" s="153"/>
      <c r="AA315" s="153"/>
      <c r="AB315" s="153"/>
      <c r="AC315" s="153"/>
      <c r="AD315" s="153"/>
      <c r="AE315" s="153"/>
      <c r="AF315" s="153"/>
      <c r="AG315" s="153"/>
      <c r="AH315" s="153"/>
      <c r="AI315" s="153"/>
    </row>
    <row r="316" spans="1:35" x14ac:dyDescent="0.25">
      <c r="A316" t="s">
        <v>753</v>
      </c>
      <c r="B316" s="153">
        <v>74556146.83612521</v>
      </c>
      <c r="C316" s="153">
        <v>66484487.756125212</v>
      </c>
      <c r="D316" s="153">
        <v>1579616</v>
      </c>
      <c r="E316" s="153">
        <v>0</v>
      </c>
      <c r="F316" s="153">
        <v>5773523</v>
      </c>
      <c r="G316" s="153">
        <v>695927</v>
      </c>
      <c r="H316" s="153">
        <v>15064322</v>
      </c>
      <c r="I316" s="153">
        <v>10833</v>
      </c>
      <c r="J316" s="153">
        <v>688768.05</v>
      </c>
      <c r="K316" s="153"/>
      <c r="L316" s="153">
        <f t="shared" si="8"/>
        <v>120045</v>
      </c>
      <c r="M316" s="153">
        <v>2850</v>
      </c>
      <c r="N316" s="153">
        <v>122895</v>
      </c>
      <c r="O316" s="309">
        <v>120045</v>
      </c>
      <c r="Q316" s="309">
        <v>122895</v>
      </c>
      <c r="R316" s="153"/>
      <c r="S316" s="153"/>
      <c r="T316" s="153"/>
      <c r="U316" s="153"/>
      <c r="V316" s="153"/>
      <c r="W316" s="153"/>
      <c r="X316" s="153"/>
      <c r="Y316" s="153"/>
      <c r="Z316" s="153"/>
      <c r="AA316" s="153"/>
      <c r="AB316" s="153"/>
      <c r="AC316" s="153"/>
      <c r="AD316" s="153"/>
      <c r="AE316" s="153"/>
      <c r="AF316" s="153"/>
      <c r="AG316" s="153"/>
      <c r="AH316" s="153"/>
      <c r="AI316" s="153"/>
    </row>
    <row r="317" spans="1:35" x14ac:dyDescent="0.25">
      <c r="A317" t="s">
        <v>456</v>
      </c>
      <c r="B317" s="153">
        <v>18367619.860276237</v>
      </c>
      <c r="C317" s="153">
        <v>16781882.860276237</v>
      </c>
      <c r="D317" s="153">
        <v>430155</v>
      </c>
      <c r="E317" s="153">
        <v>0</v>
      </c>
      <c r="F317" s="153">
        <v>1083187</v>
      </c>
      <c r="G317" s="153">
        <v>97570</v>
      </c>
      <c r="H317" s="153">
        <v>2792667</v>
      </c>
      <c r="I317" s="153">
        <v>1520</v>
      </c>
      <c r="J317" s="153">
        <v>54060.800000000003</v>
      </c>
      <c r="K317" s="153"/>
      <c r="L317" s="153">
        <f t="shared" si="8"/>
        <v>30369</v>
      </c>
      <c r="M317">
        <v>682</v>
      </c>
      <c r="N317" s="153">
        <v>31051</v>
      </c>
      <c r="O317" s="153">
        <f t="shared" si="9"/>
        <v>29499</v>
      </c>
      <c r="P317">
        <v>948</v>
      </c>
      <c r="Q317" s="153">
        <v>30447</v>
      </c>
      <c r="R317" s="153"/>
      <c r="S317" s="153"/>
      <c r="T317" s="153"/>
      <c r="U317" s="153"/>
      <c r="V317" s="153"/>
      <c r="W317" s="153"/>
      <c r="X317" s="153"/>
      <c r="Y317" s="153"/>
      <c r="Z317" s="153"/>
      <c r="AA317" s="153"/>
      <c r="AB317" s="153"/>
      <c r="AC317" s="153"/>
      <c r="AD317" s="153"/>
      <c r="AE317" s="153"/>
      <c r="AF317" s="153"/>
      <c r="AG317" s="153"/>
      <c r="AH317" s="153"/>
      <c r="AI317" s="153"/>
    </row>
    <row r="318" spans="1:35" x14ac:dyDescent="0.25">
      <c r="A318" t="s">
        <v>457</v>
      </c>
      <c r="B318" s="153">
        <v>69729305.714678422</v>
      </c>
      <c r="C318" s="153">
        <v>62035069.714678422</v>
      </c>
      <c r="D318" s="153">
        <v>1366755</v>
      </c>
      <c r="E318" s="153">
        <v>0</v>
      </c>
      <c r="F318" s="153">
        <v>5702111</v>
      </c>
      <c r="G318" s="153">
        <v>750115</v>
      </c>
      <c r="H318" s="153">
        <v>13562828</v>
      </c>
      <c r="I318" s="153">
        <v>15724</v>
      </c>
      <c r="J318" s="153">
        <v>1117672.28</v>
      </c>
      <c r="K318" s="153"/>
      <c r="L318" s="153">
        <f t="shared" si="8"/>
        <v>130649</v>
      </c>
      <c r="M318" s="153">
        <v>14471</v>
      </c>
      <c r="N318" s="153">
        <v>145120</v>
      </c>
      <c r="O318" s="153">
        <f t="shared" si="9"/>
        <v>118241</v>
      </c>
      <c r="P318" s="153">
        <v>4843</v>
      </c>
      <c r="Q318" s="153">
        <v>123084</v>
      </c>
      <c r="R318" s="153"/>
      <c r="S318" s="153"/>
      <c r="T318" s="153"/>
      <c r="U318" s="153"/>
      <c r="V318" s="153"/>
      <c r="W318" s="153"/>
      <c r="X318" s="153"/>
      <c r="Y318" s="153"/>
      <c r="Z318" s="153"/>
      <c r="AA318" s="153"/>
      <c r="AB318" s="153"/>
      <c r="AC318" s="153"/>
      <c r="AD318" s="153"/>
      <c r="AE318" s="153"/>
      <c r="AF318" s="153"/>
      <c r="AG318" s="153"/>
      <c r="AH318" s="153"/>
      <c r="AI318" s="153"/>
    </row>
    <row r="319" spans="1:35" x14ac:dyDescent="0.25">
      <c r="A319" t="s">
        <v>380</v>
      </c>
      <c r="B319" s="153">
        <v>36798333.128579728</v>
      </c>
      <c r="C319" s="153">
        <v>33440782.128579728</v>
      </c>
      <c r="D319" s="153">
        <v>1020950</v>
      </c>
      <c r="E319" s="153">
        <v>0</v>
      </c>
      <c r="F319" s="153">
        <v>2220994</v>
      </c>
      <c r="G319" s="153">
        <v>171123</v>
      </c>
      <c r="H319" s="153">
        <v>5381190</v>
      </c>
      <c r="I319" s="153">
        <v>0</v>
      </c>
      <c r="J319" s="153">
        <v>455515.63</v>
      </c>
      <c r="K319" s="153"/>
      <c r="L319" s="153">
        <f t="shared" si="8"/>
        <v>74720</v>
      </c>
      <c r="M319" s="153">
        <v>6248</v>
      </c>
      <c r="N319" s="153">
        <v>80968</v>
      </c>
      <c r="O319" s="153">
        <f t="shared" si="9"/>
        <v>80871</v>
      </c>
      <c r="P319" s="153">
        <v>10563</v>
      </c>
      <c r="Q319" s="153">
        <v>91434</v>
      </c>
      <c r="R319" s="153"/>
      <c r="S319" s="153"/>
      <c r="T319" s="153"/>
      <c r="U319" s="153"/>
      <c r="V319" s="153"/>
      <c r="W319" s="153"/>
      <c r="X319" s="153"/>
      <c r="Y319" s="153"/>
      <c r="Z319" s="153"/>
      <c r="AA319" s="153"/>
      <c r="AB319" s="153"/>
      <c r="AC319" s="153"/>
      <c r="AD319" s="153"/>
      <c r="AE319" s="153"/>
      <c r="AF319" s="153"/>
      <c r="AG319" s="153"/>
      <c r="AH319" s="153"/>
      <c r="AI319" s="153"/>
    </row>
    <row r="320" spans="1:35" x14ac:dyDescent="0.25">
      <c r="A320" t="s">
        <v>254</v>
      </c>
      <c r="B320" s="153">
        <v>50654034.387804076</v>
      </c>
      <c r="C320" s="153">
        <v>45777670.387804076</v>
      </c>
      <c r="D320" s="153">
        <v>625292</v>
      </c>
      <c r="E320" s="153">
        <v>0</v>
      </c>
      <c r="F320" s="153">
        <v>3630383</v>
      </c>
      <c r="G320" s="153">
        <v>326019</v>
      </c>
      <c r="H320" s="153">
        <v>11644027</v>
      </c>
      <c r="I320" s="153">
        <v>2676</v>
      </c>
      <c r="J320" s="153">
        <v>384652.3</v>
      </c>
      <c r="K320" s="153"/>
      <c r="L320" s="153">
        <f t="shared" si="8"/>
        <v>97829</v>
      </c>
      <c r="M320">
        <v>857</v>
      </c>
      <c r="N320" s="153">
        <v>98686</v>
      </c>
      <c r="O320" s="153">
        <f t="shared" si="9"/>
        <v>95283</v>
      </c>
      <c r="P320" s="153">
        <v>2023</v>
      </c>
      <c r="Q320" s="153">
        <v>97306</v>
      </c>
      <c r="R320" s="153"/>
      <c r="S320" s="153"/>
      <c r="T320" s="153"/>
      <c r="U320" s="153"/>
      <c r="V320" s="153"/>
      <c r="W320" s="153"/>
      <c r="X320" s="153"/>
      <c r="Y320" s="153"/>
      <c r="Z320" s="153"/>
      <c r="AA320" s="153"/>
      <c r="AB320" s="153"/>
      <c r="AC320" s="153"/>
      <c r="AD320" s="153"/>
      <c r="AE320" s="153"/>
      <c r="AF320" s="153"/>
      <c r="AG320" s="153"/>
      <c r="AH320" s="153"/>
      <c r="AI320" s="153"/>
    </row>
    <row r="321" spans="1:35" x14ac:dyDescent="0.25">
      <c r="A321" t="s">
        <v>381</v>
      </c>
      <c r="B321" s="153">
        <v>27475508.668305427</v>
      </c>
      <c r="C321" s="153">
        <v>25974292.668305427</v>
      </c>
      <c r="D321" s="153">
        <v>327546</v>
      </c>
      <c r="E321" s="153">
        <v>0</v>
      </c>
      <c r="F321" s="153">
        <v>988506</v>
      </c>
      <c r="G321" s="153">
        <v>220453</v>
      </c>
      <c r="H321" s="153">
        <v>5948235</v>
      </c>
      <c r="I321" s="153">
        <v>10188</v>
      </c>
      <c r="J321" s="153">
        <v>114585.45</v>
      </c>
      <c r="K321" s="153"/>
      <c r="L321" s="153">
        <f t="shared" si="8"/>
        <v>57992</v>
      </c>
      <c r="M321" s="153">
        <v>7988</v>
      </c>
      <c r="N321" s="153">
        <v>65980</v>
      </c>
      <c r="O321" s="153">
        <f t="shared" si="9"/>
        <v>56141</v>
      </c>
      <c r="P321" s="153">
        <v>3169</v>
      </c>
      <c r="Q321" s="153">
        <v>59310</v>
      </c>
      <c r="R321" s="153"/>
      <c r="S321" s="153"/>
      <c r="T321" s="153"/>
      <c r="U321" s="153"/>
      <c r="V321" s="153"/>
      <c r="W321" s="153"/>
      <c r="X321" s="153"/>
      <c r="Y321" s="153"/>
      <c r="Z321" s="153"/>
      <c r="AA321" s="153"/>
      <c r="AB321" s="153"/>
      <c r="AC321" s="153"/>
      <c r="AD321" s="153"/>
      <c r="AE321" s="153"/>
      <c r="AF321" s="153"/>
      <c r="AG321" s="153"/>
      <c r="AH321" s="153"/>
      <c r="AI321" s="153"/>
    </row>
    <row r="322" spans="1:35" x14ac:dyDescent="0.25">
      <c r="A322" t="s">
        <v>326</v>
      </c>
      <c r="B322" s="153">
        <v>19744076.172371149</v>
      </c>
      <c r="C322" s="153">
        <v>18847323.172371149</v>
      </c>
      <c r="D322" s="153">
        <v>203619</v>
      </c>
      <c r="E322" s="153">
        <v>0</v>
      </c>
      <c r="F322" s="153">
        <v>578309</v>
      </c>
      <c r="G322" s="153">
        <v>158896</v>
      </c>
      <c r="H322" s="153">
        <v>2205694</v>
      </c>
      <c r="I322" s="153">
        <v>2202</v>
      </c>
      <c r="J322" s="153">
        <v>54060.800000000003</v>
      </c>
      <c r="K322" s="153"/>
      <c r="L322" s="153">
        <f t="shared" si="8"/>
        <v>35234</v>
      </c>
      <c r="M322" s="153">
        <v>1006</v>
      </c>
      <c r="N322" s="153">
        <v>36240</v>
      </c>
      <c r="O322" s="153">
        <f t="shared" si="9"/>
        <v>32852</v>
      </c>
      <c r="P322">
        <v>246</v>
      </c>
      <c r="Q322" s="153">
        <v>33098</v>
      </c>
      <c r="R322" s="153"/>
      <c r="S322" s="153"/>
      <c r="T322" s="153"/>
      <c r="U322" s="153"/>
      <c r="V322" s="153"/>
      <c r="W322" s="153"/>
      <c r="X322" s="153"/>
      <c r="Y322" s="153"/>
      <c r="Z322" s="153"/>
      <c r="AA322" s="153"/>
      <c r="AB322" s="153"/>
      <c r="AC322" s="153"/>
      <c r="AD322" s="153"/>
      <c r="AE322" s="153"/>
      <c r="AF322" s="153"/>
      <c r="AG322" s="153"/>
      <c r="AH322" s="153"/>
      <c r="AI322" s="153"/>
    </row>
    <row r="323" spans="1:35" x14ac:dyDescent="0.25">
      <c r="A323" t="s">
        <v>493</v>
      </c>
      <c r="B323" s="153">
        <v>79811684.448229596</v>
      </c>
      <c r="C323" s="153">
        <v>68600355.448229596</v>
      </c>
      <c r="D323" s="153">
        <v>1758548</v>
      </c>
      <c r="E323" s="153">
        <v>0</v>
      </c>
      <c r="F323" s="153">
        <v>8767951</v>
      </c>
      <c r="G323" s="153">
        <v>613283</v>
      </c>
      <c r="H323" s="153">
        <v>13019766</v>
      </c>
      <c r="I323" s="153">
        <v>1414</v>
      </c>
      <c r="J323" s="153">
        <v>1130982.26</v>
      </c>
      <c r="K323" s="153"/>
      <c r="L323" s="153">
        <f t="shared" ref="L323:L356" si="10">SUM(-M323,N323)</f>
        <v>144717</v>
      </c>
      <c r="M323" s="153">
        <v>8503</v>
      </c>
      <c r="N323" s="153">
        <v>153220</v>
      </c>
      <c r="O323" s="153">
        <f t="shared" ref="O323:O356" si="11">SUM(-P323,Q323)</f>
        <v>146942</v>
      </c>
      <c r="P323" s="153">
        <v>6267</v>
      </c>
      <c r="Q323" s="153">
        <v>153209</v>
      </c>
      <c r="R323" s="153"/>
      <c r="S323" s="153"/>
      <c r="T323" s="153"/>
      <c r="U323" s="153"/>
      <c r="V323" s="153"/>
      <c r="W323" s="153"/>
      <c r="X323" s="153"/>
      <c r="Y323" s="153"/>
      <c r="Z323" s="153"/>
      <c r="AA323" s="153"/>
      <c r="AB323" s="153"/>
      <c r="AC323" s="153"/>
      <c r="AD323" s="153"/>
      <c r="AE323" s="153"/>
      <c r="AF323" s="153"/>
      <c r="AG323" s="153"/>
      <c r="AH323" s="153"/>
      <c r="AI323" s="153"/>
    </row>
    <row r="324" spans="1:35" x14ac:dyDescent="0.25">
      <c r="A324" t="s">
        <v>327</v>
      </c>
      <c r="B324" s="153">
        <v>26476115.907275017</v>
      </c>
      <c r="C324" s="153">
        <v>25199136.907275017</v>
      </c>
      <c r="D324" s="153">
        <v>468849</v>
      </c>
      <c r="E324" s="153">
        <v>0</v>
      </c>
      <c r="F324" s="153">
        <v>754415</v>
      </c>
      <c r="G324" s="153">
        <v>146732</v>
      </c>
      <c r="H324" s="153">
        <v>5746368</v>
      </c>
      <c r="I324" s="153">
        <v>1507</v>
      </c>
      <c r="J324" s="153">
        <v>335000.40000000002</v>
      </c>
      <c r="K324" s="153"/>
      <c r="L324" s="153">
        <f t="shared" si="10"/>
        <v>49631</v>
      </c>
      <c r="M324" s="153">
        <v>1448</v>
      </c>
      <c r="N324" s="153">
        <v>51079</v>
      </c>
      <c r="O324" s="153">
        <f t="shared" si="11"/>
        <v>47264</v>
      </c>
      <c r="P324">
        <v>535</v>
      </c>
      <c r="Q324" s="153">
        <v>47799</v>
      </c>
      <c r="R324" s="153"/>
      <c r="S324" s="153"/>
      <c r="T324" s="153"/>
      <c r="U324" s="153"/>
      <c r="V324" s="153"/>
      <c r="W324" s="153"/>
      <c r="X324" s="153"/>
      <c r="Y324" s="153"/>
      <c r="Z324" s="153"/>
      <c r="AA324" s="153"/>
      <c r="AB324" s="153"/>
      <c r="AC324" s="153"/>
      <c r="AD324" s="153"/>
      <c r="AE324" s="153"/>
      <c r="AF324" s="153"/>
      <c r="AG324" s="153"/>
      <c r="AH324" s="153"/>
      <c r="AI324" s="153"/>
    </row>
    <row r="325" spans="1:35" x14ac:dyDescent="0.25">
      <c r="A325" t="s">
        <v>255</v>
      </c>
      <c r="B325" s="153">
        <v>24222615.297974411</v>
      </c>
      <c r="C325" s="153">
        <v>22137254.297974411</v>
      </c>
      <c r="D325" s="153">
        <v>567653</v>
      </c>
      <c r="E325" s="153">
        <v>0</v>
      </c>
      <c r="F325" s="153">
        <v>1243465</v>
      </c>
      <c r="G325" s="153">
        <v>250577</v>
      </c>
      <c r="H325" s="153">
        <v>3322862</v>
      </c>
      <c r="I325" s="153">
        <v>1957</v>
      </c>
      <c r="J325" s="153">
        <v>646663.68000000005</v>
      </c>
      <c r="K325" s="153"/>
      <c r="L325" s="153">
        <f t="shared" si="10"/>
        <v>40889</v>
      </c>
      <c r="M325" s="153">
        <v>2050</v>
      </c>
      <c r="N325" s="153">
        <v>42939</v>
      </c>
      <c r="O325" s="153">
        <f t="shared" si="11"/>
        <v>41555</v>
      </c>
      <c r="P325">
        <v>544</v>
      </c>
      <c r="Q325" s="153">
        <v>42099</v>
      </c>
      <c r="R325" s="153"/>
      <c r="S325" s="153"/>
      <c r="T325" s="153"/>
      <c r="U325" s="153"/>
      <c r="V325" s="153"/>
      <c r="W325" s="153"/>
      <c r="X325" s="153"/>
      <c r="Y325" s="153"/>
      <c r="Z325" s="153"/>
      <c r="AA325" s="153"/>
      <c r="AB325" s="153"/>
      <c r="AC325" s="153"/>
      <c r="AD325" s="153"/>
      <c r="AE325" s="153"/>
      <c r="AF325" s="153"/>
      <c r="AG325" s="153"/>
      <c r="AH325" s="153"/>
      <c r="AI325" s="153"/>
    </row>
    <row r="326" spans="1:35" x14ac:dyDescent="0.25">
      <c r="A326" t="s">
        <v>754</v>
      </c>
      <c r="B326" s="153">
        <v>61396766.295283236</v>
      </c>
      <c r="C326" s="153">
        <v>56703857.295283236</v>
      </c>
      <c r="D326" s="153">
        <v>668634</v>
      </c>
      <c r="E326" s="153">
        <v>0</v>
      </c>
      <c r="F326" s="153">
        <v>3723257</v>
      </c>
      <c r="G326" s="153">
        <v>423073</v>
      </c>
      <c r="H326" s="153">
        <v>7565063</v>
      </c>
      <c r="I326" s="153">
        <v>8714</v>
      </c>
      <c r="J326" s="153">
        <v>167575.85999999999</v>
      </c>
      <c r="K326" s="153"/>
      <c r="L326" s="153">
        <f t="shared" si="10"/>
        <v>111876</v>
      </c>
      <c r="M326" s="153"/>
      <c r="N326" s="309">
        <v>111876</v>
      </c>
      <c r="O326" s="153">
        <f t="shared" si="11"/>
        <v>111876</v>
      </c>
      <c r="P326" s="153">
        <v>4274</v>
      </c>
      <c r="Q326" s="153">
        <v>116150</v>
      </c>
      <c r="R326" s="153"/>
      <c r="S326" s="153"/>
      <c r="T326" s="153"/>
      <c r="U326" s="153"/>
      <c r="V326" s="153"/>
      <c r="W326" s="153"/>
      <c r="X326" s="153"/>
      <c r="Y326" s="153"/>
      <c r="Z326" s="153"/>
      <c r="AA326" s="153"/>
      <c r="AB326" s="153"/>
      <c r="AC326" s="153"/>
      <c r="AD326" s="153"/>
      <c r="AE326" s="153"/>
      <c r="AF326" s="153"/>
      <c r="AG326" s="153"/>
      <c r="AH326" s="153"/>
      <c r="AI326" s="153"/>
    </row>
    <row r="327" spans="1:35" x14ac:dyDescent="0.25">
      <c r="A327" t="s">
        <v>755</v>
      </c>
      <c r="B327" s="153">
        <v>93697024.326162085</v>
      </c>
      <c r="C327" s="153">
        <v>81031626.326162085</v>
      </c>
      <c r="D327" s="153">
        <v>3731782</v>
      </c>
      <c r="E327" s="153">
        <v>0</v>
      </c>
      <c r="F327" s="153">
        <v>8156105</v>
      </c>
      <c r="G327" s="153">
        <v>791348</v>
      </c>
      <c r="H327" s="153">
        <v>15034676</v>
      </c>
      <c r="I327" s="153">
        <v>20968</v>
      </c>
      <c r="J327" s="153">
        <v>388123</v>
      </c>
      <c r="K327" s="153"/>
      <c r="L327" s="153">
        <f t="shared" si="10"/>
        <v>154555</v>
      </c>
      <c r="M327" s="153"/>
      <c r="N327" s="309">
        <v>154555</v>
      </c>
      <c r="O327" s="153">
        <f t="shared" si="11"/>
        <v>154555</v>
      </c>
      <c r="P327" s="153">
        <v>2889</v>
      </c>
      <c r="Q327" s="153">
        <v>157444</v>
      </c>
      <c r="R327" s="153"/>
      <c r="S327" s="153"/>
      <c r="T327" s="153"/>
      <c r="U327" s="153"/>
      <c r="V327" s="153"/>
      <c r="W327" s="153"/>
      <c r="X327" s="153"/>
      <c r="Y327" s="153"/>
      <c r="Z327" s="153"/>
      <c r="AA327" s="153"/>
      <c r="AB327" s="153"/>
      <c r="AC327" s="153"/>
      <c r="AD327" s="153"/>
      <c r="AE327" s="153"/>
      <c r="AF327" s="153"/>
      <c r="AG327" s="153"/>
      <c r="AH327" s="153"/>
      <c r="AI327" s="153"/>
    </row>
    <row r="328" spans="1:35" x14ac:dyDescent="0.25">
      <c r="A328" t="s">
        <v>139</v>
      </c>
      <c r="B328" s="153">
        <v>29516285.804219216</v>
      </c>
      <c r="C328" s="153">
        <v>26035142.804219216</v>
      </c>
      <c r="D328" s="153">
        <v>484802</v>
      </c>
      <c r="E328" s="153">
        <v>0</v>
      </c>
      <c r="F328" s="153">
        <v>2790027</v>
      </c>
      <c r="G328" s="153">
        <v>199951</v>
      </c>
      <c r="H328" s="153">
        <v>3366262</v>
      </c>
      <c r="I328" s="153">
        <v>7596</v>
      </c>
      <c r="J328" s="153">
        <v>62065.56</v>
      </c>
      <c r="K328" s="153"/>
      <c r="L328" s="153">
        <f t="shared" si="10"/>
        <v>49034</v>
      </c>
      <c r="M328" s="153">
        <v>4989</v>
      </c>
      <c r="N328" s="153">
        <v>54023</v>
      </c>
      <c r="O328" s="153">
        <f t="shared" si="11"/>
        <v>47620</v>
      </c>
      <c r="P328" s="153">
        <v>2218</v>
      </c>
      <c r="Q328" s="153">
        <v>49838</v>
      </c>
      <c r="R328" s="153"/>
      <c r="S328" s="153"/>
      <c r="T328" s="153"/>
      <c r="U328" s="153"/>
      <c r="V328" s="153"/>
      <c r="W328" s="153"/>
      <c r="X328" s="153"/>
      <c r="Y328" s="153"/>
      <c r="Z328" s="153"/>
      <c r="AA328" s="153"/>
      <c r="AB328" s="153"/>
      <c r="AC328" s="153"/>
      <c r="AD328" s="153"/>
      <c r="AE328" s="153"/>
      <c r="AF328" s="153"/>
      <c r="AG328" s="153"/>
      <c r="AH328" s="153"/>
      <c r="AI328" s="153"/>
    </row>
    <row r="329" spans="1:35" x14ac:dyDescent="0.25">
      <c r="A329" t="s">
        <v>256</v>
      </c>
      <c r="B329" s="153">
        <v>23086381.801511429</v>
      </c>
      <c r="C329" s="153">
        <v>20087449.801511429</v>
      </c>
      <c r="D329" s="153">
        <v>474132</v>
      </c>
      <c r="E329" s="153">
        <v>0</v>
      </c>
      <c r="F329" s="153">
        <v>2389924</v>
      </c>
      <c r="G329" s="153">
        <v>180876</v>
      </c>
      <c r="H329" s="153">
        <v>5037182</v>
      </c>
      <c r="I329" s="153">
        <v>1154</v>
      </c>
      <c r="J329" s="153">
        <v>304519.01</v>
      </c>
      <c r="K329" s="153"/>
      <c r="L329" s="153">
        <f t="shared" si="10"/>
        <v>35920</v>
      </c>
      <c r="M329">
        <v>221</v>
      </c>
      <c r="N329" s="153">
        <v>36141</v>
      </c>
      <c r="O329" s="153">
        <f t="shared" si="11"/>
        <v>35596</v>
      </c>
      <c r="P329">
        <v>291</v>
      </c>
      <c r="Q329" s="153">
        <v>35887</v>
      </c>
      <c r="R329" s="153"/>
      <c r="S329" s="153"/>
      <c r="T329" s="153"/>
      <c r="U329" s="153"/>
      <c r="V329" s="153"/>
      <c r="W329" s="153"/>
      <c r="X329" s="153"/>
      <c r="Y329" s="153"/>
      <c r="Z329" s="153"/>
      <c r="AA329" s="153"/>
      <c r="AB329" s="153"/>
      <c r="AC329" s="153"/>
      <c r="AD329" s="153"/>
      <c r="AE329" s="153"/>
      <c r="AF329" s="153"/>
      <c r="AG329" s="153"/>
      <c r="AH329" s="153"/>
      <c r="AI329" s="153"/>
    </row>
    <row r="330" spans="1:35" x14ac:dyDescent="0.25">
      <c r="A330" t="s">
        <v>756</v>
      </c>
      <c r="B330" s="153">
        <v>51789809.374045439</v>
      </c>
      <c r="C330" s="153">
        <v>39513044.374045439</v>
      </c>
      <c r="D330" s="153">
        <v>1256401</v>
      </c>
      <c r="E330" s="153">
        <v>0</v>
      </c>
      <c r="F330" s="153">
        <v>8294042</v>
      </c>
      <c r="G330" s="153">
        <v>2701590</v>
      </c>
      <c r="H330" s="153">
        <v>7770547</v>
      </c>
      <c r="I330" s="153">
        <v>2072</v>
      </c>
      <c r="J330" s="153">
        <v>641496.42000000004</v>
      </c>
      <c r="K330" s="153"/>
      <c r="L330" s="153">
        <f t="shared" si="10"/>
        <v>82862</v>
      </c>
      <c r="M330" s="153">
        <v>1135</v>
      </c>
      <c r="N330" s="153">
        <v>83997</v>
      </c>
      <c r="O330" s="309">
        <v>82862</v>
      </c>
      <c r="Q330" s="309">
        <v>83997</v>
      </c>
      <c r="R330" s="153"/>
      <c r="S330" s="153"/>
      <c r="T330" s="153"/>
      <c r="U330" s="153"/>
      <c r="V330" s="153"/>
      <c r="W330" s="153"/>
      <c r="X330" s="153"/>
      <c r="Y330" s="153"/>
      <c r="Z330" s="153"/>
      <c r="AA330" s="153"/>
      <c r="AB330" s="153"/>
      <c r="AC330" s="153"/>
      <c r="AD330" s="153"/>
      <c r="AE330" s="153"/>
      <c r="AF330" s="153"/>
      <c r="AG330" s="153"/>
      <c r="AH330" s="153"/>
      <c r="AI330" s="153"/>
    </row>
    <row r="331" spans="1:35" x14ac:dyDescent="0.25">
      <c r="A331" t="s">
        <v>382</v>
      </c>
      <c r="B331" s="153">
        <v>127713262.46035177</v>
      </c>
      <c r="C331" s="153">
        <v>118012542.46035177</v>
      </c>
      <c r="D331" s="153">
        <v>1897684</v>
      </c>
      <c r="E331" s="153">
        <v>0</v>
      </c>
      <c r="F331" s="153">
        <v>6912388</v>
      </c>
      <c r="G331" s="153">
        <v>909681</v>
      </c>
      <c r="H331" s="153">
        <v>19531542</v>
      </c>
      <c r="I331" s="153">
        <v>8370</v>
      </c>
      <c r="J331" s="153">
        <v>1353726.89</v>
      </c>
      <c r="K331" s="153"/>
      <c r="L331" s="153">
        <f t="shared" si="10"/>
        <v>288983</v>
      </c>
      <c r="M331" s="153">
        <v>24589</v>
      </c>
      <c r="N331" s="153">
        <v>313572</v>
      </c>
      <c r="O331" s="153">
        <f t="shared" si="11"/>
        <v>260004</v>
      </c>
      <c r="P331" s="153">
        <v>15699</v>
      </c>
      <c r="Q331" s="153">
        <v>275703</v>
      </c>
      <c r="R331" s="153"/>
      <c r="S331" s="153"/>
      <c r="T331" s="153"/>
      <c r="U331" s="153"/>
      <c r="V331" s="153"/>
      <c r="W331" s="153"/>
      <c r="X331" s="153"/>
      <c r="Y331" s="153"/>
      <c r="Z331" s="153"/>
      <c r="AA331" s="153"/>
      <c r="AB331" s="153"/>
      <c r="AC331" s="153"/>
      <c r="AD331" s="153"/>
      <c r="AE331" s="153"/>
      <c r="AF331" s="153"/>
      <c r="AG331" s="153"/>
      <c r="AH331" s="153"/>
      <c r="AI331" s="153"/>
    </row>
    <row r="332" spans="1:35" x14ac:dyDescent="0.25">
      <c r="A332" t="s">
        <v>184</v>
      </c>
      <c r="B332" s="153">
        <v>43819478.301901266</v>
      </c>
      <c r="C332" s="153">
        <v>37991434.301901266</v>
      </c>
      <c r="D332" s="153">
        <v>801288</v>
      </c>
      <c r="E332" s="153">
        <v>0</v>
      </c>
      <c r="F332" s="153">
        <v>4520433</v>
      </c>
      <c r="G332" s="153">
        <v>446087</v>
      </c>
      <c r="H332" s="153">
        <v>7090485</v>
      </c>
      <c r="I332" s="153">
        <v>6297</v>
      </c>
      <c r="J332" s="153">
        <v>337938.93</v>
      </c>
      <c r="K332" s="153"/>
      <c r="L332" s="153">
        <f t="shared" si="10"/>
        <v>74854</v>
      </c>
      <c r="M332">
        <v>392</v>
      </c>
      <c r="N332" s="153">
        <v>75246</v>
      </c>
      <c r="O332" s="153">
        <f t="shared" si="11"/>
        <v>71762</v>
      </c>
      <c r="P332">
        <v>404</v>
      </c>
      <c r="Q332" s="153">
        <v>72166</v>
      </c>
      <c r="R332" s="153"/>
      <c r="S332" s="153"/>
      <c r="T332" s="153"/>
      <c r="U332" s="153"/>
      <c r="V332" s="153"/>
      <c r="W332" s="153"/>
      <c r="X332" s="153"/>
      <c r="Y332" s="153"/>
      <c r="Z332" s="153"/>
      <c r="AA332" s="153"/>
      <c r="AB332" s="153"/>
      <c r="AC332" s="153"/>
      <c r="AD332" s="153"/>
      <c r="AE332" s="153"/>
      <c r="AF332" s="153"/>
      <c r="AG332" s="153"/>
      <c r="AH332" s="153"/>
      <c r="AI332" s="153"/>
    </row>
    <row r="333" spans="1:35" x14ac:dyDescent="0.25">
      <c r="A333" t="s">
        <v>383</v>
      </c>
      <c r="B333" s="153">
        <v>16306817.204615541</v>
      </c>
      <c r="C333" s="153">
        <v>14953423.204615541</v>
      </c>
      <c r="D333" s="153">
        <v>1149834</v>
      </c>
      <c r="E333" s="153">
        <v>0</v>
      </c>
      <c r="F333" s="153">
        <v>49100</v>
      </c>
      <c r="G333" s="153">
        <v>148638</v>
      </c>
      <c r="H333" s="153">
        <v>1835263</v>
      </c>
      <c r="I333" s="153">
        <v>0</v>
      </c>
      <c r="J333" s="153">
        <v>77803.100000000006</v>
      </c>
      <c r="K333" s="153"/>
      <c r="L333" s="153">
        <f t="shared" si="10"/>
        <v>71095</v>
      </c>
      <c r="M333" s="153">
        <v>3714</v>
      </c>
      <c r="N333" s="153">
        <v>74809</v>
      </c>
      <c r="O333" s="153">
        <f t="shared" si="11"/>
        <v>42296</v>
      </c>
      <c r="P333" s="153">
        <v>3963</v>
      </c>
      <c r="Q333" s="153">
        <v>46259</v>
      </c>
      <c r="R333" s="153"/>
      <c r="S333" s="153"/>
      <c r="T333" s="153"/>
      <c r="U333" s="153"/>
      <c r="V333" s="153"/>
      <c r="W333" s="153"/>
      <c r="X333" s="153"/>
      <c r="Y333" s="153"/>
      <c r="Z333" s="153"/>
      <c r="AA333" s="153"/>
      <c r="AB333" s="153"/>
      <c r="AC333" s="153"/>
      <c r="AD333" s="153"/>
      <c r="AE333" s="153"/>
      <c r="AF333" s="153"/>
      <c r="AG333" s="153"/>
      <c r="AH333" s="153"/>
      <c r="AI333" s="153"/>
    </row>
    <row r="334" spans="1:35" x14ac:dyDescent="0.25">
      <c r="A334" t="s">
        <v>206</v>
      </c>
      <c r="B334" s="153">
        <v>29731618.581236821</v>
      </c>
      <c r="C334" s="153">
        <v>26759463.581236821</v>
      </c>
      <c r="D334" s="153">
        <v>758676</v>
      </c>
      <c r="E334" s="153">
        <v>0</v>
      </c>
      <c r="F334" s="153">
        <v>2175679</v>
      </c>
      <c r="G334" s="153">
        <v>183655</v>
      </c>
      <c r="H334" s="153">
        <v>3032640</v>
      </c>
      <c r="I334" s="153">
        <v>5435</v>
      </c>
      <c r="J334" s="153">
        <v>63028.68</v>
      </c>
      <c r="K334" s="153"/>
      <c r="L334" s="153">
        <f t="shared" si="10"/>
        <v>53638</v>
      </c>
      <c r="M334" s="153">
        <v>3343</v>
      </c>
      <c r="N334" s="153">
        <v>56981</v>
      </c>
      <c r="O334" s="153">
        <f t="shared" si="11"/>
        <v>49219</v>
      </c>
      <c r="P334" s="153">
        <v>2385</v>
      </c>
      <c r="Q334" s="153">
        <v>51604</v>
      </c>
      <c r="R334" s="153"/>
      <c r="S334" s="153"/>
      <c r="T334" s="153"/>
      <c r="U334" s="153"/>
      <c r="V334" s="153"/>
      <c r="W334" s="153"/>
      <c r="X334" s="153"/>
      <c r="Y334" s="153"/>
      <c r="Z334" s="153"/>
      <c r="AA334" s="153"/>
      <c r="AB334" s="153"/>
      <c r="AC334" s="153"/>
      <c r="AD334" s="153"/>
      <c r="AE334" s="153"/>
      <c r="AF334" s="153"/>
      <c r="AG334" s="153"/>
      <c r="AH334" s="153"/>
      <c r="AI334" s="153"/>
    </row>
    <row r="335" spans="1:35" x14ac:dyDescent="0.25">
      <c r="A335" t="s">
        <v>257</v>
      </c>
      <c r="B335" s="153">
        <v>56685531.44162517</v>
      </c>
      <c r="C335" s="153">
        <v>51101103.44162517</v>
      </c>
      <c r="D335" s="153">
        <v>618396</v>
      </c>
      <c r="E335" s="153">
        <v>0</v>
      </c>
      <c r="F335" s="153">
        <v>4537535</v>
      </c>
      <c r="G335" s="153">
        <v>411519</v>
      </c>
      <c r="H335" s="153">
        <v>10136868</v>
      </c>
      <c r="I335" s="153">
        <v>6252</v>
      </c>
      <c r="J335" s="153">
        <v>370755.88</v>
      </c>
      <c r="K335" s="153"/>
      <c r="L335" s="153">
        <f t="shared" si="10"/>
        <v>93022</v>
      </c>
      <c r="M335" s="153">
        <v>2956</v>
      </c>
      <c r="N335" s="153">
        <v>95978</v>
      </c>
      <c r="O335" s="153">
        <f t="shared" si="11"/>
        <v>89180</v>
      </c>
      <c r="P335" s="153">
        <v>9336</v>
      </c>
      <c r="Q335" s="153">
        <v>98516</v>
      </c>
      <c r="R335" s="153"/>
      <c r="S335" s="153"/>
      <c r="T335" s="153"/>
      <c r="U335" s="153"/>
      <c r="V335" s="153"/>
      <c r="W335" s="153"/>
      <c r="X335" s="153"/>
      <c r="Y335" s="153"/>
      <c r="Z335" s="153"/>
      <c r="AA335" s="153"/>
      <c r="AB335" s="153"/>
      <c r="AC335" s="153"/>
      <c r="AD335" s="153"/>
      <c r="AE335" s="153"/>
      <c r="AF335" s="153"/>
      <c r="AG335" s="153"/>
      <c r="AH335" s="153"/>
      <c r="AI335" s="153"/>
    </row>
    <row r="336" spans="1:35" x14ac:dyDescent="0.25">
      <c r="A336" t="s">
        <v>328</v>
      </c>
      <c r="B336" s="153">
        <v>24499064.357545424</v>
      </c>
      <c r="C336" s="153">
        <v>23470780.357545424</v>
      </c>
      <c r="D336" s="153">
        <v>213957</v>
      </c>
      <c r="E336" s="153">
        <v>0</v>
      </c>
      <c r="F336" s="153">
        <v>671454</v>
      </c>
      <c r="G336" s="153">
        <v>187238</v>
      </c>
      <c r="H336" s="153">
        <v>3154471</v>
      </c>
      <c r="I336" s="153">
        <v>6729</v>
      </c>
      <c r="J336" s="153">
        <v>62340.73</v>
      </c>
      <c r="K336" s="153"/>
      <c r="L336" s="153">
        <f t="shared" si="10"/>
        <v>47211</v>
      </c>
      <c r="M336" s="153">
        <v>3629</v>
      </c>
      <c r="N336" s="153">
        <v>50840</v>
      </c>
      <c r="O336" s="153">
        <f t="shared" si="11"/>
        <v>49912</v>
      </c>
      <c r="P336" s="153">
        <v>2429</v>
      </c>
      <c r="Q336" s="153">
        <v>52341</v>
      </c>
      <c r="R336" s="153"/>
      <c r="S336" s="153"/>
      <c r="T336" s="153"/>
      <c r="U336" s="153"/>
      <c r="V336" s="153"/>
      <c r="W336" s="153"/>
      <c r="X336" s="153"/>
      <c r="Y336" s="153"/>
      <c r="Z336" s="153"/>
      <c r="AA336" s="153"/>
      <c r="AB336" s="153"/>
      <c r="AC336" s="153"/>
      <c r="AD336" s="153"/>
      <c r="AE336" s="153"/>
      <c r="AF336" s="153"/>
      <c r="AG336" s="153"/>
      <c r="AH336" s="153"/>
      <c r="AI336" s="153"/>
    </row>
    <row r="337" spans="1:35" x14ac:dyDescent="0.25">
      <c r="A337" t="s">
        <v>283</v>
      </c>
      <c r="B337" s="153">
        <v>28535270.481432032</v>
      </c>
      <c r="C337" s="153">
        <v>26328552.481432032</v>
      </c>
      <c r="D337" s="153">
        <v>639051</v>
      </c>
      <c r="E337" s="153">
        <v>0</v>
      </c>
      <c r="F337" s="153">
        <v>1361990</v>
      </c>
      <c r="G337" s="153">
        <v>166878</v>
      </c>
      <c r="H337" s="153">
        <v>3707870</v>
      </c>
      <c r="I337" s="153">
        <v>4747</v>
      </c>
      <c r="J337" s="153">
        <v>213016.93</v>
      </c>
      <c r="K337" s="153"/>
      <c r="L337" s="153">
        <f t="shared" si="10"/>
        <v>52026</v>
      </c>
      <c r="M337">
        <v>792</v>
      </c>
      <c r="N337" s="153">
        <v>52818</v>
      </c>
      <c r="O337" s="153">
        <f t="shared" si="11"/>
        <v>50671</v>
      </c>
      <c r="P337" s="153">
        <v>1181</v>
      </c>
      <c r="Q337" s="153">
        <v>51852</v>
      </c>
      <c r="R337" s="153"/>
      <c r="S337" s="153"/>
      <c r="T337" s="153"/>
      <c r="U337" s="153"/>
      <c r="V337" s="153"/>
      <c r="W337" s="153"/>
      <c r="X337" s="153"/>
      <c r="Y337" s="153"/>
      <c r="Z337" s="153"/>
      <c r="AA337" s="153"/>
      <c r="AB337" s="153"/>
      <c r="AC337" s="153"/>
      <c r="AD337" s="153"/>
      <c r="AE337" s="153"/>
      <c r="AF337" s="153"/>
      <c r="AG337" s="153"/>
      <c r="AH337" s="153"/>
      <c r="AI337" s="153"/>
    </row>
    <row r="338" spans="1:35" x14ac:dyDescent="0.25">
      <c r="A338" t="s">
        <v>258</v>
      </c>
      <c r="B338" s="153">
        <v>48812488.048629582</v>
      </c>
      <c r="C338" s="153">
        <v>41535959.048629582</v>
      </c>
      <c r="D338" s="153">
        <v>335122</v>
      </c>
      <c r="E338" s="153">
        <v>0</v>
      </c>
      <c r="F338" s="153">
        <v>6386587</v>
      </c>
      <c r="G338" s="153">
        <v>539431</v>
      </c>
      <c r="H338" s="153">
        <v>8463711</v>
      </c>
      <c r="I338" s="153">
        <v>7545</v>
      </c>
      <c r="J338" s="153">
        <v>598962.68999999994</v>
      </c>
      <c r="K338" s="153"/>
      <c r="L338" s="153">
        <f t="shared" si="10"/>
        <v>94255</v>
      </c>
      <c r="M338" s="153">
        <v>1283</v>
      </c>
      <c r="N338" s="153">
        <v>95538</v>
      </c>
      <c r="O338" s="153">
        <f t="shared" si="11"/>
        <v>134372</v>
      </c>
      <c r="P338" s="153">
        <v>1873</v>
      </c>
      <c r="Q338" s="153">
        <v>136245</v>
      </c>
      <c r="R338" s="153"/>
      <c r="S338" s="153"/>
      <c r="T338" s="153"/>
      <c r="U338" s="153"/>
      <c r="V338" s="153"/>
      <c r="W338" s="153"/>
      <c r="X338" s="153"/>
      <c r="Y338" s="153"/>
      <c r="Z338" s="153"/>
      <c r="AA338" s="153"/>
      <c r="AB338" s="153"/>
      <c r="AC338" s="153"/>
      <c r="AD338" s="153"/>
      <c r="AE338" s="153"/>
      <c r="AF338" s="153"/>
      <c r="AG338" s="153"/>
      <c r="AH338" s="153"/>
      <c r="AI338" s="153"/>
    </row>
    <row r="339" spans="1:35" x14ac:dyDescent="0.25">
      <c r="A339" t="s">
        <v>459</v>
      </c>
      <c r="B339" s="153">
        <v>29294202.72672268</v>
      </c>
      <c r="C339" s="153">
        <v>25187160.72672268</v>
      </c>
      <c r="D339" s="153">
        <v>1737586</v>
      </c>
      <c r="E339" s="153">
        <v>0</v>
      </c>
      <c r="F339" s="153">
        <v>2171082</v>
      </c>
      <c r="G339" s="153">
        <v>185189</v>
      </c>
      <c r="H339" s="153">
        <v>4131167</v>
      </c>
      <c r="I339" s="153">
        <v>2520</v>
      </c>
      <c r="J339" s="153">
        <v>320270.21999999997</v>
      </c>
      <c r="K339" s="153"/>
      <c r="L339" s="153">
        <f t="shared" si="10"/>
        <v>46455</v>
      </c>
      <c r="M339" s="153">
        <v>4009</v>
      </c>
      <c r="N339" s="153">
        <v>50464</v>
      </c>
      <c r="O339" s="153">
        <f t="shared" si="11"/>
        <v>52414</v>
      </c>
      <c r="P339" s="153">
        <v>2491</v>
      </c>
      <c r="Q339" s="153">
        <v>54905</v>
      </c>
      <c r="R339" s="153"/>
      <c r="S339" s="153"/>
      <c r="T339" s="153"/>
      <c r="U339" s="153"/>
      <c r="V339" s="153"/>
      <c r="W339" s="153"/>
      <c r="X339" s="153"/>
      <c r="Y339" s="153"/>
      <c r="Z339" s="153"/>
      <c r="AA339" s="153"/>
      <c r="AB339" s="153"/>
      <c r="AC339" s="153"/>
      <c r="AD339" s="153"/>
      <c r="AE339" s="153"/>
      <c r="AF339" s="153"/>
      <c r="AG339" s="153"/>
      <c r="AH339" s="153"/>
      <c r="AI339" s="153"/>
    </row>
    <row r="340" spans="1:35" x14ac:dyDescent="0.25">
      <c r="A340" t="s">
        <v>284</v>
      </c>
      <c r="B340" s="153">
        <v>70033700.634947032</v>
      </c>
      <c r="C340" s="153">
        <v>63417060.634947032</v>
      </c>
      <c r="D340" s="153">
        <v>676484</v>
      </c>
      <c r="E340" s="153">
        <v>0</v>
      </c>
      <c r="F340" s="153">
        <v>5564581</v>
      </c>
      <c r="G340" s="153">
        <v>365575</v>
      </c>
      <c r="H340" s="153">
        <v>8838289</v>
      </c>
      <c r="I340" s="153">
        <v>3904</v>
      </c>
      <c r="J340" s="153">
        <v>461420.73</v>
      </c>
      <c r="K340" s="153"/>
      <c r="L340" s="153">
        <f t="shared" si="10"/>
        <v>116458</v>
      </c>
      <c r="M340" s="153">
        <v>6148</v>
      </c>
      <c r="N340" s="153">
        <v>122606</v>
      </c>
      <c r="O340" s="153">
        <f t="shared" si="11"/>
        <v>139677</v>
      </c>
      <c r="P340" s="153">
        <v>7742</v>
      </c>
      <c r="Q340" s="153">
        <v>147419</v>
      </c>
      <c r="R340" s="153"/>
      <c r="S340" s="153"/>
      <c r="T340" s="153"/>
      <c r="U340" s="153"/>
      <c r="V340" s="153"/>
      <c r="W340" s="153"/>
      <c r="X340" s="153"/>
      <c r="Y340" s="153"/>
      <c r="Z340" s="153"/>
      <c r="AA340" s="153"/>
      <c r="AB340" s="153"/>
      <c r="AC340" s="153"/>
      <c r="AD340" s="153"/>
      <c r="AE340" s="153"/>
      <c r="AF340" s="153"/>
      <c r="AG340" s="153"/>
      <c r="AH340" s="153"/>
      <c r="AI340" s="153"/>
    </row>
    <row r="341" spans="1:35" x14ac:dyDescent="0.25">
      <c r="A341" t="s">
        <v>329</v>
      </c>
      <c r="B341" s="153">
        <v>20107110.020773511</v>
      </c>
      <c r="C341" s="153">
        <v>19059283.020773511</v>
      </c>
      <c r="D341" s="153">
        <v>240024</v>
      </c>
      <c r="E341" s="153">
        <v>0</v>
      </c>
      <c r="F341" s="153">
        <v>580504</v>
      </c>
      <c r="G341" s="153">
        <v>208118</v>
      </c>
      <c r="H341" s="153">
        <v>3112099</v>
      </c>
      <c r="I341" s="153">
        <v>1177</v>
      </c>
      <c r="J341" s="153">
        <v>242201.49</v>
      </c>
      <c r="K341" s="153"/>
      <c r="L341" s="153">
        <f t="shared" si="10"/>
        <v>33850</v>
      </c>
      <c r="M341">
        <v>484</v>
      </c>
      <c r="N341" s="153">
        <v>34334</v>
      </c>
      <c r="O341" s="153">
        <f t="shared" si="11"/>
        <v>31290</v>
      </c>
      <c r="P341">
        <v>518</v>
      </c>
      <c r="Q341" s="153">
        <v>31808</v>
      </c>
      <c r="R341" s="153"/>
      <c r="S341" s="153"/>
      <c r="T341" s="153"/>
      <c r="U341" s="153"/>
      <c r="V341" s="153"/>
      <c r="W341" s="153"/>
      <c r="X341" s="153"/>
      <c r="Y341" s="153"/>
      <c r="Z341" s="153"/>
      <c r="AA341" s="153"/>
      <c r="AB341" s="153"/>
      <c r="AC341" s="153"/>
      <c r="AD341" s="153"/>
      <c r="AE341" s="153"/>
      <c r="AF341" s="153"/>
      <c r="AG341" s="153"/>
      <c r="AH341" s="153"/>
      <c r="AI341" s="153"/>
    </row>
    <row r="342" spans="1:35" x14ac:dyDescent="0.25">
      <c r="A342" t="s">
        <v>285</v>
      </c>
      <c r="B342" s="153">
        <v>15204548.524696616</v>
      </c>
      <c r="C342" s="153">
        <v>14313739.524696616</v>
      </c>
      <c r="D342" s="153">
        <v>443939</v>
      </c>
      <c r="E342" s="153">
        <v>0</v>
      </c>
      <c r="F342" s="153">
        <v>361187</v>
      </c>
      <c r="G342" s="153">
        <v>109657</v>
      </c>
      <c r="H342" s="153">
        <v>1569475</v>
      </c>
      <c r="I342" s="153">
        <v>1632</v>
      </c>
      <c r="J342" s="153">
        <v>116766.16</v>
      </c>
      <c r="K342" s="153"/>
      <c r="L342" s="153">
        <f t="shared" si="10"/>
        <v>50983</v>
      </c>
      <c r="M342" s="153">
        <v>1862</v>
      </c>
      <c r="N342" s="153">
        <v>52845</v>
      </c>
      <c r="O342" s="153">
        <f t="shared" si="11"/>
        <v>32193</v>
      </c>
      <c r="P342" s="153">
        <v>1245</v>
      </c>
      <c r="Q342" s="153">
        <v>33438</v>
      </c>
      <c r="R342" s="153"/>
      <c r="S342" s="153"/>
      <c r="T342" s="153"/>
      <c r="U342" s="153"/>
      <c r="V342" s="153"/>
      <c r="W342" s="153"/>
      <c r="X342" s="153"/>
      <c r="Y342" s="153"/>
      <c r="Z342" s="153"/>
      <c r="AA342" s="153"/>
      <c r="AB342" s="153"/>
      <c r="AC342" s="153"/>
      <c r="AD342" s="153"/>
      <c r="AE342" s="153"/>
      <c r="AF342" s="153"/>
      <c r="AG342" s="153"/>
      <c r="AH342" s="153"/>
      <c r="AI342" s="153"/>
    </row>
    <row r="343" spans="1:35" x14ac:dyDescent="0.25">
      <c r="A343" t="s">
        <v>330</v>
      </c>
      <c r="B343" s="153">
        <v>269978036.43583071</v>
      </c>
      <c r="C343" s="153">
        <v>233733789.58762431</v>
      </c>
      <c r="D343" s="153">
        <v>3747322</v>
      </c>
      <c r="E343" s="153">
        <v>12045734</v>
      </c>
      <c r="F343" s="153">
        <v>9455521</v>
      </c>
      <c r="G343" s="153">
        <v>11497231.848206392</v>
      </c>
      <c r="H343" s="153">
        <v>57381888</v>
      </c>
      <c r="I343" s="153">
        <v>21893</v>
      </c>
      <c r="J343" s="153">
        <v>6461516.3200000003</v>
      </c>
      <c r="K343" s="153"/>
      <c r="L343" s="153">
        <f t="shared" si="10"/>
        <v>516500</v>
      </c>
      <c r="M343" s="153">
        <v>30614</v>
      </c>
      <c r="N343" s="153">
        <v>547114</v>
      </c>
      <c r="O343" s="153">
        <f t="shared" si="11"/>
        <v>473691</v>
      </c>
      <c r="P343" s="153">
        <v>31805</v>
      </c>
      <c r="Q343" s="153">
        <v>505496</v>
      </c>
      <c r="R343" s="153"/>
      <c r="S343" s="153"/>
      <c r="T343" s="153"/>
      <c r="U343" s="153"/>
      <c r="V343" s="153"/>
      <c r="W343" s="153"/>
      <c r="X343" s="153"/>
      <c r="Y343" s="153"/>
      <c r="Z343" s="153"/>
      <c r="AA343" s="153"/>
      <c r="AB343" s="153"/>
      <c r="AC343" s="153"/>
      <c r="AD343" s="153"/>
      <c r="AE343" s="153"/>
      <c r="AF343" s="153"/>
      <c r="AG343" s="153"/>
      <c r="AH343" s="153"/>
      <c r="AI343" s="153"/>
    </row>
    <row r="344" spans="1:35" x14ac:dyDescent="0.25">
      <c r="A344" t="s">
        <v>259</v>
      </c>
      <c r="B344" s="153">
        <v>37611095.888072371</v>
      </c>
      <c r="C344" s="153">
        <v>33399807.888072371</v>
      </c>
      <c r="D344" s="153">
        <v>847833</v>
      </c>
      <c r="E344" s="153">
        <v>0</v>
      </c>
      <c r="F344" s="153">
        <v>3130630</v>
      </c>
      <c r="G344" s="153">
        <v>393535</v>
      </c>
      <c r="H344" s="153">
        <v>4768697</v>
      </c>
      <c r="I344" s="153">
        <v>2148</v>
      </c>
      <c r="J344" s="153">
        <v>530580.62</v>
      </c>
      <c r="K344" s="153"/>
      <c r="L344" s="153">
        <f t="shared" si="10"/>
        <v>87420</v>
      </c>
      <c r="M344" s="153">
        <v>3171</v>
      </c>
      <c r="N344" s="153">
        <v>90591</v>
      </c>
      <c r="O344" s="153">
        <f t="shared" si="11"/>
        <v>85512</v>
      </c>
      <c r="P344" s="153">
        <v>3962</v>
      </c>
      <c r="Q344" s="153">
        <v>89474</v>
      </c>
      <c r="R344" s="153"/>
      <c r="S344" s="153"/>
      <c r="T344" s="153"/>
      <c r="U344" s="153"/>
      <c r="V344" s="153"/>
      <c r="W344" s="153"/>
      <c r="X344" s="153"/>
      <c r="Y344" s="153"/>
      <c r="Z344" s="153"/>
      <c r="AA344" s="153"/>
      <c r="AB344" s="153"/>
      <c r="AC344" s="153"/>
      <c r="AD344" s="153"/>
      <c r="AE344" s="153"/>
      <c r="AF344" s="153"/>
      <c r="AG344" s="153"/>
      <c r="AH344" s="153"/>
      <c r="AI344" s="153"/>
    </row>
    <row r="345" spans="1:35" x14ac:dyDescent="0.25">
      <c r="A345" t="s">
        <v>331</v>
      </c>
      <c r="B345" s="153">
        <v>23445048.375445746</v>
      </c>
      <c r="C345" s="153">
        <v>22441178.375445746</v>
      </c>
      <c r="D345" s="153">
        <v>200193</v>
      </c>
      <c r="E345" s="153">
        <v>0</v>
      </c>
      <c r="F345" s="153">
        <v>655397</v>
      </c>
      <c r="G345" s="153">
        <v>188071</v>
      </c>
      <c r="H345" s="153">
        <v>5659185</v>
      </c>
      <c r="I345" s="153">
        <v>923</v>
      </c>
      <c r="J345" s="153">
        <v>146307.72</v>
      </c>
      <c r="K345" s="153"/>
      <c r="L345" s="153">
        <f t="shared" si="10"/>
        <v>50474</v>
      </c>
      <c r="M345" s="153">
        <v>2430</v>
      </c>
      <c r="N345" s="153">
        <v>52904</v>
      </c>
      <c r="O345" s="153">
        <f t="shared" si="11"/>
        <v>48058</v>
      </c>
      <c r="P345">
        <v>795</v>
      </c>
      <c r="Q345" s="153">
        <v>48853</v>
      </c>
      <c r="R345" s="153"/>
      <c r="S345" s="153"/>
      <c r="T345" s="153"/>
      <c r="U345" s="153"/>
      <c r="V345" s="153"/>
      <c r="W345" s="153"/>
      <c r="X345" s="153"/>
      <c r="Y345" s="153"/>
      <c r="Z345" s="153"/>
      <c r="AA345" s="153"/>
      <c r="AB345" s="153"/>
      <c r="AC345" s="153"/>
      <c r="AD345" s="153"/>
      <c r="AE345" s="153"/>
      <c r="AF345" s="153"/>
      <c r="AG345" s="153"/>
      <c r="AH345" s="153"/>
      <c r="AI345" s="153"/>
    </row>
    <row r="346" spans="1:35" x14ac:dyDescent="0.25">
      <c r="A346" t="s">
        <v>499</v>
      </c>
      <c r="B346" s="153">
        <v>28371614.794041023</v>
      </c>
      <c r="C346" s="153">
        <v>26369035.794041023</v>
      </c>
      <c r="D346" s="153">
        <v>1147636</v>
      </c>
      <c r="E346" s="153">
        <v>0</v>
      </c>
      <c r="F346" s="153">
        <v>443399</v>
      </c>
      <c r="G346" s="153">
        <v>263781</v>
      </c>
      <c r="H346" s="153">
        <v>4649840</v>
      </c>
      <c r="I346" s="153">
        <v>10769</v>
      </c>
      <c r="J346" s="153">
        <v>193418.75</v>
      </c>
      <c r="K346" s="153"/>
      <c r="L346" s="153">
        <f t="shared" si="10"/>
        <v>52968</v>
      </c>
      <c r="M346" s="153">
        <v>1113</v>
      </c>
      <c r="N346" s="153">
        <v>54081</v>
      </c>
      <c r="O346" s="153">
        <f t="shared" si="11"/>
        <v>47884</v>
      </c>
      <c r="P346" s="153">
        <v>3734</v>
      </c>
      <c r="Q346" s="153">
        <v>51618</v>
      </c>
      <c r="R346" s="153"/>
      <c r="S346" s="153"/>
      <c r="T346" s="153"/>
      <c r="U346" s="153"/>
      <c r="V346" s="153"/>
      <c r="W346" s="153"/>
      <c r="X346" s="153"/>
      <c r="Y346" s="153"/>
      <c r="Z346" s="153"/>
      <c r="AA346" s="153"/>
      <c r="AB346" s="153"/>
      <c r="AC346" s="153"/>
      <c r="AD346" s="153"/>
      <c r="AE346" s="153"/>
      <c r="AF346" s="153"/>
      <c r="AG346" s="153"/>
      <c r="AH346" s="153"/>
      <c r="AI346" s="153"/>
    </row>
    <row r="347" spans="1:35" x14ac:dyDescent="0.25">
      <c r="A347" t="s">
        <v>286</v>
      </c>
      <c r="B347" s="153">
        <v>95445696.309260771</v>
      </c>
      <c r="C347" s="153">
        <v>84497939.309260771</v>
      </c>
      <c r="D347" s="153">
        <v>5235783</v>
      </c>
      <c r="E347" s="153">
        <v>0</v>
      </c>
      <c r="F347" s="153">
        <v>5130814</v>
      </c>
      <c r="G347" s="153">
        <v>701732</v>
      </c>
      <c r="H347" s="153">
        <v>18446231</v>
      </c>
      <c r="I347" s="153">
        <v>11150</v>
      </c>
      <c r="J347" s="153">
        <v>1189729.3400000001</v>
      </c>
      <c r="K347" s="153"/>
      <c r="L347" s="153">
        <f t="shared" si="10"/>
        <v>153501</v>
      </c>
      <c r="M347" s="153">
        <v>8746</v>
      </c>
      <c r="N347" s="153">
        <v>162247</v>
      </c>
      <c r="O347" s="153">
        <f t="shared" si="11"/>
        <v>147958</v>
      </c>
      <c r="P347" s="153">
        <v>8064</v>
      </c>
      <c r="Q347" s="153">
        <v>156022</v>
      </c>
      <c r="R347" s="153"/>
      <c r="S347" s="153"/>
      <c r="T347" s="153"/>
      <c r="U347" s="153"/>
      <c r="V347" s="153"/>
      <c r="W347" s="153"/>
      <c r="X347" s="153"/>
      <c r="Y347" s="153"/>
      <c r="Z347" s="153"/>
      <c r="AA347" s="153"/>
      <c r="AB347" s="153"/>
      <c r="AC347" s="153"/>
      <c r="AD347" s="153"/>
      <c r="AE347" s="153"/>
      <c r="AF347" s="153"/>
      <c r="AG347" s="153"/>
      <c r="AH347" s="153"/>
      <c r="AI347" s="153"/>
    </row>
    <row r="348" spans="1:35" x14ac:dyDescent="0.25">
      <c r="A348" t="s">
        <v>260</v>
      </c>
      <c r="B348" s="153">
        <v>64736004.950009488</v>
      </c>
      <c r="C348" s="153">
        <v>58308071.950009488</v>
      </c>
      <c r="D348" s="153">
        <v>1256137</v>
      </c>
      <c r="E348" s="153">
        <v>0</v>
      </c>
      <c r="F348" s="153">
        <v>4699489</v>
      </c>
      <c r="G348" s="153">
        <v>444404</v>
      </c>
      <c r="H348" s="153">
        <v>11046854</v>
      </c>
      <c r="I348" s="153">
        <v>4228</v>
      </c>
      <c r="J348" s="153">
        <v>790021.01</v>
      </c>
      <c r="K348" s="153"/>
      <c r="L348" s="153">
        <f t="shared" si="10"/>
        <v>120195</v>
      </c>
      <c r="M348" s="153">
        <v>2308</v>
      </c>
      <c r="N348" s="153">
        <v>122503</v>
      </c>
      <c r="O348" s="309">
        <v>120195</v>
      </c>
      <c r="Q348" s="309">
        <v>122503</v>
      </c>
      <c r="R348" s="153"/>
      <c r="S348" s="153"/>
      <c r="T348" s="153"/>
      <c r="U348" s="153"/>
      <c r="V348" s="153"/>
      <c r="W348" s="153"/>
      <c r="X348" s="153"/>
      <c r="Y348" s="153"/>
      <c r="Z348" s="153"/>
      <c r="AA348" s="153"/>
      <c r="AB348" s="153"/>
      <c r="AC348" s="153"/>
      <c r="AD348" s="153"/>
      <c r="AE348" s="153"/>
      <c r="AF348" s="153"/>
      <c r="AG348" s="153"/>
      <c r="AH348" s="153"/>
      <c r="AI348" s="153"/>
    </row>
    <row r="349" spans="1:35" x14ac:dyDescent="0.25">
      <c r="A349" t="s">
        <v>385</v>
      </c>
      <c r="B349" s="153">
        <v>192593348.56145337</v>
      </c>
      <c r="C349" s="153">
        <v>178447660.56145337</v>
      </c>
      <c r="D349" s="153">
        <v>4198851</v>
      </c>
      <c r="E349" s="153">
        <v>0</v>
      </c>
      <c r="F349" s="153">
        <v>8198389</v>
      </c>
      <c r="G349" s="153">
        <v>1546916</v>
      </c>
      <c r="H349" s="153">
        <v>46418724</v>
      </c>
      <c r="I349" s="153">
        <v>11301</v>
      </c>
      <c r="J349" s="153">
        <v>3948349.2</v>
      </c>
      <c r="K349" s="153"/>
      <c r="L349" s="153">
        <f t="shared" si="10"/>
        <v>350627</v>
      </c>
      <c r="M349" s="153">
        <v>18852</v>
      </c>
      <c r="N349" s="153">
        <v>369479</v>
      </c>
      <c r="O349" s="153">
        <f t="shared" si="11"/>
        <v>362684</v>
      </c>
      <c r="P349" s="153">
        <v>19771</v>
      </c>
      <c r="Q349" s="153">
        <v>382455</v>
      </c>
      <c r="R349" s="153"/>
      <c r="S349" s="153"/>
      <c r="T349" s="153"/>
      <c r="U349" s="153"/>
      <c r="V349" s="153"/>
      <c r="W349" s="153"/>
      <c r="X349" s="153"/>
      <c r="Y349" s="153"/>
      <c r="Z349" s="153"/>
      <c r="AA349" s="153"/>
      <c r="AB349" s="153"/>
      <c r="AC349" s="153"/>
      <c r="AD349" s="153"/>
      <c r="AE349" s="153"/>
      <c r="AF349" s="153"/>
      <c r="AG349" s="153"/>
      <c r="AH349" s="153"/>
      <c r="AI349" s="153"/>
    </row>
    <row r="350" spans="1:35" x14ac:dyDescent="0.25">
      <c r="A350" t="s">
        <v>386</v>
      </c>
      <c r="B350" s="153">
        <v>9889451.3105485067</v>
      </c>
      <c r="C350" s="153">
        <v>9695915.3105485067</v>
      </c>
      <c r="D350" s="153">
        <v>85603</v>
      </c>
      <c r="E350" s="153">
        <v>0</v>
      </c>
      <c r="F350" s="153">
        <v>30550</v>
      </c>
      <c r="G350" s="153">
        <v>88244</v>
      </c>
      <c r="H350" s="153">
        <v>916350</v>
      </c>
      <c r="I350" s="153">
        <v>0</v>
      </c>
      <c r="J350" s="153">
        <v>61790.38</v>
      </c>
      <c r="K350" s="153"/>
      <c r="L350" s="153">
        <f t="shared" si="10"/>
        <v>19136</v>
      </c>
      <c r="M350">
        <v>738</v>
      </c>
      <c r="N350" s="153">
        <v>19874</v>
      </c>
      <c r="O350" s="153">
        <f t="shared" si="11"/>
        <v>18979</v>
      </c>
      <c r="P350">
        <v>679</v>
      </c>
      <c r="Q350" s="153">
        <v>19658</v>
      </c>
      <c r="R350" s="153"/>
      <c r="S350" s="153"/>
      <c r="T350" s="153"/>
      <c r="U350" s="153"/>
      <c r="V350" s="153"/>
      <c r="W350" s="153"/>
      <c r="X350" s="153"/>
      <c r="Y350" s="153"/>
      <c r="Z350" s="153"/>
      <c r="AA350" s="153"/>
      <c r="AB350" s="153"/>
      <c r="AC350" s="153"/>
      <c r="AD350" s="153"/>
      <c r="AE350" s="153"/>
      <c r="AF350" s="153"/>
      <c r="AG350" s="153"/>
      <c r="AH350" s="153"/>
      <c r="AI350" s="153"/>
    </row>
    <row r="351" spans="1:35" x14ac:dyDescent="0.25">
      <c r="A351" t="s">
        <v>387</v>
      </c>
      <c r="B351" s="153">
        <v>54282433.328078665</v>
      </c>
      <c r="C351" s="153">
        <v>45801720.328078665</v>
      </c>
      <c r="D351" s="153">
        <v>6124689</v>
      </c>
      <c r="E351" s="153">
        <v>0</v>
      </c>
      <c r="F351" s="153">
        <v>2084672</v>
      </c>
      <c r="G351" s="153">
        <v>370479</v>
      </c>
      <c r="H351" s="153">
        <v>7564836</v>
      </c>
      <c r="I351" s="153">
        <v>4533</v>
      </c>
      <c r="J351" s="153">
        <v>475370.45</v>
      </c>
      <c r="K351" s="153"/>
      <c r="L351" s="153">
        <f t="shared" si="10"/>
        <v>111184</v>
      </c>
      <c r="M351" s="153">
        <v>1116</v>
      </c>
      <c r="N351" s="153">
        <v>112300</v>
      </c>
      <c r="O351" s="153">
        <f t="shared" si="11"/>
        <v>98248</v>
      </c>
      <c r="P351" s="153">
        <v>1771</v>
      </c>
      <c r="Q351" s="153">
        <v>100019</v>
      </c>
      <c r="R351" s="153"/>
      <c r="S351" s="153"/>
      <c r="T351" s="153"/>
      <c r="U351" s="153"/>
      <c r="V351" s="153"/>
      <c r="W351" s="153"/>
      <c r="X351" s="153"/>
      <c r="Y351" s="153"/>
      <c r="Z351" s="153"/>
      <c r="AA351" s="153"/>
      <c r="AB351" s="153"/>
      <c r="AC351" s="153"/>
      <c r="AD351" s="153"/>
      <c r="AE351" s="153"/>
      <c r="AF351" s="153"/>
      <c r="AG351" s="153"/>
      <c r="AH351" s="153"/>
      <c r="AI351" s="153"/>
    </row>
    <row r="352" spans="1:35" x14ac:dyDescent="0.25">
      <c r="A352" t="s">
        <v>461</v>
      </c>
      <c r="B352" s="153">
        <v>27795442.78478229</v>
      </c>
      <c r="C352" s="153">
        <v>24739412.78478229</v>
      </c>
      <c r="D352" s="153">
        <v>906909</v>
      </c>
      <c r="E352" s="153">
        <v>0</v>
      </c>
      <c r="F352" s="153">
        <v>2026362</v>
      </c>
      <c r="G352" s="153">
        <v>158728</v>
      </c>
      <c r="H352" s="153">
        <v>3244448</v>
      </c>
      <c r="I352" s="153">
        <v>0</v>
      </c>
      <c r="J352" s="153">
        <v>180325.88</v>
      </c>
      <c r="K352" s="153"/>
      <c r="L352" s="153">
        <f t="shared" si="10"/>
        <v>46925</v>
      </c>
      <c r="M352">
        <v>384</v>
      </c>
      <c r="N352" s="153">
        <v>47309</v>
      </c>
      <c r="O352" s="153">
        <f t="shared" si="11"/>
        <v>46307</v>
      </c>
      <c r="P352">
        <v>241</v>
      </c>
      <c r="Q352" s="153">
        <v>46548</v>
      </c>
      <c r="R352" s="153"/>
      <c r="S352" s="153"/>
      <c r="T352" s="153"/>
      <c r="U352" s="153"/>
      <c r="V352" s="153"/>
      <c r="W352" s="153"/>
      <c r="X352" s="153"/>
      <c r="Y352" s="153"/>
      <c r="Z352" s="153"/>
      <c r="AA352" s="153"/>
      <c r="AB352" s="153"/>
      <c r="AC352" s="153"/>
      <c r="AD352" s="153"/>
      <c r="AE352" s="153"/>
      <c r="AF352" s="153"/>
      <c r="AG352" s="153"/>
      <c r="AH352" s="153"/>
      <c r="AI352" s="153"/>
    </row>
    <row r="353" spans="1:35" x14ac:dyDescent="0.25">
      <c r="A353" t="s">
        <v>261</v>
      </c>
      <c r="B353" s="153">
        <v>90654537.970516697</v>
      </c>
      <c r="C353" s="153">
        <v>76894956.970516697</v>
      </c>
      <c r="D353" s="153">
        <v>2725821</v>
      </c>
      <c r="E353" s="153">
        <v>0</v>
      </c>
      <c r="F353" s="153">
        <v>10460284</v>
      </c>
      <c r="G353" s="153">
        <v>625655</v>
      </c>
      <c r="H353" s="153">
        <v>20084207</v>
      </c>
      <c r="I353" s="153">
        <v>25121</v>
      </c>
      <c r="J353" s="153">
        <v>917133.27</v>
      </c>
      <c r="K353" s="153"/>
      <c r="L353" s="153">
        <f t="shared" si="10"/>
        <v>169335</v>
      </c>
      <c r="M353" s="153">
        <v>10256</v>
      </c>
      <c r="N353" s="153">
        <v>179591</v>
      </c>
      <c r="O353" s="153">
        <f t="shared" si="11"/>
        <v>164641</v>
      </c>
      <c r="P353" s="153">
        <v>13796</v>
      </c>
      <c r="Q353" s="153">
        <v>178437</v>
      </c>
      <c r="R353" s="153"/>
      <c r="S353" s="153"/>
      <c r="T353" s="153"/>
      <c r="U353" s="153"/>
      <c r="V353" s="153"/>
      <c r="W353" s="153"/>
      <c r="X353" s="153"/>
      <c r="Y353" s="153"/>
      <c r="Z353" s="153"/>
      <c r="AA353" s="153"/>
      <c r="AB353" s="153"/>
      <c r="AC353" s="153"/>
      <c r="AD353" s="153"/>
      <c r="AE353" s="153"/>
      <c r="AF353" s="153"/>
      <c r="AG353" s="153"/>
      <c r="AH353" s="153"/>
      <c r="AI353" s="153"/>
    </row>
    <row r="354" spans="1:35" x14ac:dyDescent="0.25">
      <c r="A354" t="s">
        <v>207</v>
      </c>
      <c r="B354" s="153">
        <v>28277874.398059681</v>
      </c>
      <c r="C354" s="153">
        <v>26212434.398059681</v>
      </c>
      <c r="D354" s="153">
        <v>645072</v>
      </c>
      <c r="E354" s="153">
        <v>0</v>
      </c>
      <c r="F354" s="153">
        <v>1034727</v>
      </c>
      <c r="G354" s="153">
        <v>455378</v>
      </c>
      <c r="H354" s="153">
        <v>2977585</v>
      </c>
      <c r="I354" s="153">
        <v>1785</v>
      </c>
      <c r="J354" s="153">
        <v>414281.72</v>
      </c>
      <c r="K354" s="153"/>
      <c r="L354" s="153">
        <f t="shared" si="10"/>
        <v>48798</v>
      </c>
      <c r="M354">
        <v>710</v>
      </c>
      <c r="N354" s="153">
        <v>49508</v>
      </c>
      <c r="O354" s="153">
        <f t="shared" si="11"/>
        <v>47528</v>
      </c>
      <c r="P354">
        <v>510</v>
      </c>
      <c r="Q354" s="153">
        <v>48038</v>
      </c>
      <c r="R354" s="153"/>
      <c r="S354" s="153"/>
      <c r="T354" s="153"/>
      <c r="U354" s="153"/>
      <c r="V354" s="153"/>
      <c r="W354" s="153"/>
      <c r="X354" s="153"/>
      <c r="Y354" s="153"/>
      <c r="Z354" s="153"/>
      <c r="AA354" s="153"/>
      <c r="AB354" s="153"/>
      <c r="AC354" s="153"/>
      <c r="AD354" s="153"/>
      <c r="AE354" s="153"/>
      <c r="AF354" s="153"/>
      <c r="AG354" s="153"/>
      <c r="AH354" s="153"/>
      <c r="AI354" s="153"/>
    </row>
    <row r="355" spans="1:35" x14ac:dyDescent="0.25">
      <c r="A355" t="s">
        <v>388</v>
      </c>
      <c r="B355" s="153">
        <v>70174792.567175969</v>
      </c>
      <c r="C355" s="153">
        <v>64639984.567175969</v>
      </c>
      <c r="D355" s="153">
        <v>1159079</v>
      </c>
      <c r="E355" s="153">
        <v>0</v>
      </c>
      <c r="F355" s="153">
        <v>3638147</v>
      </c>
      <c r="G355" s="153">
        <v>669051</v>
      </c>
      <c r="H355" s="153">
        <v>15473147</v>
      </c>
      <c r="I355" s="153">
        <v>1318</v>
      </c>
      <c r="J355" s="153">
        <v>1535357.14</v>
      </c>
      <c r="K355" s="153"/>
      <c r="L355" s="153">
        <f t="shared" si="10"/>
        <v>121617</v>
      </c>
      <c r="M355" s="153">
        <v>1608</v>
      </c>
      <c r="N355" s="153">
        <v>123225</v>
      </c>
      <c r="O355" s="153">
        <f t="shared" si="11"/>
        <v>120834</v>
      </c>
      <c r="P355" s="153">
        <v>2972</v>
      </c>
      <c r="Q355" s="153">
        <v>123806</v>
      </c>
      <c r="R355" s="153"/>
      <c r="S355" s="153"/>
      <c r="T355" s="153"/>
      <c r="U355" s="153"/>
      <c r="V355" s="153"/>
      <c r="W355" s="153"/>
      <c r="X355" s="153"/>
      <c r="Y355" s="153"/>
      <c r="Z355" s="153"/>
      <c r="AA355" s="153"/>
      <c r="AB355" s="153"/>
      <c r="AC355" s="153"/>
      <c r="AD355" s="153"/>
      <c r="AE355" s="153"/>
      <c r="AF355" s="153"/>
      <c r="AG355" s="153"/>
      <c r="AH355" s="153"/>
      <c r="AI355" s="153"/>
    </row>
    <row r="356" spans="1:35" x14ac:dyDescent="0.25">
      <c r="A356" t="s">
        <v>208</v>
      </c>
      <c r="B356" s="153">
        <v>289733507.89120114</v>
      </c>
      <c r="C356" s="153">
        <v>182353793.59666064</v>
      </c>
      <c r="D356" s="153">
        <v>6012208</v>
      </c>
      <c r="E356" s="153">
        <v>70709668</v>
      </c>
      <c r="F356" s="153">
        <v>13808334</v>
      </c>
      <c r="G356" s="153">
        <v>16767593.29454053</v>
      </c>
      <c r="H356" s="153">
        <v>47766827</v>
      </c>
      <c r="I356" s="153">
        <v>32944</v>
      </c>
      <c r="J356" s="153">
        <v>1694127.32</v>
      </c>
      <c r="K356" s="153"/>
      <c r="L356" s="153">
        <f t="shared" si="10"/>
        <v>516695</v>
      </c>
      <c r="M356" s="153">
        <v>28261</v>
      </c>
      <c r="N356" s="153">
        <v>544956</v>
      </c>
      <c r="O356" s="153">
        <f t="shared" si="11"/>
        <v>486187</v>
      </c>
      <c r="P356" s="153">
        <v>11064</v>
      </c>
      <c r="Q356" s="153">
        <v>497251</v>
      </c>
      <c r="R356" s="153"/>
      <c r="S356" s="153"/>
      <c r="T356" s="153"/>
      <c r="U356" s="153"/>
      <c r="V356" s="153"/>
      <c r="W356" s="153"/>
      <c r="X356" s="153"/>
      <c r="Y356" s="153"/>
      <c r="Z356" s="153"/>
      <c r="AA356" s="153"/>
      <c r="AB356" s="153"/>
      <c r="AC356" s="153"/>
      <c r="AD356" s="153"/>
      <c r="AE356" s="153"/>
      <c r="AF356" s="153"/>
      <c r="AG356" s="153"/>
      <c r="AH356" s="153"/>
      <c r="AI356" s="153"/>
    </row>
    <row r="357" spans="1:35" x14ac:dyDescent="0.25">
      <c r="A357" t="s">
        <v>510</v>
      </c>
      <c r="B357" s="153">
        <f t="shared" ref="B357:J357" si="12">SUM(B2:B356)</f>
        <v>29869355844.802029</v>
      </c>
      <c r="C357" s="153">
        <f t="shared" si="12"/>
        <v>24701542345.48616</v>
      </c>
      <c r="D357" s="153">
        <f t="shared" si="12"/>
        <v>645991075</v>
      </c>
      <c r="E357" s="153">
        <f t="shared" si="12"/>
        <v>1635900640</v>
      </c>
      <c r="F357" s="153">
        <f t="shared" si="12"/>
        <v>1927058829</v>
      </c>
      <c r="G357" s="153">
        <f t="shared" si="12"/>
        <v>863882883.40474105</v>
      </c>
      <c r="H357" s="153">
        <f t="shared" si="12"/>
        <v>6111663003</v>
      </c>
      <c r="I357" s="153">
        <f t="shared" si="12"/>
        <v>3810908</v>
      </c>
      <c r="J357" s="153">
        <f t="shared" si="12"/>
        <v>462331273.76000023</v>
      </c>
      <c r="K357" s="153"/>
      <c r="L357" s="153">
        <f t="shared" ref="L357:Q357" si="13">SUM(L2:L356)</f>
        <v>56637966</v>
      </c>
      <c r="M357" s="153">
        <f t="shared" si="13"/>
        <v>3214082</v>
      </c>
      <c r="N357" s="153">
        <f t="shared" si="13"/>
        <v>59852048</v>
      </c>
      <c r="O357" s="153">
        <f t="shared" si="13"/>
        <v>54613299</v>
      </c>
      <c r="P357" s="153">
        <f t="shared" si="13"/>
        <v>3736004</v>
      </c>
      <c r="Q357" s="153">
        <f t="shared" si="13"/>
        <v>58362259</v>
      </c>
      <c r="R357" s="153"/>
      <c r="S357" s="153"/>
      <c r="T357" s="153"/>
      <c r="U357" s="153"/>
      <c r="V357" s="153"/>
      <c r="W357" s="153"/>
      <c r="X357" s="153"/>
      <c r="Y357" s="153"/>
      <c r="Z357" s="153"/>
      <c r="AA357" s="153"/>
      <c r="AB357" s="153"/>
      <c r="AC357" s="153"/>
      <c r="AD357" s="153"/>
      <c r="AE357" s="153"/>
      <c r="AF357" s="153"/>
      <c r="AG357" s="153"/>
      <c r="AH357" s="153"/>
      <c r="AI357" s="153"/>
    </row>
    <row r="358" spans="1:35" x14ac:dyDescent="0.25">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c r="AC358" s="153"/>
      <c r="AD358" s="153"/>
      <c r="AE358" s="153"/>
      <c r="AF358" s="153"/>
      <c r="AG358" s="153"/>
      <c r="AH358" s="153"/>
      <c r="AI358" s="153"/>
    </row>
    <row r="359" spans="1:35" x14ac:dyDescent="0.25">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c r="AC359" s="153"/>
      <c r="AD359" s="153"/>
      <c r="AE359" s="153"/>
      <c r="AF359" s="153"/>
      <c r="AG359" s="153"/>
      <c r="AH359" s="153"/>
      <c r="AI359" s="153"/>
    </row>
    <row r="360" spans="1:35" x14ac:dyDescent="0.25">
      <c r="A360" t="s">
        <v>612</v>
      </c>
      <c r="B360" t="s">
        <v>898</v>
      </c>
      <c r="C360" s="153" t="s">
        <v>899</v>
      </c>
      <c r="D360" s="153" t="s">
        <v>900</v>
      </c>
      <c r="E360" s="153" t="s">
        <v>901</v>
      </c>
      <c r="F360" s="153" t="s">
        <v>902</v>
      </c>
      <c r="G360" s="153" t="s">
        <v>903</v>
      </c>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row>
    <row r="361" spans="1:35" x14ac:dyDescent="0.25">
      <c r="A361" t="s">
        <v>402</v>
      </c>
      <c r="B361" s="153">
        <v>16365873.482661437</v>
      </c>
      <c r="C361" s="153">
        <v>15090295.482661437</v>
      </c>
      <c r="D361" s="153">
        <v>381787</v>
      </c>
      <c r="E361">
        <v>0</v>
      </c>
      <c r="F361" s="153">
        <v>846492</v>
      </c>
      <c r="G361" s="153">
        <f>G325</f>
        <v>250577</v>
      </c>
      <c r="H361" s="153"/>
      <c r="I361" s="153"/>
      <c r="J361" s="153"/>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row>
    <row r="362" spans="1:35" x14ac:dyDescent="0.25">
      <c r="A362" t="s">
        <v>458</v>
      </c>
      <c r="B362" s="153">
        <v>33430175.006458063</v>
      </c>
      <c r="C362" s="153">
        <v>30665799.006458063</v>
      </c>
      <c r="D362" s="153">
        <v>625819</v>
      </c>
      <c r="E362" s="153">
        <v>0</v>
      </c>
      <c r="F362" s="153">
        <v>1732567</v>
      </c>
      <c r="G362" s="153">
        <v>474647</v>
      </c>
      <c r="H362" s="153"/>
      <c r="I362" s="153"/>
      <c r="J362" s="153"/>
      <c r="K362" s="153"/>
      <c r="L362" s="153"/>
      <c r="M362" s="153"/>
      <c r="N362" s="153"/>
      <c r="O362" s="153"/>
      <c r="P362" s="153"/>
      <c r="Q362" s="153"/>
      <c r="R362" s="153"/>
      <c r="S362" s="153"/>
      <c r="T362" s="153"/>
      <c r="U362" s="153"/>
      <c r="V362" s="153"/>
      <c r="W362" s="153"/>
      <c r="X362" s="153"/>
      <c r="Y362" s="153"/>
      <c r="Z362" s="153"/>
      <c r="AA362" s="153"/>
      <c r="AB362" s="153"/>
      <c r="AC362" s="153"/>
      <c r="AD362" s="153"/>
      <c r="AE362" s="153"/>
      <c r="AF362" s="153"/>
      <c r="AG362" s="153"/>
      <c r="AH362" s="153"/>
      <c r="AI362" s="153"/>
    </row>
    <row r="363" spans="1:35" x14ac:dyDescent="0.25">
      <c r="A363" t="s">
        <v>460</v>
      </c>
      <c r="B363" s="153">
        <v>18207677.977402419</v>
      </c>
      <c r="C363" s="153">
        <v>16636900.977402419</v>
      </c>
      <c r="D363" s="153">
        <v>359824</v>
      </c>
      <c r="E363" s="153">
        <v>0</v>
      </c>
      <c r="F363" s="153">
        <v>1080559</v>
      </c>
      <c r="G363" s="153">
        <v>147434</v>
      </c>
      <c r="H363" s="153"/>
      <c r="I363" s="153"/>
      <c r="J363" s="153"/>
      <c r="K363" s="153"/>
      <c r="L363" s="153"/>
      <c r="M363" s="153"/>
      <c r="N363" s="153"/>
      <c r="O363" s="153"/>
      <c r="P363" s="153"/>
      <c r="Q363" s="153"/>
      <c r="R363" s="153"/>
      <c r="S363" s="153"/>
      <c r="T363" s="153"/>
      <c r="U363" s="153"/>
      <c r="V363" s="153"/>
      <c r="W363" s="153"/>
      <c r="X363" s="153"/>
      <c r="Y363" s="153"/>
      <c r="Z363" s="153"/>
      <c r="AA363" s="153"/>
      <c r="AB363" s="153"/>
      <c r="AC363" s="153"/>
      <c r="AD363" s="153"/>
      <c r="AE363" s="153"/>
      <c r="AF363" s="153"/>
      <c r="AG363" s="153"/>
      <c r="AH363" s="153"/>
      <c r="AI363" s="153"/>
    </row>
    <row r="364" spans="1:35" x14ac:dyDescent="0.25">
      <c r="A364" t="s">
        <v>745</v>
      </c>
      <c r="B364" s="153">
        <f t="shared" ref="B364:G364" si="14">SUM(B361:B363)</f>
        <v>68003726.466521919</v>
      </c>
      <c r="C364" s="153">
        <f t="shared" si="14"/>
        <v>62392995.466521919</v>
      </c>
      <c r="D364" s="153">
        <f t="shared" si="14"/>
        <v>1367430</v>
      </c>
      <c r="E364" s="153">
        <f t="shared" si="14"/>
        <v>0</v>
      </c>
      <c r="F364" s="153">
        <f t="shared" si="14"/>
        <v>3659618</v>
      </c>
      <c r="G364" s="153">
        <f t="shared" si="14"/>
        <v>872658</v>
      </c>
      <c r="H364" s="153"/>
      <c r="I364" s="153"/>
      <c r="J364" s="153"/>
      <c r="K364" s="153"/>
      <c r="L364" s="153"/>
      <c r="M364" s="153"/>
      <c r="N364" s="153"/>
      <c r="O364" s="153"/>
      <c r="P364" s="153"/>
      <c r="Q364" s="153"/>
      <c r="R364" s="153"/>
      <c r="S364" s="153"/>
      <c r="T364" s="153"/>
      <c r="U364" s="153"/>
      <c r="V364" s="153"/>
      <c r="W364" s="153"/>
      <c r="X364" s="153"/>
      <c r="Y364" s="153"/>
      <c r="Z364" s="153"/>
      <c r="AA364" s="153"/>
      <c r="AB364" s="153"/>
      <c r="AC364" s="153"/>
      <c r="AD364" s="153"/>
      <c r="AE364" s="153"/>
      <c r="AF364" s="153"/>
      <c r="AG364" s="153"/>
      <c r="AH364" s="153"/>
      <c r="AI364" s="153"/>
    </row>
    <row r="365" spans="1:35" x14ac:dyDescent="0.25">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row>
    <row r="366" spans="1:35" x14ac:dyDescent="0.25">
      <c r="A366" t="s">
        <v>479</v>
      </c>
      <c r="B366" s="153">
        <v>20904595.65426543</v>
      </c>
      <c r="C366" s="153">
        <v>18363424.65426543</v>
      </c>
      <c r="D366" s="153">
        <v>162435</v>
      </c>
      <c r="E366" s="153">
        <v>0</v>
      </c>
      <c r="F366" s="153">
        <v>2281482</v>
      </c>
      <c r="G366" s="153">
        <v>125480</v>
      </c>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row>
    <row r="367" spans="1:35" x14ac:dyDescent="0.25">
      <c r="A367" t="s">
        <v>480</v>
      </c>
      <c r="B367" s="153">
        <v>13258241.746396663</v>
      </c>
      <c r="C367" s="153">
        <v>10519277.746396663</v>
      </c>
      <c r="D367" s="153">
        <v>189589</v>
      </c>
      <c r="E367" s="153">
        <v>0</v>
      </c>
      <c r="F367" s="153">
        <v>189589</v>
      </c>
      <c r="G367" s="153">
        <v>56396</v>
      </c>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row>
    <row r="368" spans="1:35" x14ac:dyDescent="0.25">
      <c r="A368" t="s">
        <v>484</v>
      </c>
      <c r="B368" s="153">
        <v>17051382.094638929</v>
      </c>
      <c r="C368" s="153">
        <v>15066698.094638927</v>
      </c>
      <c r="D368" s="153">
        <v>361394</v>
      </c>
      <c r="E368" s="153">
        <v>0</v>
      </c>
      <c r="F368" s="153">
        <v>189589</v>
      </c>
      <c r="G368" s="153">
        <v>105141</v>
      </c>
      <c r="H368" s="153"/>
      <c r="I368" s="153"/>
      <c r="J368" s="153"/>
      <c r="K368" s="153"/>
      <c r="L368" s="153"/>
      <c r="M368" s="153"/>
      <c r="N368" s="153"/>
      <c r="O368" s="153"/>
      <c r="P368" s="153"/>
      <c r="Q368" s="153"/>
      <c r="R368" s="153"/>
      <c r="S368" s="153"/>
      <c r="T368" s="153"/>
      <c r="U368" s="153"/>
      <c r="V368" s="153"/>
      <c r="W368" s="153"/>
      <c r="X368" s="153"/>
      <c r="Y368" s="153"/>
      <c r="Z368" s="153"/>
      <c r="AA368" s="153"/>
      <c r="AB368" s="153"/>
      <c r="AC368" s="153"/>
      <c r="AD368" s="153"/>
      <c r="AE368" s="153"/>
      <c r="AF368" s="153"/>
      <c r="AG368" s="153"/>
      <c r="AH368" s="153"/>
      <c r="AI368" s="153"/>
    </row>
    <row r="369" spans="1:35" x14ac:dyDescent="0.25">
      <c r="A369" t="s">
        <v>746</v>
      </c>
      <c r="B369" s="153">
        <f>SUM(B366:B368)</f>
        <v>51214219.495301023</v>
      </c>
      <c r="C369" s="153">
        <f t="shared" ref="C369:G369" si="15">SUM(C366:C368)</f>
        <v>43949400.495301023</v>
      </c>
      <c r="D369" s="153">
        <f t="shared" si="15"/>
        <v>713418</v>
      </c>
      <c r="E369" s="153">
        <f t="shared" si="15"/>
        <v>0</v>
      </c>
      <c r="F369" s="153">
        <f t="shared" si="15"/>
        <v>2660660</v>
      </c>
      <c r="G369" s="153">
        <f t="shared" si="15"/>
        <v>287017</v>
      </c>
      <c r="H369" s="153"/>
      <c r="I369" s="153"/>
      <c r="J369" s="153"/>
      <c r="K369" s="153"/>
      <c r="L369" s="153"/>
      <c r="M369" s="153"/>
      <c r="N369" s="153"/>
      <c r="O369" s="153"/>
      <c r="P369" s="153"/>
      <c r="Q369" s="153"/>
      <c r="R369" s="153"/>
      <c r="S369" s="153"/>
      <c r="T369" s="153"/>
      <c r="U369" s="153"/>
      <c r="V369" s="153"/>
      <c r="W369" s="153"/>
      <c r="X369" s="153"/>
      <c r="Y369" s="153"/>
      <c r="Z369" s="153"/>
      <c r="AA369" s="153"/>
      <c r="AB369" s="153"/>
      <c r="AC369" s="153"/>
      <c r="AD369" s="153"/>
      <c r="AE369" s="153"/>
      <c r="AF369" s="153"/>
      <c r="AG369" s="153"/>
      <c r="AH369" s="153"/>
      <c r="AI369" s="153"/>
    </row>
    <row r="370" spans="1:35" x14ac:dyDescent="0.25">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c r="AC370" s="153"/>
      <c r="AD370" s="153"/>
      <c r="AE370" s="153"/>
      <c r="AF370" s="153"/>
      <c r="AG370" s="153"/>
      <c r="AH370" s="153"/>
      <c r="AI370" s="153"/>
    </row>
    <row r="371" spans="1:35" x14ac:dyDescent="0.25">
      <c r="A371" t="s">
        <v>914</v>
      </c>
      <c r="B371" s="153">
        <v>6385640.1026621219</v>
      </c>
      <c r="C371" s="153">
        <v>6029282.1026621219</v>
      </c>
      <c r="D371" s="153">
        <v>154598</v>
      </c>
      <c r="E371" s="153">
        <v>0</v>
      </c>
      <c r="F371" s="153">
        <v>157753</v>
      </c>
      <c r="G371" s="153">
        <v>56366</v>
      </c>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row>
    <row r="372" spans="1:35" x14ac:dyDescent="0.25">
      <c r="A372" t="s">
        <v>302</v>
      </c>
      <c r="B372" s="153">
        <v>170779861.65281913</v>
      </c>
      <c r="C372" s="153">
        <v>158027625.65281913</v>
      </c>
      <c r="D372" s="153">
        <v>4390966</v>
      </c>
      <c r="E372" s="153">
        <v>0</v>
      </c>
      <c r="F372" s="153">
        <v>5991245</v>
      </c>
      <c r="G372" s="153">
        <v>2164796</v>
      </c>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row>
    <row r="373" spans="1:35" x14ac:dyDescent="0.25">
      <c r="B373" s="153">
        <f>SUM(B371:B372)</f>
        <v>177165501.75548124</v>
      </c>
      <c r="C373" s="153">
        <f t="shared" ref="C373:G373" si="16">SUM(C371:C372)</f>
        <v>164056907.75548124</v>
      </c>
      <c r="D373" s="153">
        <f t="shared" si="16"/>
        <v>4545564</v>
      </c>
      <c r="E373" s="153">
        <f t="shared" si="16"/>
        <v>0</v>
      </c>
      <c r="F373" s="153">
        <f t="shared" si="16"/>
        <v>6148998</v>
      </c>
      <c r="G373" s="153">
        <f t="shared" si="16"/>
        <v>2221162</v>
      </c>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row>
    <row r="374" spans="1:35" x14ac:dyDescent="0.25">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153"/>
      <c r="AI374" s="153"/>
    </row>
    <row r="375" spans="1:35" x14ac:dyDescent="0.25">
      <c r="A375" t="s">
        <v>143</v>
      </c>
      <c r="B375" s="153">
        <v>16312424.065956216</v>
      </c>
      <c r="C375" s="153">
        <v>14160189.065956216</v>
      </c>
      <c r="D375" s="153">
        <v>577105</v>
      </c>
      <c r="E375" s="153">
        <v>0</v>
      </c>
      <c r="F375" s="153">
        <v>1120824</v>
      </c>
      <c r="G375" s="153">
        <v>465238</v>
      </c>
      <c r="H375" s="153"/>
      <c r="I375" s="153"/>
      <c r="J375" s="153"/>
      <c r="K375" s="153"/>
      <c r="L375" s="153"/>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153"/>
      <c r="AI375" s="153"/>
    </row>
    <row r="376" spans="1:35" x14ac:dyDescent="0.25">
      <c r="A376" t="s">
        <v>145</v>
      </c>
      <c r="B376" s="153">
        <v>19891398.289275516</v>
      </c>
      <c r="C376" s="153">
        <v>17572859.289275516</v>
      </c>
      <c r="D376" s="153">
        <v>507157</v>
      </c>
      <c r="E376" s="153">
        <v>0</v>
      </c>
      <c r="F376" s="153">
        <v>1372754</v>
      </c>
      <c r="G376" s="153">
        <v>445615</v>
      </c>
      <c r="H376" s="153"/>
      <c r="I376" s="153"/>
      <c r="J376" s="153"/>
      <c r="K376" s="153"/>
      <c r="L376" s="153"/>
      <c r="M376" s="153"/>
      <c r="N376" s="153"/>
      <c r="O376" s="153"/>
      <c r="P376" s="153"/>
      <c r="Q376" s="153"/>
      <c r="R376" s="153"/>
      <c r="S376" s="153"/>
      <c r="T376" s="153"/>
      <c r="U376" s="153"/>
      <c r="V376" s="153"/>
      <c r="W376" s="153"/>
      <c r="X376" s="153"/>
      <c r="Y376" s="153"/>
      <c r="Z376" s="153"/>
      <c r="AA376" s="153"/>
      <c r="AB376" s="153"/>
      <c r="AC376" s="153"/>
      <c r="AD376" s="153"/>
      <c r="AE376" s="153"/>
      <c r="AF376" s="153"/>
      <c r="AG376" s="153"/>
      <c r="AH376" s="153"/>
      <c r="AI376" s="153"/>
    </row>
    <row r="377" spans="1:35" x14ac:dyDescent="0.25">
      <c r="A377" t="s">
        <v>147</v>
      </c>
      <c r="B377" s="153">
        <v>32289766.02226305</v>
      </c>
      <c r="C377" s="153">
        <v>25504654.02226305</v>
      </c>
      <c r="D377" s="153">
        <v>1229723</v>
      </c>
      <c r="E377" s="153">
        <v>0</v>
      </c>
      <c r="F377" s="153">
        <v>4284927</v>
      </c>
      <c r="G377" s="153">
        <v>1272204</v>
      </c>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row>
    <row r="378" spans="1:35" x14ac:dyDescent="0.25">
      <c r="A378" t="s">
        <v>163</v>
      </c>
      <c r="B378" s="153">
        <v>21477439.568494402</v>
      </c>
      <c r="C378" s="153">
        <v>19101294.568494402</v>
      </c>
      <c r="D378" s="153">
        <v>493111</v>
      </c>
      <c r="E378" s="153">
        <v>0</v>
      </c>
      <c r="F378" s="153">
        <v>1672223</v>
      </c>
      <c r="G378" s="153">
        <v>174082</v>
      </c>
      <c r="H378" s="153"/>
      <c r="I378" s="153"/>
      <c r="J378" s="153"/>
      <c r="K378" s="153"/>
      <c r="L378" s="153"/>
      <c r="M378" s="153"/>
      <c r="N378" s="153"/>
      <c r="O378" s="153"/>
      <c r="P378" s="153"/>
      <c r="Q378" s="153"/>
      <c r="R378" s="153"/>
      <c r="S378" s="153"/>
      <c r="T378" s="153"/>
      <c r="U378" s="153"/>
      <c r="V378" s="153"/>
      <c r="W378" s="153"/>
      <c r="X378" s="153"/>
      <c r="Y378" s="153"/>
      <c r="Z378" s="153"/>
      <c r="AA378" s="153"/>
      <c r="AB378" s="153"/>
      <c r="AC378" s="153"/>
      <c r="AD378" s="153"/>
      <c r="AE378" s="153"/>
      <c r="AF378" s="153"/>
      <c r="AG378" s="153"/>
      <c r="AH378" s="153"/>
      <c r="AI378" s="153"/>
    </row>
    <row r="379" spans="1:35" x14ac:dyDescent="0.25">
      <c r="A379" t="s">
        <v>747</v>
      </c>
      <c r="B379" s="153">
        <f>SUM(B375:B378)</f>
        <v>89971027.945989192</v>
      </c>
      <c r="C379" s="153">
        <f t="shared" ref="C379:G379" si="17">SUM(C375:C378)</f>
        <v>76338996.945989192</v>
      </c>
      <c r="D379" s="153">
        <f t="shared" si="17"/>
        <v>2807096</v>
      </c>
      <c r="E379" s="153">
        <f t="shared" si="17"/>
        <v>0</v>
      </c>
      <c r="F379" s="153">
        <f t="shared" si="17"/>
        <v>8450728</v>
      </c>
      <c r="G379" s="153">
        <f t="shared" si="17"/>
        <v>2357139</v>
      </c>
      <c r="H379" s="153"/>
      <c r="I379" s="153"/>
      <c r="J379" s="153"/>
      <c r="K379" s="153"/>
      <c r="L379" s="153"/>
      <c r="M379" s="153"/>
      <c r="N379" s="153"/>
      <c r="O379" s="153"/>
      <c r="P379" s="153"/>
      <c r="Q379" s="153"/>
      <c r="R379" s="153"/>
      <c r="S379" s="153"/>
      <c r="T379" s="153"/>
      <c r="U379" s="153"/>
      <c r="V379" s="153"/>
      <c r="W379" s="153"/>
      <c r="X379" s="153"/>
      <c r="Y379" s="153"/>
      <c r="Z379" s="153"/>
      <c r="AA379" s="153"/>
      <c r="AB379" s="153"/>
      <c r="AC379" s="153"/>
      <c r="AD379" s="153"/>
      <c r="AE379" s="153"/>
      <c r="AF379" s="153"/>
      <c r="AG379" s="153"/>
      <c r="AH379" s="153"/>
      <c r="AI379" s="153"/>
    </row>
    <row r="380" spans="1:35" x14ac:dyDescent="0.25">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c r="AC380" s="153"/>
      <c r="AD380" s="153"/>
      <c r="AE380" s="153"/>
      <c r="AF380" s="153"/>
      <c r="AG380" s="153"/>
      <c r="AH380" s="153"/>
      <c r="AI380" s="153"/>
    </row>
    <row r="381" spans="1:35" x14ac:dyDescent="0.25">
      <c r="A381" t="s">
        <v>343</v>
      </c>
      <c r="B381" s="153">
        <v>16834337.81190563</v>
      </c>
      <c r="C381" s="153">
        <v>15854382.81190563</v>
      </c>
      <c r="D381" s="153">
        <v>285647</v>
      </c>
      <c r="E381" s="153">
        <v>0</v>
      </c>
      <c r="F381" s="153">
        <v>532997</v>
      </c>
      <c r="G381" s="153">
        <v>179530</v>
      </c>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row>
    <row r="382" spans="1:35" x14ac:dyDescent="0.25">
      <c r="A382" t="s">
        <v>363</v>
      </c>
      <c r="B382" s="153">
        <v>34666340.270686671</v>
      </c>
      <c r="C382" s="153">
        <v>31972590.270686667</v>
      </c>
      <c r="D382" s="153">
        <v>1638422</v>
      </c>
      <c r="E382" s="153">
        <v>0</v>
      </c>
      <c r="F382" s="153">
        <v>691806</v>
      </c>
      <c r="G382" s="153">
        <v>417562</v>
      </c>
      <c r="H382" s="153"/>
      <c r="I382" s="153"/>
      <c r="J382" s="153"/>
      <c r="K382" s="153"/>
      <c r="L382" s="153"/>
      <c r="M382" s="153"/>
      <c r="N382" s="153"/>
      <c r="O382" s="153"/>
      <c r="P382" s="153"/>
      <c r="Q382" s="153"/>
      <c r="R382" s="153"/>
      <c r="S382" s="153"/>
      <c r="T382" s="153"/>
      <c r="U382" s="153"/>
      <c r="V382" s="153"/>
      <c r="W382" s="153"/>
      <c r="X382" s="153"/>
      <c r="Y382" s="153"/>
      <c r="Z382" s="153"/>
      <c r="AA382" s="153"/>
      <c r="AB382" s="153"/>
      <c r="AC382" s="153"/>
      <c r="AD382" s="153"/>
      <c r="AE382" s="153"/>
      <c r="AF382" s="153"/>
      <c r="AG382" s="153"/>
      <c r="AH382" s="153"/>
      <c r="AI382" s="153"/>
    </row>
    <row r="383" spans="1:35" x14ac:dyDescent="0.25">
      <c r="A383" t="s">
        <v>750</v>
      </c>
      <c r="B383" s="153">
        <f>SUM(B381:B382)</f>
        <v>51500678.082592301</v>
      </c>
      <c r="C383" s="153">
        <f t="shared" ref="C383:G383" si="18">SUM(C381:C382)</f>
        <v>47826973.082592294</v>
      </c>
      <c r="D383" s="153">
        <f t="shared" si="18"/>
        <v>1924069</v>
      </c>
      <c r="E383" s="153">
        <f t="shared" si="18"/>
        <v>0</v>
      </c>
      <c r="F383" s="153">
        <f t="shared" si="18"/>
        <v>1224803</v>
      </c>
      <c r="G383" s="153">
        <f t="shared" si="18"/>
        <v>597092</v>
      </c>
    </row>
    <row r="385" spans="1:7" x14ac:dyDescent="0.25">
      <c r="A385" t="s">
        <v>168</v>
      </c>
      <c r="B385" s="310">
        <v>46589984.05877462</v>
      </c>
      <c r="C385" s="310">
        <v>39066676.05877462</v>
      </c>
      <c r="D385" s="310" t="e">
        <f>DGET(over_uit,83,gemc)</f>
        <v>#VALUE!</v>
      </c>
      <c r="E385" s="310">
        <v>0</v>
      </c>
      <c r="F385" s="310">
        <v>6514014</v>
      </c>
      <c r="G385" s="310">
        <v>326941</v>
      </c>
    </row>
    <row r="386" spans="1:7" x14ac:dyDescent="0.25">
      <c r="A386" t="s">
        <v>915</v>
      </c>
      <c r="B386" s="310">
        <v>14370356.567842819</v>
      </c>
      <c r="C386" s="310">
        <v>12913123.567842819</v>
      </c>
      <c r="D386" s="310">
        <v>374460</v>
      </c>
      <c r="E386" s="310">
        <v>0</v>
      </c>
      <c r="F386" s="310">
        <v>1059265</v>
      </c>
      <c r="G386" s="310">
        <v>76994</v>
      </c>
    </row>
    <row r="387" spans="1:7" x14ac:dyDescent="0.25">
      <c r="A387" t="s">
        <v>916</v>
      </c>
      <c r="B387" s="310">
        <v>22547609.123876642</v>
      </c>
      <c r="C387" s="310">
        <v>19197129.123876642</v>
      </c>
      <c r="D387" s="310">
        <v>524013</v>
      </c>
      <c r="E387" s="310"/>
      <c r="F387" s="310">
        <v>2520056</v>
      </c>
      <c r="G387" s="310">
        <v>173017</v>
      </c>
    </row>
    <row r="388" spans="1:7" x14ac:dyDescent="0.25">
      <c r="A388" t="s">
        <v>917</v>
      </c>
      <c r="B388" s="153">
        <f>SUM(B385:B387)</f>
        <v>83507949.750494078</v>
      </c>
      <c r="C388" s="153">
        <f t="shared" ref="C388:G388" si="19">SUM(C385:C387)</f>
        <v>71176928.750494078</v>
      </c>
      <c r="D388" s="153" t="e">
        <f t="shared" si="19"/>
        <v>#VALUE!</v>
      </c>
      <c r="E388" s="153">
        <f t="shared" si="19"/>
        <v>0</v>
      </c>
      <c r="F388" s="153">
        <f t="shared" si="19"/>
        <v>10093335</v>
      </c>
      <c r="G388" s="153">
        <f t="shared" si="19"/>
        <v>576952</v>
      </c>
    </row>
    <row r="390" spans="1:7" x14ac:dyDescent="0.25">
      <c r="A390" t="s">
        <v>365</v>
      </c>
      <c r="B390" s="153">
        <v>31796373.441914007</v>
      </c>
      <c r="C390" s="153">
        <v>28686842.441914007</v>
      </c>
      <c r="D390" s="153">
        <v>1281245</v>
      </c>
      <c r="E390" s="153"/>
      <c r="F390" s="153">
        <v>1683441</v>
      </c>
      <c r="G390" s="153">
        <v>144742</v>
      </c>
    </row>
    <row r="391" spans="1:7" x14ac:dyDescent="0.25">
      <c r="A391" t="s">
        <v>366</v>
      </c>
      <c r="B391" s="153">
        <v>20319969.812723465</v>
      </c>
      <c r="C391" s="153">
        <v>18946344.812723465</v>
      </c>
      <c r="D391" s="153">
        <v>231744</v>
      </c>
      <c r="E391" s="153"/>
      <c r="F391" s="153">
        <v>960100</v>
      </c>
      <c r="G391" s="153">
        <v>129498</v>
      </c>
    </row>
    <row r="392" spans="1:7" x14ac:dyDescent="0.25">
      <c r="A392" t="s">
        <v>365</v>
      </c>
      <c r="B392" s="153">
        <f>SUM(B390:B391)</f>
        <v>52116343.254637472</v>
      </c>
      <c r="C392" s="153">
        <f t="shared" ref="C392:G392" si="20">SUM(C390:C391)</f>
        <v>47633187.254637472</v>
      </c>
      <c r="D392" s="153">
        <f t="shared" si="20"/>
        <v>1512989</v>
      </c>
      <c r="E392" s="153">
        <f t="shared" si="20"/>
        <v>0</v>
      </c>
      <c r="F392" s="153">
        <f t="shared" si="20"/>
        <v>2643541</v>
      </c>
      <c r="G392" s="153">
        <f t="shared" si="20"/>
        <v>274240</v>
      </c>
    </row>
    <row r="394" spans="1:7" x14ac:dyDescent="0.25">
      <c r="A394" t="s">
        <v>154</v>
      </c>
      <c r="B394" s="153">
        <v>15438342.109751103</v>
      </c>
      <c r="C394" s="153">
        <v>13531270.109751103</v>
      </c>
      <c r="D394" s="153">
        <v>448969</v>
      </c>
      <c r="E394" s="153">
        <v>0</v>
      </c>
      <c r="F394" s="153">
        <v>1354582</v>
      </c>
      <c r="G394" s="153">
        <v>98823</v>
      </c>
    </row>
    <row r="395" spans="1:7" x14ac:dyDescent="0.25">
      <c r="A395" t="s">
        <v>152</v>
      </c>
      <c r="B395" s="153">
        <v>33081139.917266771</v>
      </c>
      <c r="C395" s="153">
        <v>27730251.917266771</v>
      </c>
      <c r="D395" s="153">
        <v>1598539</v>
      </c>
      <c r="E395" s="153">
        <v>0</v>
      </c>
      <c r="F395" s="153">
        <v>3481658</v>
      </c>
      <c r="G395" s="153">
        <v>255160</v>
      </c>
    </row>
    <row r="396" spans="1:7" x14ac:dyDescent="0.25">
      <c r="A396" t="s">
        <v>164</v>
      </c>
      <c r="B396" s="153">
        <v>26109359.876213253</v>
      </c>
      <c r="C396" s="153">
        <v>23426297.876213253</v>
      </c>
      <c r="D396" s="153">
        <v>1004843</v>
      </c>
      <c r="E396" s="153">
        <v>0</v>
      </c>
      <c r="F396" s="153">
        <v>1473321</v>
      </c>
      <c r="G396" s="153">
        <v>205066</v>
      </c>
    </row>
    <row r="397" spans="1:7" x14ac:dyDescent="0.25">
      <c r="A397" t="s">
        <v>149</v>
      </c>
      <c r="B397" s="153">
        <v>19068182.422930956</v>
      </c>
      <c r="C397" s="153">
        <v>16343806.422930954</v>
      </c>
      <c r="D397" s="153">
        <v>679431</v>
      </c>
      <c r="E397" s="153">
        <v>0</v>
      </c>
      <c r="F397" s="153">
        <v>1846544</v>
      </c>
      <c r="G397" s="153">
        <v>232299</v>
      </c>
    </row>
    <row r="398" spans="1:7" x14ac:dyDescent="0.25">
      <c r="A398" t="s">
        <v>755</v>
      </c>
      <c r="B398" s="153">
        <f>SUM(B394:B397)</f>
        <v>93697024.326162085</v>
      </c>
      <c r="C398" s="153">
        <f t="shared" ref="C398:G398" si="21">SUM(C394:C397)</f>
        <v>81031626.326162085</v>
      </c>
      <c r="D398" s="153">
        <f t="shared" si="21"/>
        <v>3731782</v>
      </c>
      <c r="E398" s="153">
        <f t="shared" si="21"/>
        <v>0</v>
      </c>
      <c r="F398" s="153">
        <f t="shared" si="21"/>
        <v>8156105</v>
      </c>
      <c r="G398" s="153">
        <f t="shared" si="21"/>
        <v>791348</v>
      </c>
    </row>
    <row r="400" spans="1:7" x14ac:dyDescent="0.25">
      <c r="A400" t="s">
        <v>227</v>
      </c>
      <c r="B400" s="153">
        <v>32900166.673248149</v>
      </c>
      <c r="C400" s="153">
        <v>30062815.673248149</v>
      </c>
      <c r="D400" s="153">
        <v>427456</v>
      </c>
      <c r="E400" s="153">
        <v>0</v>
      </c>
      <c r="F400" s="153">
        <v>2236981</v>
      </c>
      <c r="G400" s="153">
        <v>211547</v>
      </c>
    </row>
    <row r="401" spans="1:7" x14ac:dyDescent="0.25">
      <c r="A401" t="s">
        <v>232</v>
      </c>
      <c r="B401" s="153">
        <v>13418204.51946827</v>
      </c>
      <c r="C401" s="153">
        <v>12782097.51946827</v>
      </c>
      <c r="D401" s="153">
        <v>129711</v>
      </c>
      <c r="E401" s="153">
        <v>0</v>
      </c>
      <c r="F401" s="153">
        <v>465662</v>
      </c>
      <c r="G401" s="153">
        <v>96059</v>
      </c>
    </row>
    <row r="402" spans="1:7" x14ac:dyDescent="0.25">
      <c r="A402" t="s">
        <v>238</v>
      </c>
      <c r="B402" s="153">
        <v>15078395.102566816</v>
      </c>
      <c r="C402" s="153">
        <v>13858944.102566816</v>
      </c>
      <c r="D402" s="153">
        <v>111467</v>
      </c>
      <c r="E402" s="153">
        <v>0</v>
      </c>
      <c r="F402" s="153">
        <v>1020614</v>
      </c>
      <c r="G402" s="153">
        <v>115467</v>
      </c>
    </row>
    <row r="403" spans="1:7" x14ac:dyDescent="0.25">
      <c r="A403" t="s">
        <v>754</v>
      </c>
      <c r="B403" s="153">
        <f>SUM(B400:B402)</f>
        <v>61396766.295283236</v>
      </c>
      <c r="C403" s="153">
        <f t="shared" ref="C403:G403" si="22">SUM(C400:C402)</f>
        <v>56703857.295283236</v>
      </c>
      <c r="D403" s="153">
        <f t="shared" si="22"/>
        <v>668634</v>
      </c>
      <c r="E403" s="153">
        <f t="shared" si="22"/>
        <v>0</v>
      </c>
      <c r="F403" s="153">
        <f t="shared" si="22"/>
        <v>3723257</v>
      </c>
      <c r="G403" s="153">
        <f t="shared" si="22"/>
        <v>423073</v>
      </c>
    </row>
    <row r="405" spans="1:7" x14ac:dyDescent="0.25">
      <c r="A405" t="s">
        <v>282</v>
      </c>
      <c r="B405" s="153">
        <v>24763185.893014036</v>
      </c>
      <c r="C405" s="153">
        <v>23526703.893014036</v>
      </c>
      <c r="D405" s="153">
        <v>328753</v>
      </c>
      <c r="E405" s="153">
        <v>0</v>
      </c>
      <c r="F405" s="153">
        <v>660293</v>
      </c>
      <c r="G405" s="153">
        <v>288201</v>
      </c>
    </row>
    <row r="406" spans="1:7" x14ac:dyDescent="0.25">
      <c r="A406" t="s">
        <v>356</v>
      </c>
      <c r="B406" s="153">
        <v>33129609.41635365</v>
      </c>
      <c r="C406" s="153">
        <v>30042719.41635365</v>
      </c>
      <c r="D406" s="153">
        <v>988514</v>
      </c>
      <c r="E406" s="153">
        <v>0</v>
      </c>
      <c r="F406" s="153">
        <v>1986179</v>
      </c>
      <c r="G406" s="153">
        <v>237406</v>
      </c>
    </row>
    <row r="407" spans="1:7" x14ac:dyDescent="0.25">
      <c r="A407" t="s">
        <v>384</v>
      </c>
      <c r="B407" s="153">
        <v>16528019.318626959</v>
      </c>
      <c r="C407" s="153">
        <v>15362436.318626959</v>
      </c>
      <c r="D407" s="153">
        <v>433995</v>
      </c>
      <c r="E407" s="153">
        <v>0</v>
      </c>
      <c r="F407" s="153">
        <v>610977</v>
      </c>
      <c r="G407" s="153">
        <v>185071</v>
      </c>
    </row>
    <row r="408" spans="1:7" x14ac:dyDescent="0.25">
      <c r="A408" t="s">
        <v>752</v>
      </c>
      <c r="B408" s="153">
        <f>SUM(B405:B407)</f>
        <v>74420814.627994642</v>
      </c>
      <c r="C408" s="153">
        <f t="shared" ref="C408:G408" si="23">SUM(C405:C407)</f>
        <v>68931859.627994642</v>
      </c>
      <c r="D408" s="153">
        <f t="shared" si="23"/>
        <v>1751262</v>
      </c>
      <c r="E408" s="153">
        <f t="shared" si="23"/>
        <v>0</v>
      </c>
      <c r="F408" s="153">
        <f t="shared" si="23"/>
        <v>3257449</v>
      </c>
      <c r="G408" s="153">
        <f t="shared" si="23"/>
        <v>710678</v>
      </c>
    </row>
    <row r="410" spans="1:7" x14ac:dyDescent="0.25">
      <c r="A410" t="s">
        <v>336</v>
      </c>
      <c r="B410" s="153">
        <v>31868441.310648136</v>
      </c>
      <c r="C410" s="153">
        <v>30311629.310648136</v>
      </c>
      <c r="D410" s="153">
        <v>338975</v>
      </c>
      <c r="E410" s="153">
        <v>0</v>
      </c>
      <c r="F410" s="153">
        <v>1061617</v>
      </c>
      <c r="G410" s="153">
        <v>257305</v>
      </c>
    </row>
    <row r="411" spans="1:7" x14ac:dyDescent="0.25">
      <c r="A411" t="s">
        <v>918</v>
      </c>
      <c r="B411" s="153">
        <v>30417685.303566381</v>
      </c>
      <c r="C411" s="153">
        <v>28149214.303566381</v>
      </c>
      <c r="D411" s="153">
        <v>566822</v>
      </c>
      <c r="E411" s="153">
        <v>0</v>
      </c>
      <c r="F411" s="153">
        <v>1475446</v>
      </c>
      <c r="G411" s="153">
        <v>149807</v>
      </c>
    </row>
    <row r="412" spans="1:7" x14ac:dyDescent="0.25">
      <c r="A412" t="s">
        <v>376</v>
      </c>
      <c r="B412" s="153">
        <v>11803174.232176933</v>
      </c>
      <c r="C412" s="153">
        <v>10477730.232176933</v>
      </c>
      <c r="D412" s="153">
        <v>611494</v>
      </c>
      <c r="E412" s="153">
        <v>0</v>
      </c>
      <c r="F412" s="153">
        <v>569301</v>
      </c>
      <c r="G412" s="153">
        <v>131976</v>
      </c>
    </row>
    <row r="413" spans="1:7" x14ac:dyDescent="0.25">
      <c r="A413" t="s">
        <v>919</v>
      </c>
      <c r="B413" s="153">
        <v>15012272.481494542</v>
      </c>
      <c r="C413" s="153">
        <v>14066024.481494542</v>
      </c>
      <c r="D413" s="153">
        <v>196294</v>
      </c>
      <c r="E413" s="153">
        <v>0</v>
      </c>
      <c r="F413" s="153">
        <v>630758</v>
      </c>
      <c r="G413" s="153">
        <v>124111</v>
      </c>
    </row>
    <row r="414" spans="1:7" x14ac:dyDescent="0.25">
      <c r="A414" t="s">
        <v>353</v>
      </c>
      <c r="B414" s="153">
        <v>13755073.554290736</v>
      </c>
      <c r="C414" s="153">
        <v>12822848.554290736</v>
      </c>
      <c r="D414" s="153">
        <v>268541</v>
      </c>
      <c r="E414" s="153">
        <v>0</v>
      </c>
      <c r="F414" s="153">
        <v>503084</v>
      </c>
      <c r="G414" s="153">
        <v>149594</v>
      </c>
    </row>
    <row r="415" spans="1:7" x14ac:dyDescent="0.25">
      <c r="A415" t="s">
        <v>920</v>
      </c>
      <c r="B415" s="153">
        <f>SUM(B410:B414)</f>
        <v>102856646.88217674</v>
      </c>
      <c r="C415" s="153">
        <f t="shared" ref="C415:G415" si="24">SUM(C410:C414)</f>
        <v>95827446.882176742</v>
      </c>
      <c r="D415" s="153">
        <f t="shared" si="24"/>
        <v>1982126</v>
      </c>
      <c r="E415" s="153">
        <f t="shared" si="24"/>
        <v>0</v>
      </c>
      <c r="F415" s="153">
        <f t="shared" si="24"/>
        <v>4240206</v>
      </c>
      <c r="G415" s="153">
        <f t="shared" si="24"/>
        <v>812793</v>
      </c>
    </row>
  </sheetData>
  <sheetProtection algorithmName="SHA-512" hashValue="+rk/fz3RcDRlJgNxg2l55QJaBrp///ERhU+Ty6D7U4N4DOQv7Nu4UztQunNfK1BAN+w6A4xeM9cAevxV+Y1dUw==" saltValue="oRwFc9XjMXrQz8XUYTY6Pw==" spinCount="100000" sheet="1" selectLockedCells="1" selectUnlockedCells="1"/>
  <sortState ref="AQ2:AT389">
    <sortCondition ref="AQ2:AQ389"/>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D421"/>
  <sheetViews>
    <sheetView topLeftCell="A259" workbookViewId="0">
      <selection activeCell="J125" sqref="J125"/>
    </sheetView>
  </sheetViews>
  <sheetFormatPr defaultRowHeight="13.2" x14ac:dyDescent="0.25"/>
  <cols>
    <col min="1" max="1" width="10.6640625" bestFit="1" customWidth="1"/>
    <col min="2" max="3" width="29.33203125" bestFit="1" customWidth="1"/>
    <col min="4" max="4" width="30.6640625" bestFit="1" customWidth="1"/>
    <col min="5" max="5" width="18" bestFit="1" customWidth="1"/>
    <col min="6" max="6" width="29.33203125" bestFit="1" customWidth="1"/>
    <col min="7" max="7" width="31.6640625" bestFit="1" customWidth="1"/>
    <col min="8" max="8" width="22.6640625" bestFit="1" customWidth="1"/>
    <col min="9" max="9" width="14" bestFit="1" customWidth="1"/>
    <col min="10" max="10" width="20" bestFit="1" customWidth="1"/>
    <col min="11" max="11" width="41.88671875" bestFit="1" customWidth="1"/>
    <col min="12" max="12" width="27.6640625" bestFit="1" customWidth="1"/>
    <col min="13" max="13" width="28" bestFit="1" customWidth="1"/>
    <col min="14" max="14" width="27.88671875" bestFit="1" customWidth="1"/>
    <col min="15" max="15" width="41" bestFit="1" customWidth="1"/>
    <col min="16" max="16" width="36.44140625" bestFit="1" customWidth="1"/>
    <col min="17" max="17" width="30.44140625" bestFit="1" customWidth="1"/>
    <col min="18" max="18" width="41.6640625" bestFit="1" customWidth="1"/>
    <col min="19" max="19" width="43" bestFit="1" customWidth="1"/>
    <col min="20" max="20" width="43" customWidth="1"/>
    <col min="21" max="21" width="22.5546875" bestFit="1" customWidth="1"/>
    <col min="22" max="22" width="9" bestFit="1" customWidth="1"/>
    <col min="23" max="23" width="29.33203125" bestFit="1" customWidth="1"/>
    <col min="24" max="24" width="10.6640625" bestFit="1" customWidth="1"/>
    <col min="25" max="25" width="9.109375" bestFit="1" customWidth="1"/>
    <col min="26" max="26" width="22.88671875" bestFit="1" customWidth="1"/>
    <col min="27" max="27" width="13.88671875" bestFit="1" customWidth="1"/>
    <col min="28" max="28" width="23.6640625" bestFit="1" customWidth="1"/>
    <col min="29" max="29" width="25" bestFit="1" customWidth="1"/>
    <col min="30" max="30" width="22.5546875" bestFit="1" customWidth="1"/>
    <col min="31" max="31" width="34" bestFit="1" customWidth="1"/>
    <col min="32" max="32" width="23.5546875" bestFit="1" customWidth="1"/>
    <col min="33" max="33" width="37.44140625" bestFit="1" customWidth="1"/>
    <col min="34" max="34" width="20.5546875" bestFit="1" customWidth="1"/>
    <col min="35" max="35" width="23.109375" bestFit="1" customWidth="1"/>
    <col min="36" max="36" width="9.6640625" bestFit="1" customWidth="1"/>
    <col min="37" max="37" width="24.5546875" bestFit="1" customWidth="1"/>
    <col min="38" max="38" width="38.44140625" bestFit="1" customWidth="1"/>
    <col min="39" max="39" width="33.109375" bestFit="1" customWidth="1"/>
    <col min="40" max="40" width="45.44140625" bestFit="1" customWidth="1"/>
    <col min="41" max="41" width="32.109375" bestFit="1" customWidth="1"/>
    <col min="42" max="42" width="44.6640625" bestFit="1" customWidth="1"/>
    <col min="43" max="43" width="18.88671875" bestFit="1" customWidth="1"/>
    <col min="44" max="44" width="30.5546875" bestFit="1" customWidth="1"/>
    <col min="45" max="45" width="21.109375" bestFit="1" customWidth="1"/>
    <col min="46" max="46" width="31.109375" bestFit="1" customWidth="1"/>
    <col min="47" max="47" width="16.88671875" bestFit="1" customWidth="1"/>
    <col min="48" max="48" width="38.33203125" bestFit="1" customWidth="1"/>
    <col min="49" max="49" width="19.109375" bestFit="1" customWidth="1"/>
    <col min="50" max="50" width="46" bestFit="1" customWidth="1"/>
    <col min="51" max="51" width="33.109375" bestFit="1" customWidth="1"/>
    <col min="52" max="52" width="44.44140625" bestFit="1" customWidth="1"/>
    <col min="53" max="53" width="22.88671875" bestFit="1" customWidth="1"/>
    <col min="54" max="54" width="34.109375" bestFit="1" customWidth="1"/>
    <col min="55" max="55" width="20.44140625" bestFit="1" customWidth="1"/>
    <col min="56" max="56" width="42.44140625" bestFit="1" customWidth="1"/>
  </cols>
  <sheetData>
    <row r="1" spans="1:56" x14ac:dyDescent="0.25">
      <c r="A1" t="s">
        <v>651</v>
      </c>
      <c r="B1" t="s">
        <v>612</v>
      </c>
      <c r="C1" t="s">
        <v>923</v>
      </c>
      <c r="D1" t="s">
        <v>924</v>
      </c>
      <c r="E1" t="s">
        <v>925</v>
      </c>
      <c r="F1" t="s">
        <v>926</v>
      </c>
      <c r="G1" t="s">
        <v>927</v>
      </c>
      <c r="H1" t="s">
        <v>928</v>
      </c>
      <c r="I1" t="s">
        <v>1321</v>
      </c>
      <c r="J1" t="s">
        <v>1322</v>
      </c>
      <c r="K1" t="s">
        <v>1323</v>
      </c>
      <c r="L1" t="s">
        <v>1324</v>
      </c>
      <c r="M1" t="s">
        <v>1325</v>
      </c>
      <c r="N1" t="s">
        <v>1326</v>
      </c>
      <c r="O1" t="s">
        <v>1327</v>
      </c>
      <c r="P1" t="s">
        <v>1328</v>
      </c>
      <c r="Q1" t="s">
        <v>1329</v>
      </c>
      <c r="R1" t="s">
        <v>1330</v>
      </c>
      <c r="S1" t="s">
        <v>1331</v>
      </c>
      <c r="U1" t="s">
        <v>929</v>
      </c>
      <c r="V1" t="s">
        <v>930</v>
      </c>
      <c r="W1" t="s">
        <v>931</v>
      </c>
      <c r="X1" t="s">
        <v>932</v>
      </c>
      <c r="Y1" t="s">
        <v>933</v>
      </c>
      <c r="Z1" t="s">
        <v>934</v>
      </c>
      <c r="AA1" t="s">
        <v>935</v>
      </c>
      <c r="AB1" t="s">
        <v>937</v>
      </c>
      <c r="AC1" t="s">
        <v>938</v>
      </c>
      <c r="AD1" t="s">
        <v>939</v>
      </c>
      <c r="AE1" t="s">
        <v>940</v>
      </c>
      <c r="AF1" t="s">
        <v>936</v>
      </c>
      <c r="AG1" t="s">
        <v>944</v>
      </c>
      <c r="AH1" t="s">
        <v>941</v>
      </c>
      <c r="AI1" t="s">
        <v>942</v>
      </c>
      <c r="AJ1" t="s">
        <v>945</v>
      </c>
      <c r="AK1" t="s">
        <v>946</v>
      </c>
      <c r="AL1" t="s">
        <v>1311</v>
      </c>
      <c r="AM1" t="s">
        <v>947</v>
      </c>
      <c r="AN1" t="s">
        <v>1312</v>
      </c>
      <c r="AO1" t="s">
        <v>948</v>
      </c>
      <c r="AP1" t="s">
        <v>1313</v>
      </c>
      <c r="AQ1" t="s">
        <v>949</v>
      </c>
      <c r="AR1" t="s">
        <v>1314</v>
      </c>
      <c r="AS1" t="s">
        <v>950</v>
      </c>
      <c r="AT1" t="s">
        <v>1315</v>
      </c>
      <c r="AU1" t="s">
        <v>951</v>
      </c>
      <c r="AV1" t="s">
        <v>1316</v>
      </c>
      <c r="AW1" t="s">
        <v>952</v>
      </c>
      <c r="AX1" t="s">
        <v>1317</v>
      </c>
      <c r="AY1" t="s">
        <v>953</v>
      </c>
      <c r="AZ1" t="s">
        <v>1320</v>
      </c>
      <c r="BA1" t="s">
        <v>954</v>
      </c>
      <c r="BB1" t="s">
        <v>1318</v>
      </c>
      <c r="BC1" t="s">
        <v>955</v>
      </c>
      <c r="BD1" t="s">
        <v>1319</v>
      </c>
    </row>
    <row r="2" spans="1:56" x14ac:dyDescent="0.25">
      <c r="A2" t="s">
        <v>598</v>
      </c>
      <c r="B2" t="s">
        <v>129</v>
      </c>
      <c r="C2">
        <f t="shared" ref="C2:C12" si="0">SUM(D2,-E2)</f>
        <v>61119</v>
      </c>
      <c r="D2">
        <v>61430</v>
      </c>
      <c r="E2">
        <v>311</v>
      </c>
      <c r="F2">
        <f t="shared" ref="F2:F12" si="1">SUM(G2,-H2)</f>
        <v>54056</v>
      </c>
      <c r="G2">
        <v>54367</v>
      </c>
      <c r="H2">
        <v>311</v>
      </c>
      <c r="I2">
        <f>SUM(AK2,AM2,AO2,AQ2,AS2,AU2,AW2,AY2,BA2,BC2)</f>
        <v>2385</v>
      </c>
      <c r="J2">
        <f>SUM(AL2,AN2,AP2,AR2,AT2,AV2,AX2,AZ2,BB2,BD2)</f>
        <v>13056</v>
      </c>
      <c r="K2">
        <f>SUM(U2,-AY2,-AZ2)</f>
        <v>4555</v>
      </c>
      <c r="L2">
        <f>SUM(V2,-AW2,-AX2)</f>
        <v>1547</v>
      </c>
      <c r="M2">
        <f>SUM(X2,-AS2,-AT2)</f>
        <v>1642</v>
      </c>
      <c r="N2">
        <f>SUM(Y2,-AQ2,-AR2)</f>
        <v>1112</v>
      </c>
      <c r="O2">
        <f>SUM(Z2,-AO2,-AP2)</f>
        <v>5062</v>
      </c>
      <c r="P2">
        <f>SUM(AB2,AC2,AD2,-BC2,-BD2)</f>
        <v>7345</v>
      </c>
      <c r="Q2">
        <f>SUM(AE2,-BA2,-BB2)</f>
        <v>13801</v>
      </c>
      <c r="R2">
        <f>SUM(AF2,-AM2,-AN2)</f>
        <v>4871</v>
      </c>
      <c r="S2">
        <f>SUM(AI2,-AK2,-AL2)</f>
        <v>449</v>
      </c>
      <c r="U2">
        <v>12370</v>
      </c>
      <c r="V2">
        <v>1736</v>
      </c>
      <c r="W2">
        <v>2999</v>
      </c>
      <c r="X2">
        <v>1718</v>
      </c>
      <c r="Y2">
        <v>1838</v>
      </c>
      <c r="Z2">
        <v>6813</v>
      </c>
      <c r="AA2">
        <v>22538</v>
      </c>
      <c r="AB2">
        <v>6777</v>
      </c>
      <c r="AC2">
        <v>275</v>
      </c>
      <c r="AD2">
        <v>345</v>
      </c>
      <c r="AE2">
        <f t="shared" ref="AE2:AE12" si="2">SUM(AA2,-AB2,-AC2,-AD2)</f>
        <v>15141</v>
      </c>
      <c r="AF2">
        <v>5984</v>
      </c>
      <c r="AG2">
        <v>5434</v>
      </c>
      <c r="AH2">
        <v>3502</v>
      </c>
      <c r="AI2">
        <f t="shared" ref="AI2:AI12" si="3">SUM(AG2,-AH2)</f>
        <v>1932</v>
      </c>
      <c r="AJ2" t="s">
        <v>1241</v>
      </c>
      <c r="AK2">
        <v>21</v>
      </c>
      <c r="AL2">
        <v>1462</v>
      </c>
      <c r="AM2">
        <v>307</v>
      </c>
      <c r="AN2">
        <v>806</v>
      </c>
      <c r="AO2">
        <v>412</v>
      </c>
      <c r="AP2">
        <v>1339</v>
      </c>
      <c r="AQ2">
        <v>439</v>
      </c>
      <c r="AR2">
        <v>287</v>
      </c>
      <c r="AT2">
        <v>76</v>
      </c>
      <c r="AU2">
        <v>299</v>
      </c>
      <c r="AV2">
        <v>597</v>
      </c>
      <c r="AW2">
        <v>28</v>
      </c>
      <c r="AX2">
        <v>161</v>
      </c>
      <c r="AY2">
        <v>711</v>
      </c>
      <c r="AZ2">
        <v>7104</v>
      </c>
      <c r="BA2">
        <v>168</v>
      </c>
      <c r="BB2">
        <v>1172</v>
      </c>
      <c r="BD2">
        <v>52</v>
      </c>
    </row>
    <row r="3" spans="1:56" x14ac:dyDescent="0.25">
      <c r="A3" t="s">
        <v>599</v>
      </c>
      <c r="B3" t="s">
        <v>287</v>
      </c>
      <c r="C3">
        <f t="shared" si="0"/>
        <v>101216</v>
      </c>
      <c r="D3">
        <v>118784</v>
      </c>
      <c r="E3">
        <v>17568</v>
      </c>
      <c r="F3">
        <f t="shared" si="1"/>
        <v>65327</v>
      </c>
      <c r="G3">
        <v>82895</v>
      </c>
      <c r="H3">
        <v>17568</v>
      </c>
      <c r="I3">
        <f t="shared" ref="I3:I66" si="4">SUM(AK3,AM3,AO3,AQ3,AS3,AU3,AW3,AY3,BA3,BC3)</f>
        <v>3529</v>
      </c>
      <c r="J3">
        <f t="shared" ref="J3:J66" si="5">SUM(AL3,AN3,AP3,AR3,AT3,AV3,AX3,AZ3,BB3,BD3)</f>
        <v>1850</v>
      </c>
      <c r="K3">
        <f t="shared" ref="K3:K66" si="6">SUM(U3,-AY3,-AZ3)</f>
        <v>28236</v>
      </c>
      <c r="L3">
        <f t="shared" ref="L3:L66" si="7">SUM(V3,-AW3,-AX3)</f>
        <v>2682</v>
      </c>
      <c r="M3">
        <f t="shared" ref="M3:M66" si="8">SUM(X3,-AS3,-AT3)</f>
        <v>30969</v>
      </c>
      <c r="N3">
        <f t="shared" ref="N3:N66" si="9">SUM(Y3,-AQ3,-AR3)</f>
        <v>1946</v>
      </c>
      <c r="O3">
        <f t="shared" ref="O3:O66" si="10">SUM(Z3,-AO3,-AP3)</f>
        <v>7233</v>
      </c>
      <c r="P3">
        <f t="shared" ref="P3:P66" si="11">SUM(AB3,AC3,AD3,-BC3,-BD3)</f>
        <v>6228</v>
      </c>
      <c r="Q3">
        <f t="shared" ref="Q3:Q66" si="12">SUM(AE3,-BA3,-BB3)</f>
        <v>12928</v>
      </c>
      <c r="R3">
        <f t="shared" ref="R3:R66" si="13">SUM(AF3,-AM3,-AN3)</f>
        <v>5876</v>
      </c>
      <c r="S3">
        <f t="shared" ref="S3:S66" si="14">SUM(AI3,-AK3,-AL3)</f>
        <v>2830</v>
      </c>
      <c r="U3">
        <v>30645</v>
      </c>
      <c r="V3">
        <v>2682</v>
      </c>
      <c r="W3">
        <v>5760</v>
      </c>
      <c r="X3">
        <v>30972</v>
      </c>
      <c r="Y3">
        <v>3053</v>
      </c>
      <c r="Z3">
        <v>8058</v>
      </c>
      <c r="AA3">
        <v>19156</v>
      </c>
      <c r="AB3">
        <v>4843</v>
      </c>
      <c r="AC3">
        <v>871</v>
      </c>
      <c r="AD3">
        <v>514</v>
      </c>
      <c r="AE3">
        <f t="shared" si="2"/>
        <v>12928</v>
      </c>
      <c r="AF3">
        <v>6447</v>
      </c>
      <c r="AG3">
        <v>12011</v>
      </c>
      <c r="AH3">
        <v>9181</v>
      </c>
      <c r="AI3">
        <f t="shared" si="3"/>
        <v>2830</v>
      </c>
      <c r="AJ3" t="s">
        <v>1062</v>
      </c>
      <c r="AM3">
        <v>571</v>
      </c>
      <c r="AO3">
        <v>825</v>
      </c>
      <c r="AQ3">
        <v>1107</v>
      </c>
      <c r="AS3">
        <v>3</v>
      </c>
      <c r="AU3">
        <v>464</v>
      </c>
      <c r="AY3">
        <v>559</v>
      </c>
      <c r="AZ3">
        <v>1850</v>
      </c>
    </row>
    <row r="4" spans="1:56" x14ac:dyDescent="0.25">
      <c r="A4" t="s">
        <v>600</v>
      </c>
      <c r="B4" t="s">
        <v>209</v>
      </c>
      <c r="C4">
        <f t="shared" si="0"/>
        <v>59149</v>
      </c>
      <c r="D4">
        <v>59707</v>
      </c>
      <c r="E4">
        <v>558</v>
      </c>
      <c r="F4">
        <f t="shared" si="1"/>
        <v>61309</v>
      </c>
      <c r="G4">
        <v>61867</v>
      </c>
      <c r="H4">
        <v>558</v>
      </c>
      <c r="I4">
        <f t="shared" si="4"/>
        <v>1915</v>
      </c>
      <c r="J4">
        <f t="shared" si="5"/>
        <v>12438</v>
      </c>
      <c r="K4">
        <f t="shared" si="6"/>
        <v>6136</v>
      </c>
      <c r="L4">
        <f t="shared" si="7"/>
        <v>1545</v>
      </c>
      <c r="M4">
        <f t="shared" si="8"/>
        <v>55</v>
      </c>
      <c r="N4">
        <f t="shared" si="9"/>
        <v>1412</v>
      </c>
      <c r="O4">
        <f t="shared" si="10"/>
        <v>3010</v>
      </c>
      <c r="P4">
        <f t="shared" si="11"/>
        <v>15763</v>
      </c>
      <c r="Q4">
        <f t="shared" si="12"/>
        <v>11809</v>
      </c>
      <c r="R4">
        <f t="shared" si="13"/>
        <v>2590</v>
      </c>
      <c r="S4">
        <f t="shared" si="14"/>
        <v>301</v>
      </c>
      <c r="U4">
        <v>13096</v>
      </c>
      <c r="V4">
        <v>1806</v>
      </c>
      <c r="W4">
        <v>2370</v>
      </c>
      <c r="X4">
        <v>103</v>
      </c>
      <c r="Y4">
        <v>2028</v>
      </c>
      <c r="Z4">
        <v>4576</v>
      </c>
      <c r="AA4">
        <v>29231</v>
      </c>
      <c r="AB4">
        <v>7313</v>
      </c>
      <c r="AC4">
        <v>8469</v>
      </c>
      <c r="AD4">
        <v>573</v>
      </c>
      <c r="AE4">
        <f t="shared" si="2"/>
        <v>12876</v>
      </c>
      <c r="AF4">
        <v>3847</v>
      </c>
      <c r="AG4">
        <v>2650</v>
      </c>
      <c r="AH4">
        <v>1380</v>
      </c>
      <c r="AI4">
        <f t="shared" si="3"/>
        <v>1270</v>
      </c>
      <c r="AJ4" t="s">
        <v>1001</v>
      </c>
      <c r="AK4">
        <v>0</v>
      </c>
      <c r="AL4">
        <v>969</v>
      </c>
      <c r="AM4">
        <v>512</v>
      </c>
      <c r="AN4">
        <v>745</v>
      </c>
      <c r="AO4">
        <v>167</v>
      </c>
      <c r="AP4">
        <v>1399</v>
      </c>
      <c r="AQ4">
        <v>527</v>
      </c>
      <c r="AR4">
        <v>89</v>
      </c>
      <c r="AT4">
        <v>48</v>
      </c>
      <c r="AU4">
        <v>159</v>
      </c>
      <c r="AV4">
        <v>858</v>
      </c>
      <c r="AW4">
        <v>53</v>
      </c>
      <c r="AX4">
        <v>208</v>
      </c>
      <c r="AY4">
        <v>497</v>
      </c>
      <c r="AZ4">
        <v>6463</v>
      </c>
      <c r="BB4">
        <v>1067</v>
      </c>
      <c r="BD4">
        <v>592</v>
      </c>
    </row>
    <row r="5" spans="1:56" x14ac:dyDescent="0.25">
      <c r="A5" t="s">
        <v>602</v>
      </c>
      <c r="B5" t="s">
        <v>165</v>
      </c>
      <c r="C5">
        <f t="shared" si="0"/>
        <v>76901</v>
      </c>
      <c r="D5">
        <v>77534</v>
      </c>
      <c r="E5">
        <v>633</v>
      </c>
      <c r="F5">
        <f t="shared" si="1"/>
        <v>75354</v>
      </c>
      <c r="G5">
        <v>75987</v>
      </c>
      <c r="H5">
        <v>633</v>
      </c>
      <c r="I5">
        <f t="shared" si="4"/>
        <v>3781</v>
      </c>
      <c r="J5">
        <f t="shared" si="5"/>
        <v>7169</v>
      </c>
      <c r="K5">
        <f t="shared" si="6"/>
        <v>7632</v>
      </c>
      <c r="L5">
        <f t="shared" si="7"/>
        <v>1688</v>
      </c>
      <c r="M5">
        <f t="shared" si="8"/>
        <v>1180</v>
      </c>
      <c r="N5">
        <f t="shared" si="9"/>
        <v>2241</v>
      </c>
      <c r="O5">
        <f t="shared" si="10"/>
        <v>3250</v>
      </c>
      <c r="P5">
        <f t="shared" si="11"/>
        <v>21567</v>
      </c>
      <c r="Q5">
        <f t="shared" si="12"/>
        <v>18482</v>
      </c>
      <c r="R5">
        <f t="shared" si="13"/>
        <v>5275</v>
      </c>
      <c r="S5">
        <f t="shared" si="14"/>
        <v>1840</v>
      </c>
      <c r="U5">
        <v>10433</v>
      </c>
      <c r="V5">
        <v>1733</v>
      </c>
      <c r="W5">
        <v>5079</v>
      </c>
      <c r="X5">
        <v>1338</v>
      </c>
      <c r="Y5">
        <v>3176</v>
      </c>
      <c r="Z5">
        <v>5149</v>
      </c>
      <c r="AA5">
        <v>40938</v>
      </c>
      <c r="AB5">
        <v>14597</v>
      </c>
      <c r="AC5">
        <v>5597</v>
      </c>
      <c r="AD5">
        <v>1643</v>
      </c>
      <c r="AE5">
        <f t="shared" si="2"/>
        <v>19101</v>
      </c>
      <c r="AF5">
        <v>6542</v>
      </c>
      <c r="AG5">
        <v>3146</v>
      </c>
      <c r="AH5">
        <v>772</v>
      </c>
      <c r="AI5">
        <f t="shared" si="3"/>
        <v>2374</v>
      </c>
      <c r="AJ5" t="s">
        <v>964</v>
      </c>
      <c r="AK5">
        <v>3</v>
      </c>
      <c r="AL5">
        <v>531</v>
      </c>
      <c r="AM5">
        <v>727</v>
      </c>
      <c r="AN5">
        <v>540</v>
      </c>
      <c r="AO5">
        <v>398</v>
      </c>
      <c r="AP5">
        <v>1501</v>
      </c>
      <c r="AQ5">
        <v>859</v>
      </c>
      <c r="AR5">
        <v>76</v>
      </c>
      <c r="AS5">
        <v>20</v>
      </c>
      <c r="AT5">
        <v>138</v>
      </c>
      <c r="AU5">
        <v>914</v>
      </c>
      <c r="AV5">
        <v>1508</v>
      </c>
      <c r="AX5">
        <v>45</v>
      </c>
      <c r="AY5">
        <v>778</v>
      </c>
      <c r="AZ5">
        <v>2023</v>
      </c>
      <c r="BA5">
        <v>66</v>
      </c>
      <c r="BB5">
        <v>553</v>
      </c>
      <c r="BC5">
        <v>16</v>
      </c>
      <c r="BD5">
        <v>254</v>
      </c>
    </row>
    <row r="6" spans="1:56" x14ac:dyDescent="0.25">
      <c r="A6" t="s">
        <v>603</v>
      </c>
      <c r="B6" t="s">
        <v>332</v>
      </c>
      <c r="C6">
        <f t="shared" si="0"/>
        <v>50272</v>
      </c>
      <c r="D6">
        <v>50399</v>
      </c>
      <c r="E6">
        <v>127</v>
      </c>
      <c r="F6">
        <f t="shared" si="1"/>
        <v>48005</v>
      </c>
      <c r="G6">
        <v>48132</v>
      </c>
      <c r="H6">
        <v>127</v>
      </c>
      <c r="I6">
        <f t="shared" si="4"/>
        <v>2317</v>
      </c>
      <c r="J6">
        <f t="shared" si="5"/>
        <v>6546</v>
      </c>
      <c r="K6">
        <f t="shared" si="6"/>
        <v>1357</v>
      </c>
      <c r="L6">
        <f t="shared" si="7"/>
        <v>1760</v>
      </c>
      <c r="M6">
        <f t="shared" si="8"/>
        <v>432</v>
      </c>
      <c r="N6">
        <f t="shared" si="9"/>
        <v>1825</v>
      </c>
      <c r="O6">
        <f t="shared" si="10"/>
        <v>4709</v>
      </c>
      <c r="P6">
        <f t="shared" si="11"/>
        <v>9081</v>
      </c>
      <c r="Q6">
        <f t="shared" si="12"/>
        <v>10656</v>
      </c>
      <c r="R6">
        <f t="shared" si="13"/>
        <v>4975</v>
      </c>
      <c r="S6">
        <f t="shared" si="14"/>
        <v>1416</v>
      </c>
      <c r="U6">
        <v>8298</v>
      </c>
      <c r="V6">
        <v>1760</v>
      </c>
      <c r="W6">
        <v>2045</v>
      </c>
      <c r="X6">
        <v>450</v>
      </c>
      <c r="Y6">
        <v>2045</v>
      </c>
      <c r="Z6">
        <v>5140</v>
      </c>
      <c r="AA6">
        <v>19737</v>
      </c>
      <c r="AB6">
        <v>6637</v>
      </c>
      <c r="AC6">
        <v>1654</v>
      </c>
      <c r="AD6">
        <v>790</v>
      </c>
      <c r="AE6">
        <f t="shared" si="2"/>
        <v>10656</v>
      </c>
      <c r="AF6">
        <v>5512</v>
      </c>
      <c r="AG6">
        <v>5412</v>
      </c>
      <c r="AH6">
        <v>3947</v>
      </c>
      <c r="AI6">
        <f t="shared" si="3"/>
        <v>1465</v>
      </c>
      <c r="AJ6" t="s">
        <v>1101</v>
      </c>
      <c r="AK6">
        <v>49</v>
      </c>
      <c r="AM6">
        <v>537</v>
      </c>
      <c r="AO6">
        <v>431</v>
      </c>
      <c r="AQ6">
        <v>220</v>
      </c>
      <c r="AS6">
        <v>18</v>
      </c>
      <c r="AU6">
        <v>667</v>
      </c>
      <c r="AY6">
        <v>395</v>
      </c>
      <c r="AZ6">
        <v>6546</v>
      </c>
    </row>
    <row r="7" spans="1:56" x14ac:dyDescent="0.25">
      <c r="A7" t="s">
        <v>603</v>
      </c>
      <c r="B7" t="s">
        <v>333</v>
      </c>
      <c r="C7">
        <f t="shared" si="0"/>
        <v>59236</v>
      </c>
      <c r="D7">
        <v>59306</v>
      </c>
      <c r="E7">
        <v>70</v>
      </c>
      <c r="F7">
        <f t="shared" si="1"/>
        <v>57989</v>
      </c>
      <c r="G7">
        <v>58059</v>
      </c>
      <c r="H7">
        <v>70</v>
      </c>
      <c r="I7">
        <f t="shared" si="4"/>
        <v>2826</v>
      </c>
      <c r="J7">
        <f t="shared" si="5"/>
        <v>1324</v>
      </c>
      <c r="K7">
        <f t="shared" si="6"/>
        <v>10253</v>
      </c>
      <c r="L7">
        <f t="shared" si="7"/>
        <v>1672</v>
      </c>
      <c r="M7">
        <f t="shared" si="8"/>
        <v>2078</v>
      </c>
      <c r="N7">
        <f t="shared" si="9"/>
        <v>1339</v>
      </c>
      <c r="O7">
        <f t="shared" si="10"/>
        <v>3336</v>
      </c>
      <c r="P7">
        <f t="shared" si="11"/>
        <v>6850</v>
      </c>
      <c r="Q7">
        <f t="shared" si="12"/>
        <v>9221</v>
      </c>
      <c r="R7">
        <f t="shared" si="13"/>
        <v>5883</v>
      </c>
      <c r="S7">
        <f t="shared" si="14"/>
        <v>1362</v>
      </c>
      <c r="U7">
        <v>11599</v>
      </c>
      <c r="V7">
        <v>1702</v>
      </c>
      <c r="W7">
        <v>4434</v>
      </c>
      <c r="X7">
        <v>2078</v>
      </c>
      <c r="Y7">
        <v>1817</v>
      </c>
      <c r="Z7">
        <v>3757</v>
      </c>
      <c r="AA7">
        <v>16226</v>
      </c>
      <c r="AB7">
        <v>6140</v>
      </c>
      <c r="AC7">
        <v>21</v>
      </c>
      <c r="AD7">
        <v>689</v>
      </c>
      <c r="AE7">
        <f t="shared" si="2"/>
        <v>9376</v>
      </c>
      <c r="AF7">
        <v>6660</v>
      </c>
      <c r="AG7">
        <v>11033</v>
      </c>
      <c r="AH7">
        <v>9639</v>
      </c>
      <c r="AI7">
        <f t="shared" si="3"/>
        <v>1394</v>
      </c>
      <c r="AJ7" t="s">
        <v>1133</v>
      </c>
      <c r="AK7">
        <v>32</v>
      </c>
      <c r="AM7">
        <v>777</v>
      </c>
      <c r="AO7">
        <v>421</v>
      </c>
      <c r="AQ7">
        <v>478</v>
      </c>
      <c r="AU7">
        <v>911</v>
      </c>
      <c r="AW7">
        <v>30</v>
      </c>
      <c r="AY7">
        <v>22</v>
      </c>
      <c r="AZ7">
        <v>1324</v>
      </c>
      <c r="BA7">
        <v>155</v>
      </c>
    </row>
    <row r="8" spans="1:56" x14ac:dyDescent="0.25">
      <c r="A8" t="s">
        <v>600</v>
      </c>
      <c r="B8" t="s">
        <v>288</v>
      </c>
      <c r="C8">
        <f t="shared" si="0"/>
        <v>377254</v>
      </c>
      <c r="D8">
        <v>385966</v>
      </c>
      <c r="E8">
        <v>8712</v>
      </c>
      <c r="F8">
        <f t="shared" si="1"/>
        <v>359078</v>
      </c>
      <c r="G8">
        <v>367790</v>
      </c>
      <c r="H8">
        <v>8712</v>
      </c>
      <c r="I8">
        <f t="shared" si="4"/>
        <v>18988</v>
      </c>
      <c r="J8">
        <f t="shared" si="5"/>
        <v>45167</v>
      </c>
      <c r="K8">
        <f t="shared" si="6"/>
        <v>26033</v>
      </c>
      <c r="L8">
        <f t="shared" si="7"/>
        <v>11164</v>
      </c>
      <c r="M8">
        <f t="shared" si="8"/>
        <v>2977</v>
      </c>
      <c r="N8">
        <f t="shared" si="9"/>
        <v>12182</v>
      </c>
      <c r="O8">
        <f t="shared" si="10"/>
        <v>38579</v>
      </c>
      <c r="P8">
        <f t="shared" si="11"/>
        <v>68969</v>
      </c>
      <c r="Q8">
        <f t="shared" si="12"/>
        <v>86602</v>
      </c>
      <c r="R8">
        <f t="shared" si="13"/>
        <v>21909</v>
      </c>
      <c r="S8">
        <f t="shared" si="14"/>
        <v>1898</v>
      </c>
      <c r="U8">
        <v>56930</v>
      </c>
      <c r="V8">
        <v>14275</v>
      </c>
      <c r="W8">
        <v>23647</v>
      </c>
      <c r="X8">
        <v>4219</v>
      </c>
      <c r="Y8">
        <v>18283</v>
      </c>
      <c r="Z8">
        <v>42503</v>
      </c>
      <c r="AA8">
        <v>161015</v>
      </c>
      <c r="AB8">
        <v>53250</v>
      </c>
      <c r="AC8">
        <v>12623</v>
      </c>
      <c r="AD8">
        <v>4348</v>
      </c>
      <c r="AE8">
        <f t="shared" si="2"/>
        <v>90794</v>
      </c>
      <c r="AF8">
        <v>25086</v>
      </c>
      <c r="AG8">
        <v>40008</v>
      </c>
      <c r="AH8">
        <v>34182</v>
      </c>
      <c r="AI8">
        <f t="shared" si="3"/>
        <v>5826</v>
      </c>
      <c r="AJ8" t="s">
        <v>1063</v>
      </c>
      <c r="AK8">
        <v>84</v>
      </c>
      <c r="AL8">
        <v>3844</v>
      </c>
      <c r="AM8">
        <v>1864</v>
      </c>
      <c r="AN8">
        <v>1313</v>
      </c>
      <c r="AO8">
        <v>2866</v>
      </c>
      <c r="AP8">
        <v>1058</v>
      </c>
      <c r="AQ8">
        <v>4481</v>
      </c>
      <c r="AR8">
        <v>1620</v>
      </c>
      <c r="AS8">
        <v>29</v>
      </c>
      <c r="AT8">
        <v>1213</v>
      </c>
      <c r="AU8">
        <v>4624</v>
      </c>
      <c r="AV8">
        <v>1707</v>
      </c>
      <c r="AW8">
        <v>380</v>
      </c>
      <c r="AX8">
        <v>2731</v>
      </c>
      <c r="AY8">
        <v>4623</v>
      </c>
      <c r="AZ8">
        <v>26274</v>
      </c>
      <c r="BA8">
        <v>32</v>
      </c>
      <c r="BB8">
        <v>4160</v>
      </c>
      <c r="BC8">
        <v>5</v>
      </c>
      <c r="BD8">
        <v>1247</v>
      </c>
    </row>
    <row r="9" spans="1:56" x14ac:dyDescent="0.25">
      <c r="A9" t="s">
        <v>604</v>
      </c>
      <c r="B9" t="s">
        <v>185</v>
      </c>
      <c r="C9">
        <f t="shared" si="0"/>
        <v>278306</v>
      </c>
      <c r="D9">
        <v>284181</v>
      </c>
      <c r="E9">
        <v>5875</v>
      </c>
      <c r="F9">
        <f t="shared" si="1"/>
        <v>273547</v>
      </c>
      <c r="G9">
        <v>279422</v>
      </c>
      <c r="H9">
        <v>5875</v>
      </c>
      <c r="I9">
        <f t="shared" si="4"/>
        <v>8267</v>
      </c>
      <c r="J9">
        <f t="shared" si="5"/>
        <v>45621</v>
      </c>
      <c r="K9">
        <f t="shared" si="6"/>
        <v>18792</v>
      </c>
      <c r="L9">
        <f t="shared" si="7"/>
        <v>5782</v>
      </c>
      <c r="M9">
        <f t="shared" si="8"/>
        <v>4364</v>
      </c>
      <c r="N9">
        <f t="shared" si="9"/>
        <v>5519</v>
      </c>
      <c r="O9">
        <f t="shared" si="10"/>
        <v>13965</v>
      </c>
      <c r="P9">
        <f t="shared" si="11"/>
        <v>66666</v>
      </c>
      <c r="Q9">
        <f t="shared" si="12"/>
        <v>80782</v>
      </c>
      <c r="R9">
        <f t="shared" si="13"/>
        <v>17128</v>
      </c>
      <c r="S9">
        <f t="shared" si="14"/>
        <v>1687</v>
      </c>
      <c r="U9">
        <v>43682</v>
      </c>
      <c r="V9">
        <v>6347</v>
      </c>
      <c r="W9">
        <v>12488</v>
      </c>
      <c r="X9">
        <v>4853</v>
      </c>
      <c r="Y9">
        <v>8406</v>
      </c>
      <c r="Z9">
        <v>17827</v>
      </c>
      <c r="AA9">
        <v>159294</v>
      </c>
      <c r="AB9">
        <v>55827</v>
      </c>
      <c r="AC9">
        <v>13130</v>
      </c>
      <c r="AD9">
        <v>5740</v>
      </c>
      <c r="AE9">
        <f t="shared" si="2"/>
        <v>84597</v>
      </c>
      <c r="AF9">
        <v>21321</v>
      </c>
      <c r="AG9">
        <v>9963</v>
      </c>
      <c r="AH9">
        <v>5243</v>
      </c>
      <c r="AI9">
        <f t="shared" si="3"/>
        <v>4720</v>
      </c>
      <c r="AJ9" t="s">
        <v>981</v>
      </c>
      <c r="AK9">
        <v>50</v>
      </c>
      <c r="AL9">
        <v>2983</v>
      </c>
      <c r="AM9">
        <v>1143</v>
      </c>
      <c r="AN9">
        <v>3050</v>
      </c>
      <c r="AO9">
        <v>986</v>
      </c>
      <c r="AP9">
        <v>2876</v>
      </c>
      <c r="AQ9">
        <v>1949</v>
      </c>
      <c r="AR9">
        <v>938</v>
      </c>
      <c r="AS9">
        <v>23</v>
      </c>
      <c r="AT9">
        <v>466</v>
      </c>
      <c r="AU9">
        <v>614</v>
      </c>
      <c r="AV9">
        <v>1509</v>
      </c>
      <c r="AX9">
        <v>565</v>
      </c>
      <c r="AY9">
        <v>3353</v>
      </c>
      <c r="AZ9">
        <v>21537</v>
      </c>
      <c r="BA9">
        <v>123</v>
      </c>
      <c r="BB9">
        <v>3692</v>
      </c>
      <c r="BC9">
        <v>26</v>
      </c>
      <c r="BD9">
        <v>8005</v>
      </c>
    </row>
    <row r="10" spans="1:56" x14ac:dyDescent="0.25">
      <c r="A10" t="s">
        <v>605</v>
      </c>
      <c r="B10" t="s">
        <v>494</v>
      </c>
      <c r="C10">
        <f t="shared" si="0"/>
        <v>786096</v>
      </c>
      <c r="D10">
        <v>904661</v>
      </c>
      <c r="E10">
        <v>118565</v>
      </c>
      <c r="F10">
        <f t="shared" si="1"/>
        <v>693262</v>
      </c>
      <c r="G10">
        <v>811827</v>
      </c>
      <c r="H10">
        <v>118565</v>
      </c>
      <c r="I10">
        <f t="shared" si="4"/>
        <v>21817</v>
      </c>
      <c r="J10">
        <f t="shared" si="5"/>
        <v>126106</v>
      </c>
      <c r="K10">
        <f t="shared" si="6"/>
        <v>151587</v>
      </c>
      <c r="L10">
        <f t="shared" si="7"/>
        <v>14983</v>
      </c>
      <c r="M10">
        <f t="shared" si="8"/>
        <v>4418</v>
      </c>
      <c r="N10">
        <f t="shared" si="9"/>
        <v>25467</v>
      </c>
      <c r="O10">
        <f t="shared" si="10"/>
        <v>52984</v>
      </c>
      <c r="P10">
        <f t="shared" si="11"/>
        <v>108355</v>
      </c>
      <c r="Q10">
        <f t="shared" si="12"/>
        <v>184944</v>
      </c>
      <c r="R10">
        <f t="shared" si="13"/>
        <v>43813</v>
      </c>
      <c r="S10">
        <f t="shared" si="14"/>
        <v>31615</v>
      </c>
      <c r="U10">
        <v>212273</v>
      </c>
      <c r="V10">
        <v>19137</v>
      </c>
      <c r="W10">
        <v>51687</v>
      </c>
      <c r="X10">
        <v>6517</v>
      </c>
      <c r="Y10">
        <v>36004</v>
      </c>
      <c r="Z10">
        <v>65995</v>
      </c>
      <c r="AA10">
        <v>317164</v>
      </c>
      <c r="AB10">
        <v>96050</v>
      </c>
      <c r="AC10">
        <v>9232</v>
      </c>
      <c r="AD10">
        <v>14437</v>
      </c>
      <c r="AE10">
        <f t="shared" si="2"/>
        <v>197445</v>
      </c>
      <c r="AF10">
        <v>54740</v>
      </c>
      <c r="AG10">
        <v>141144</v>
      </c>
      <c r="AH10">
        <v>97371</v>
      </c>
      <c r="AI10">
        <f t="shared" si="3"/>
        <v>43773</v>
      </c>
      <c r="AJ10" t="s">
        <v>960</v>
      </c>
      <c r="AK10">
        <v>111</v>
      </c>
      <c r="AL10">
        <v>12047</v>
      </c>
      <c r="AM10">
        <v>3283</v>
      </c>
      <c r="AN10">
        <v>7644</v>
      </c>
      <c r="AO10">
        <v>5595</v>
      </c>
      <c r="AP10">
        <v>7416</v>
      </c>
      <c r="AQ10">
        <v>6038</v>
      </c>
      <c r="AR10">
        <v>4499</v>
      </c>
      <c r="AS10">
        <v>160</v>
      </c>
      <c r="AT10">
        <v>1939</v>
      </c>
      <c r="AU10">
        <v>2904</v>
      </c>
      <c r="AV10">
        <v>7582</v>
      </c>
      <c r="AW10">
        <v>547</v>
      </c>
      <c r="AX10">
        <v>3607</v>
      </c>
      <c r="AY10">
        <v>2995</v>
      </c>
      <c r="AZ10">
        <v>57691</v>
      </c>
      <c r="BA10">
        <v>177</v>
      </c>
      <c r="BB10">
        <v>12324</v>
      </c>
      <c r="BC10">
        <v>7</v>
      </c>
      <c r="BD10">
        <v>11357</v>
      </c>
    </row>
    <row r="11" spans="1:56" x14ac:dyDescent="0.25">
      <c r="A11" t="s">
        <v>603</v>
      </c>
      <c r="B11" t="s">
        <v>334</v>
      </c>
      <c r="C11">
        <f t="shared" si="0"/>
        <v>291404</v>
      </c>
      <c r="D11">
        <v>332844</v>
      </c>
      <c r="E11">
        <v>41440</v>
      </c>
      <c r="F11">
        <f t="shared" si="1"/>
        <v>271107</v>
      </c>
      <c r="G11">
        <v>312547</v>
      </c>
      <c r="H11">
        <v>41440</v>
      </c>
      <c r="I11">
        <f t="shared" si="4"/>
        <v>19765</v>
      </c>
      <c r="J11">
        <f t="shared" si="5"/>
        <v>60622</v>
      </c>
      <c r="K11">
        <f t="shared" si="6"/>
        <v>62960</v>
      </c>
      <c r="L11">
        <f t="shared" si="7"/>
        <v>7104</v>
      </c>
      <c r="M11">
        <f t="shared" si="8"/>
        <v>6489</v>
      </c>
      <c r="N11">
        <f t="shared" si="9"/>
        <v>7410</v>
      </c>
      <c r="O11">
        <f t="shared" si="10"/>
        <v>15514</v>
      </c>
      <c r="P11">
        <f t="shared" si="11"/>
        <v>44542</v>
      </c>
      <c r="Q11">
        <f t="shared" si="12"/>
        <v>54257</v>
      </c>
      <c r="R11">
        <f t="shared" si="13"/>
        <v>22972</v>
      </c>
      <c r="S11">
        <f t="shared" si="14"/>
        <v>3823</v>
      </c>
      <c r="U11">
        <v>90650</v>
      </c>
      <c r="V11">
        <v>9490</v>
      </c>
      <c r="W11">
        <v>22219</v>
      </c>
      <c r="X11">
        <v>7564</v>
      </c>
      <c r="Y11">
        <v>18768</v>
      </c>
      <c r="Z11">
        <v>21811</v>
      </c>
      <c r="AA11">
        <v>110547</v>
      </c>
      <c r="AB11">
        <v>33043</v>
      </c>
      <c r="AC11">
        <v>16178</v>
      </c>
      <c r="AD11">
        <v>4160</v>
      </c>
      <c r="AE11">
        <f t="shared" si="2"/>
        <v>57166</v>
      </c>
      <c r="AF11">
        <v>29996</v>
      </c>
      <c r="AG11">
        <v>21799</v>
      </c>
      <c r="AH11">
        <v>12472</v>
      </c>
      <c r="AI11">
        <f t="shared" si="3"/>
        <v>9327</v>
      </c>
      <c r="AJ11" t="s">
        <v>1102</v>
      </c>
      <c r="AK11">
        <v>119</v>
      </c>
      <c r="AL11">
        <v>5385</v>
      </c>
      <c r="AM11">
        <v>2438</v>
      </c>
      <c r="AN11">
        <v>4586</v>
      </c>
      <c r="AO11">
        <v>2304</v>
      </c>
      <c r="AP11">
        <v>3993</v>
      </c>
      <c r="AQ11">
        <v>10447</v>
      </c>
      <c r="AR11">
        <v>911</v>
      </c>
      <c r="AS11">
        <v>3</v>
      </c>
      <c r="AT11">
        <v>1072</v>
      </c>
      <c r="AU11">
        <v>3016</v>
      </c>
      <c r="AV11">
        <v>4289</v>
      </c>
      <c r="AW11">
        <v>102</v>
      </c>
      <c r="AX11">
        <v>2284</v>
      </c>
      <c r="AY11">
        <v>1031</v>
      </c>
      <c r="AZ11">
        <v>26659</v>
      </c>
      <c r="BA11">
        <v>244</v>
      </c>
      <c r="BB11">
        <v>2665</v>
      </c>
      <c r="BC11">
        <v>61</v>
      </c>
      <c r="BD11">
        <v>8778</v>
      </c>
    </row>
    <row r="12" spans="1:56" x14ac:dyDescent="0.25">
      <c r="A12" t="s">
        <v>599</v>
      </c>
      <c r="B12" t="s">
        <v>403</v>
      </c>
      <c r="C12">
        <f t="shared" si="0"/>
        <v>21166</v>
      </c>
      <c r="D12">
        <v>22011</v>
      </c>
      <c r="E12">
        <v>845</v>
      </c>
      <c r="F12">
        <f t="shared" si="1"/>
        <v>21035</v>
      </c>
      <c r="G12">
        <v>21880</v>
      </c>
      <c r="H12">
        <v>845</v>
      </c>
      <c r="I12">
        <f t="shared" si="4"/>
        <v>776</v>
      </c>
      <c r="J12">
        <f t="shared" si="5"/>
        <v>758</v>
      </c>
      <c r="K12">
        <f t="shared" si="6"/>
        <v>4651</v>
      </c>
      <c r="L12">
        <f t="shared" si="7"/>
        <v>1018</v>
      </c>
      <c r="M12">
        <f t="shared" si="8"/>
        <v>92</v>
      </c>
      <c r="N12">
        <f t="shared" si="9"/>
        <v>538</v>
      </c>
      <c r="O12">
        <f t="shared" si="10"/>
        <v>1794</v>
      </c>
      <c r="P12">
        <f t="shared" si="11"/>
        <v>2645</v>
      </c>
      <c r="Q12">
        <f t="shared" si="12"/>
        <v>4148</v>
      </c>
      <c r="R12">
        <f t="shared" si="13"/>
        <v>2406</v>
      </c>
      <c r="S12">
        <f t="shared" si="14"/>
        <v>824</v>
      </c>
      <c r="U12">
        <v>5530</v>
      </c>
      <c r="V12">
        <v>1062</v>
      </c>
      <c r="W12">
        <v>1256</v>
      </c>
      <c r="X12">
        <v>92</v>
      </c>
      <c r="Y12">
        <v>720</v>
      </c>
      <c r="Z12">
        <v>1935</v>
      </c>
      <c r="AA12">
        <v>6835</v>
      </c>
      <c r="AB12">
        <v>1875</v>
      </c>
      <c r="AC12">
        <v>523</v>
      </c>
      <c r="AD12">
        <v>247</v>
      </c>
      <c r="AE12">
        <f t="shared" si="2"/>
        <v>4190</v>
      </c>
      <c r="AF12">
        <v>2623</v>
      </c>
      <c r="AG12">
        <v>1958</v>
      </c>
      <c r="AH12">
        <v>1134</v>
      </c>
      <c r="AI12">
        <f t="shared" si="3"/>
        <v>824</v>
      </c>
      <c r="AJ12" t="s">
        <v>1260</v>
      </c>
      <c r="AM12">
        <v>217</v>
      </c>
      <c r="AO12">
        <v>141</v>
      </c>
      <c r="AQ12">
        <v>182</v>
      </c>
      <c r="AU12">
        <v>29</v>
      </c>
      <c r="AW12">
        <v>44</v>
      </c>
      <c r="AY12">
        <v>121</v>
      </c>
      <c r="AZ12">
        <v>758</v>
      </c>
      <c r="BA12">
        <v>42</v>
      </c>
    </row>
    <row r="13" spans="1:56" x14ac:dyDescent="0.25">
      <c r="A13" t="s">
        <v>599</v>
      </c>
      <c r="B13" t="s">
        <v>745</v>
      </c>
      <c r="C13" s="312">
        <v>127827</v>
      </c>
      <c r="D13">
        <v>0</v>
      </c>
      <c r="E13">
        <v>0</v>
      </c>
      <c r="F13">
        <v>127827</v>
      </c>
      <c r="G13">
        <v>127827</v>
      </c>
      <c r="H13">
        <v>0</v>
      </c>
      <c r="I13">
        <f t="shared" si="4"/>
        <v>0</v>
      </c>
      <c r="J13">
        <f t="shared" si="5"/>
        <v>0</v>
      </c>
      <c r="K13">
        <f t="shared" si="6"/>
        <v>0</v>
      </c>
      <c r="L13">
        <f t="shared" si="7"/>
        <v>0</v>
      </c>
      <c r="M13">
        <f t="shared" si="8"/>
        <v>0</v>
      </c>
      <c r="N13">
        <f t="shared" si="9"/>
        <v>0</v>
      </c>
      <c r="O13">
        <f t="shared" si="10"/>
        <v>0</v>
      </c>
      <c r="P13">
        <f t="shared" si="11"/>
        <v>0</v>
      </c>
      <c r="Q13">
        <f t="shared" si="12"/>
        <v>0</v>
      </c>
      <c r="R13">
        <f t="shared" si="13"/>
        <v>0</v>
      </c>
      <c r="S13">
        <f t="shared" si="14"/>
        <v>0</v>
      </c>
      <c r="AJ13" t="s">
        <v>1303</v>
      </c>
      <c r="AK13">
        <v>0</v>
      </c>
      <c r="AL13">
        <v>0</v>
      </c>
      <c r="AM13">
        <v>0</v>
      </c>
      <c r="AN13">
        <v>0</v>
      </c>
      <c r="AO13">
        <v>0</v>
      </c>
      <c r="AP13">
        <v>0</v>
      </c>
      <c r="AQ13">
        <v>0</v>
      </c>
      <c r="AR13">
        <v>0</v>
      </c>
      <c r="AT13">
        <v>0</v>
      </c>
      <c r="AU13">
        <v>0</v>
      </c>
      <c r="AV13">
        <v>0</v>
      </c>
      <c r="AW13">
        <v>0</v>
      </c>
      <c r="AX13">
        <v>0</v>
      </c>
      <c r="AY13">
        <v>0</v>
      </c>
      <c r="AZ13">
        <v>0</v>
      </c>
      <c r="BA13">
        <v>0</v>
      </c>
      <c r="BB13">
        <v>0</v>
      </c>
      <c r="BD13">
        <v>0</v>
      </c>
    </row>
    <row r="14" spans="1:56" x14ac:dyDescent="0.25">
      <c r="A14" t="s">
        <v>602</v>
      </c>
      <c r="B14" t="s">
        <v>166</v>
      </c>
      <c r="C14">
        <f t="shared" ref="C14:C27" si="15">SUM(D14,-E14)</f>
        <v>20895</v>
      </c>
      <c r="D14">
        <v>21612</v>
      </c>
      <c r="E14">
        <v>717</v>
      </c>
      <c r="F14">
        <f t="shared" ref="F14:F27" si="16">SUM(G14,-H14)</f>
        <v>20493</v>
      </c>
      <c r="G14">
        <v>21210</v>
      </c>
      <c r="H14">
        <v>717</v>
      </c>
      <c r="I14">
        <f t="shared" si="4"/>
        <v>1665</v>
      </c>
      <c r="J14">
        <f t="shared" si="5"/>
        <v>8303</v>
      </c>
      <c r="K14">
        <f t="shared" si="6"/>
        <v>2935</v>
      </c>
      <c r="L14">
        <f t="shared" si="7"/>
        <v>617</v>
      </c>
      <c r="M14">
        <f t="shared" si="8"/>
        <v>460</v>
      </c>
      <c r="N14">
        <f t="shared" si="9"/>
        <v>872</v>
      </c>
      <c r="O14">
        <f t="shared" si="10"/>
        <v>1335</v>
      </c>
      <c r="P14">
        <f t="shared" si="11"/>
        <v>265</v>
      </c>
      <c r="Q14">
        <f t="shared" si="12"/>
        <v>1498</v>
      </c>
      <c r="R14">
        <f t="shared" si="13"/>
        <v>1424</v>
      </c>
      <c r="S14">
        <f t="shared" si="14"/>
        <v>1358</v>
      </c>
      <c r="U14">
        <v>5879</v>
      </c>
      <c r="V14">
        <v>705</v>
      </c>
      <c r="W14">
        <v>1462</v>
      </c>
      <c r="X14">
        <v>689</v>
      </c>
      <c r="Y14">
        <v>3554</v>
      </c>
      <c r="Z14">
        <v>2320</v>
      </c>
      <c r="AA14">
        <v>2406</v>
      </c>
      <c r="AB14">
        <v>256</v>
      </c>
      <c r="AC14">
        <v>361</v>
      </c>
      <c r="AD14">
        <v>25</v>
      </c>
      <c r="AE14">
        <f t="shared" ref="AE14:AE27" si="17">SUM(AA14,-AB14,-AC14,-AD14)</f>
        <v>1764</v>
      </c>
      <c r="AF14">
        <v>2415</v>
      </c>
      <c r="AG14">
        <v>2182</v>
      </c>
      <c r="AH14">
        <v>0</v>
      </c>
      <c r="AI14">
        <f t="shared" ref="AI14:AI27" si="18">SUM(AG14,-AH14)</f>
        <v>2182</v>
      </c>
      <c r="AJ14" t="s">
        <v>965</v>
      </c>
      <c r="AK14">
        <v>92</v>
      </c>
      <c r="AL14">
        <v>732</v>
      </c>
      <c r="AM14">
        <v>297</v>
      </c>
      <c r="AN14">
        <v>694</v>
      </c>
      <c r="AO14">
        <v>282</v>
      </c>
      <c r="AP14">
        <v>703</v>
      </c>
      <c r="AQ14">
        <v>298</v>
      </c>
      <c r="AR14">
        <v>2384</v>
      </c>
      <c r="AS14">
        <v>12</v>
      </c>
      <c r="AT14">
        <v>217</v>
      </c>
      <c r="AU14">
        <v>457</v>
      </c>
      <c r="AV14">
        <v>125</v>
      </c>
      <c r="AW14">
        <v>16</v>
      </c>
      <c r="AX14">
        <v>72</v>
      </c>
      <c r="AY14">
        <v>189</v>
      </c>
      <c r="AZ14">
        <v>2755</v>
      </c>
      <c r="BA14">
        <v>7</v>
      </c>
      <c r="BB14">
        <v>259</v>
      </c>
      <c r="BC14">
        <v>15</v>
      </c>
      <c r="BD14">
        <v>362</v>
      </c>
    </row>
    <row r="15" spans="1:56" x14ac:dyDescent="0.25">
      <c r="A15" t="s">
        <v>606</v>
      </c>
      <c r="B15" t="s">
        <v>262</v>
      </c>
      <c r="C15">
        <f t="shared" si="15"/>
        <v>516607</v>
      </c>
      <c r="D15">
        <v>526878</v>
      </c>
      <c r="E15">
        <v>10271</v>
      </c>
      <c r="F15">
        <f t="shared" si="16"/>
        <v>480987</v>
      </c>
      <c r="G15">
        <v>491258</v>
      </c>
      <c r="H15">
        <v>10271</v>
      </c>
      <c r="I15">
        <f t="shared" si="4"/>
        <v>19929</v>
      </c>
      <c r="J15">
        <f t="shared" si="5"/>
        <v>78033</v>
      </c>
      <c r="K15">
        <f t="shared" si="6"/>
        <v>43834</v>
      </c>
      <c r="L15">
        <f t="shared" si="7"/>
        <v>11432</v>
      </c>
      <c r="M15">
        <f t="shared" si="8"/>
        <v>15705</v>
      </c>
      <c r="N15">
        <f t="shared" si="9"/>
        <v>19335</v>
      </c>
      <c r="O15">
        <f t="shared" si="10"/>
        <v>48251</v>
      </c>
      <c r="P15">
        <f t="shared" si="11"/>
        <v>86082</v>
      </c>
      <c r="Q15">
        <f t="shared" si="12"/>
        <v>134973</v>
      </c>
      <c r="R15">
        <f t="shared" si="13"/>
        <v>36614</v>
      </c>
      <c r="S15">
        <f t="shared" si="14"/>
        <v>8102</v>
      </c>
      <c r="U15">
        <v>89209</v>
      </c>
      <c r="V15">
        <v>13233</v>
      </c>
      <c r="W15">
        <v>22762</v>
      </c>
      <c r="X15">
        <v>16631</v>
      </c>
      <c r="Y15">
        <v>26969</v>
      </c>
      <c r="Z15">
        <v>55985</v>
      </c>
      <c r="AA15">
        <v>239042</v>
      </c>
      <c r="AB15">
        <v>67388</v>
      </c>
      <c r="AC15">
        <v>24715</v>
      </c>
      <c r="AD15">
        <v>4441</v>
      </c>
      <c r="AE15">
        <f t="shared" si="17"/>
        <v>142498</v>
      </c>
      <c r="AF15">
        <v>41223</v>
      </c>
      <c r="AG15">
        <v>21824</v>
      </c>
      <c r="AH15">
        <v>8662</v>
      </c>
      <c r="AI15">
        <f t="shared" si="18"/>
        <v>13162</v>
      </c>
      <c r="AJ15" t="s">
        <v>1042</v>
      </c>
      <c r="AK15">
        <v>697</v>
      </c>
      <c r="AL15">
        <v>4363</v>
      </c>
      <c r="AM15">
        <v>528</v>
      </c>
      <c r="AN15">
        <v>4081</v>
      </c>
      <c r="AO15">
        <v>5002</v>
      </c>
      <c r="AP15">
        <v>2732</v>
      </c>
      <c r="AQ15">
        <v>6112</v>
      </c>
      <c r="AR15">
        <v>1522</v>
      </c>
      <c r="AT15">
        <v>926</v>
      </c>
      <c r="AU15">
        <v>3110</v>
      </c>
      <c r="AV15">
        <v>3726</v>
      </c>
      <c r="AX15">
        <v>1801</v>
      </c>
      <c r="AY15">
        <v>4323</v>
      </c>
      <c r="AZ15">
        <v>41052</v>
      </c>
      <c r="BA15">
        <v>157</v>
      </c>
      <c r="BB15">
        <v>7368</v>
      </c>
      <c r="BD15">
        <v>10462</v>
      </c>
    </row>
    <row r="16" spans="1:56" x14ac:dyDescent="0.25">
      <c r="A16" t="s">
        <v>600</v>
      </c>
      <c r="B16" t="s">
        <v>289</v>
      </c>
      <c r="C16">
        <f t="shared" si="15"/>
        <v>225790</v>
      </c>
      <c r="D16">
        <v>261019</v>
      </c>
      <c r="E16">
        <v>35229</v>
      </c>
      <c r="F16">
        <f t="shared" si="16"/>
        <v>238505</v>
      </c>
      <c r="G16">
        <v>273734</v>
      </c>
      <c r="H16">
        <v>35229</v>
      </c>
      <c r="I16">
        <f t="shared" si="4"/>
        <v>10048</v>
      </c>
      <c r="J16">
        <f t="shared" si="5"/>
        <v>71202</v>
      </c>
      <c r="K16">
        <f t="shared" si="6"/>
        <v>59721</v>
      </c>
      <c r="L16">
        <f t="shared" si="7"/>
        <v>6629</v>
      </c>
      <c r="M16">
        <f t="shared" si="8"/>
        <v>2265</v>
      </c>
      <c r="N16">
        <f t="shared" si="9"/>
        <v>5069</v>
      </c>
      <c r="O16">
        <f t="shared" si="10"/>
        <v>16795</v>
      </c>
      <c r="P16">
        <f t="shared" si="11"/>
        <v>22559</v>
      </c>
      <c r="Q16">
        <f t="shared" si="12"/>
        <v>32140</v>
      </c>
      <c r="R16">
        <f t="shared" si="13"/>
        <v>14590</v>
      </c>
      <c r="S16">
        <f t="shared" si="14"/>
        <v>2109</v>
      </c>
      <c r="U16">
        <v>102682</v>
      </c>
      <c r="V16">
        <v>9615</v>
      </c>
      <c r="W16">
        <v>14258</v>
      </c>
      <c r="X16">
        <v>3154</v>
      </c>
      <c r="Y16">
        <v>8613</v>
      </c>
      <c r="Z16">
        <v>24221</v>
      </c>
      <c r="AA16">
        <v>64274</v>
      </c>
      <c r="AB16">
        <v>22036</v>
      </c>
      <c r="AC16">
        <v>1818</v>
      </c>
      <c r="AD16">
        <v>1681</v>
      </c>
      <c r="AE16">
        <f t="shared" si="17"/>
        <v>38739</v>
      </c>
      <c r="AF16">
        <v>22020</v>
      </c>
      <c r="AG16">
        <v>12182</v>
      </c>
      <c r="AH16">
        <v>6680</v>
      </c>
      <c r="AI16">
        <f t="shared" si="18"/>
        <v>5502</v>
      </c>
      <c r="AJ16" t="s">
        <v>1064</v>
      </c>
      <c r="AL16">
        <v>3393</v>
      </c>
      <c r="AM16">
        <v>2794</v>
      </c>
      <c r="AN16">
        <v>4636</v>
      </c>
      <c r="AO16">
        <v>1514</v>
      </c>
      <c r="AP16">
        <v>5912</v>
      </c>
      <c r="AQ16">
        <v>2534</v>
      </c>
      <c r="AR16">
        <v>1010</v>
      </c>
      <c r="AS16">
        <v>6</v>
      </c>
      <c r="AT16">
        <v>883</v>
      </c>
      <c r="AU16">
        <v>424</v>
      </c>
      <c r="AV16">
        <v>2622</v>
      </c>
      <c r="AX16">
        <v>2986</v>
      </c>
      <c r="AY16">
        <v>2776</v>
      </c>
      <c r="AZ16">
        <v>40185</v>
      </c>
      <c r="BB16">
        <v>6599</v>
      </c>
      <c r="BD16">
        <v>2976</v>
      </c>
    </row>
    <row r="17" spans="1:56" x14ac:dyDescent="0.25">
      <c r="A17" t="s">
        <v>600</v>
      </c>
      <c r="B17" t="s">
        <v>290</v>
      </c>
      <c r="C17">
        <f t="shared" si="15"/>
        <v>5166257</v>
      </c>
      <c r="D17">
        <v>5545604</v>
      </c>
      <c r="E17">
        <v>379347</v>
      </c>
      <c r="F17">
        <f t="shared" si="16"/>
        <v>5088739</v>
      </c>
      <c r="G17">
        <v>5468086</v>
      </c>
      <c r="H17">
        <v>379347</v>
      </c>
      <c r="I17">
        <f t="shared" si="4"/>
        <v>223860</v>
      </c>
      <c r="J17">
        <f t="shared" si="5"/>
        <v>1020791</v>
      </c>
      <c r="K17">
        <f t="shared" si="6"/>
        <v>743650</v>
      </c>
      <c r="L17">
        <f t="shared" si="7"/>
        <v>104045</v>
      </c>
      <c r="M17">
        <f t="shared" si="8"/>
        <v>139853</v>
      </c>
      <c r="N17">
        <f t="shared" si="9"/>
        <v>194544</v>
      </c>
      <c r="O17">
        <f t="shared" si="10"/>
        <v>264617</v>
      </c>
      <c r="P17">
        <f t="shared" si="11"/>
        <v>836029</v>
      </c>
      <c r="Q17">
        <f t="shared" si="12"/>
        <v>787586</v>
      </c>
      <c r="R17">
        <f t="shared" si="13"/>
        <v>197780</v>
      </c>
      <c r="S17">
        <f t="shared" si="14"/>
        <v>60254</v>
      </c>
      <c r="U17">
        <v>1270738</v>
      </c>
      <c r="V17">
        <v>180886</v>
      </c>
      <c r="W17">
        <v>769630</v>
      </c>
      <c r="X17">
        <v>153901</v>
      </c>
      <c r="Y17">
        <v>262629</v>
      </c>
      <c r="Z17">
        <v>315428</v>
      </c>
      <c r="AA17">
        <v>1811848</v>
      </c>
      <c r="AB17">
        <v>752806</v>
      </c>
      <c r="AC17">
        <v>90020</v>
      </c>
      <c r="AD17">
        <v>113509</v>
      </c>
      <c r="AE17">
        <f t="shared" si="17"/>
        <v>855513</v>
      </c>
      <c r="AF17">
        <v>293521</v>
      </c>
      <c r="AG17">
        <v>487023</v>
      </c>
      <c r="AH17">
        <v>333126</v>
      </c>
      <c r="AI17">
        <f t="shared" si="18"/>
        <v>153897</v>
      </c>
      <c r="AJ17" t="s">
        <v>1065</v>
      </c>
      <c r="AK17">
        <v>79</v>
      </c>
      <c r="AL17">
        <v>93564</v>
      </c>
      <c r="AM17">
        <v>26063</v>
      </c>
      <c r="AN17">
        <v>69678</v>
      </c>
      <c r="AO17">
        <v>18451</v>
      </c>
      <c r="AP17">
        <v>32360</v>
      </c>
      <c r="AQ17">
        <v>47172</v>
      </c>
      <c r="AR17">
        <v>20913</v>
      </c>
      <c r="AS17">
        <v>82</v>
      </c>
      <c r="AT17">
        <v>13966</v>
      </c>
      <c r="AU17">
        <v>49552</v>
      </c>
      <c r="AV17">
        <v>80609</v>
      </c>
      <c r="AW17">
        <v>473</v>
      </c>
      <c r="AX17">
        <v>76368</v>
      </c>
      <c r="AY17">
        <v>75183</v>
      </c>
      <c r="AZ17">
        <v>451905</v>
      </c>
      <c r="BA17">
        <v>2832</v>
      </c>
      <c r="BB17">
        <v>65095</v>
      </c>
      <c r="BC17">
        <v>3973</v>
      </c>
      <c r="BD17">
        <v>116333</v>
      </c>
    </row>
    <row r="18" spans="1:56" x14ac:dyDescent="0.25">
      <c r="A18" t="s">
        <v>601</v>
      </c>
      <c r="B18" t="s">
        <v>210</v>
      </c>
      <c r="C18">
        <f t="shared" si="15"/>
        <v>602242</v>
      </c>
      <c r="D18">
        <v>612672</v>
      </c>
      <c r="E18">
        <v>10430</v>
      </c>
      <c r="F18">
        <f t="shared" si="16"/>
        <v>583993</v>
      </c>
      <c r="G18">
        <v>594423</v>
      </c>
      <c r="H18">
        <v>10430</v>
      </c>
      <c r="I18">
        <f t="shared" si="4"/>
        <v>20543</v>
      </c>
      <c r="J18">
        <f t="shared" si="5"/>
        <v>92654</v>
      </c>
      <c r="K18">
        <f t="shared" si="6"/>
        <v>55916</v>
      </c>
      <c r="L18">
        <f t="shared" si="7"/>
        <v>12386</v>
      </c>
      <c r="M18">
        <f t="shared" si="8"/>
        <v>19597</v>
      </c>
      <c r="N18">
        <f t="shared" si="9"/>
        <v>20887</v>
      </c>
      <c r="O18">
        <f t="shared" si="10"/>
        <v>38250</v>
      </c>
      <c r="P18">
        <f t="shared" si="11"/>
        <v>96276</v>
      </c>
      <c r="Q18">
        <f t="shared" si="12"/>
        <v>156036</v>
      </c>
      <c r="R18">
        <f t="shared" si="13"/>
        <v>48624</v>
      </c>
      <c r="S18">
        <f t="shared" si="14"/>
        <v>3867</v>
      </c>
      <c r="U18">
        <v>108087</v>
      </c>
      <c r="V18">
        <v>13925</v>
      </c>
      <c r="W18">
        <v>21354</v>
      </c>
      <c r="X18">
        <v>21092</v>
      </c>
      <c r="Y18">
        <v>28850</v>
      </c>
      <c r="Z18">
        <v>49319</v>
      </c>
      <c r="AA18">
        <v>272274</v>
      </c>
      <c r="AB18">
        <v>74785</v>
      </c>
      <c r="AC18">
        <v>20594</v>
      </c>
      <c r="AD18">
        <v>9344</v>
      </c>
      <c r="AE18">
        <f t="shared" si="17"/>
        <v>167551</v>
      </c>
      <c r="AF18">
        <v>53677</v>
      </c>
      <c r="AG18">
        <v>44094</v>
      </c>
      <c r="AH18">
        <v>33238</v>
      </c>
      <c r="AI18">
        <f t="shared" si="18"/>
        <v>10856</v>
      </c>
      <c r="AJ18" t="s">
        <v>1002</v>
      </c>
      <c r="AK18">
        <v>33</v>
      </c>
      <c r="AL18">
        <v>6956</v>
      </c>
      <c r="AM18">
        <v>2713</v>
      </c>
      <c r="AN18">
        <v>2340</v>
      </c>
      <c r="AO18">
        <v>4917</v>
      </c>
      <c r="AP18">
        <v>6152</v>
      </c>
      <c r="AQ18">
        <v>6227</v>
      </c>
      <c r="AR18">
        <v>1736</v>
      </c>
      <c r="AS18">
        <v>34</v>
      </c>
      <c r="AT18">
        <v>1461</v>
      </c>
      <c r="AU18">
        <v>2087</v>
      </c>
      <c r="AV18">
        <v>4869</v>
      </c>
      <c r="AW18">
        <v>149</v>
      </c>
      <c r="AX18">
        <v>1390</v>
      </c>
      <c r="AY18">
        <v>3448</v>
      </c>
      <c r="AZ18">
        <v>48723</v>
      </c>
      <c r="BA18">
        <v>935</v>
      </c>
      <c r="BB18">
        <v>10580</v>
      </c>
      <c r="BD18">
        <v>8447</v>
      </c>
    </row>
    <row r="19" spans="1:56" x14ac:dyDescent="0.25">
      <c r="A19" t="s">
        <v>607</v>
      </c>
      <c r="B19" t="s">
        <v>142</v>
      </c>
      <c r="C19">
        <f t="shared" si="15"/>
        <v>48608</v>
      </c>
      <c r="D19">
        <v>49012</v>
      </c>
      <c r="E19">
        <v>404</v>
      </c>
      <c r="F19">
        <f t="shared" si="16"/>
        <v>47763</v>
      </c>
      <c r="G19">
        <v>48167</v>
      </c>
      <c r="H19">
        <v>404</v>
      </c>
      <c r="I19">
        <f t="shared" si="4"/>
        <v>1553</v>
      </c>
      <c r="J19">
        <f t="shared" si="5"/>
        <v>6858</v>
      </c>
      <c r="K19">
        <f t="shared" si="6"/>
        <v>4824</v>
      </c>
      <c r="L19">
        <f t="shared" si="7"/>
        <v>986</v>
      </c>
      <c r="M19">
        <f t="shared" si="8"/>
        <v>303</v>
      </c>
      <c r="N19">
        <f t="shared" si="9"/>
        <v>4861</v>
      </c>
      <c r="O19">
        <f t="shared" si="10"/>
        <v>2034</v>
      </c>
      <c r="P19">
        <f t="shared" si="11"/>
        <v>13845</v>
      </c>
      <c r="Q19">
        <f t="shared" si="12"/>
        <v>9017</v>
      </c>
      <c r="R19">
        <f t="shared" si="13"/>
        <v>2566</v>
      </c>
      <c r="S19">
        <f t="shared" si="14"/>
        <v>761</v>
      </c>
      <c r="U19">
        <v>9159</v>
      </c>
      <c r="V19">
        <v>1120</v>
      </c>
      <c r="W19">
        <v>2445</v>
      </c>
      <c r="X19">
        <v>376</v>
      </c>
      <c r="Y19">
        <v>5126</v>
      </c>
      <c r="Z19">
        <v>2859</v>
      </c>
      <c r="AA19">
        <v>23442</v>
      </c>
      <c r="AB19">
        <v>7894</v>
      </c>
      <c r="AC19">
        <v>4871</v>
      </c>
      <c r="AD19">
        <v>1170</v>
      </c>
      <c r="AE19">
        <f t="shared" si="17"/>
        <v>9507</v>
      </c>
      <c r="AF19">
        <v>3443</v>
      </c>
      <c r="AG19">
        <v>1042</v>
      </c>
      <c r="AH19">
        <v>71</v>
      </c>
      <c r="AI19">
        <f t="shared" si="18"/>
        <v>971</v>
      </c>
      <c r="AJ19" t="s">
        <v>956</v>
      </c>
      <c r="AK19">
        <v>27</v>
      </c>
      <c r="AL19">
        <v>183</v>
      </c>
      <c r="AM19">
        <v>480</v>
      </c>
      <c r="AN19">
        <v>397</v>
      </c>
      <c r="AO19">
        <v>150</v>
      </c>
      <c r="AP19">
        <v>675</v>
      </c>
      <c r="AQ19">
        <v>189</v>
      </c>
      <c r="AR19">
        <v>76</v>
      </c>
      <c r="AS19">
        <v>6</v>
      </c>
      <c r="AT19">
        <v>67</v>
      </c>
      <c r="AU19">
        <v>417</v>
      </c>
      <c r="AV19">
        <v>695</v>
      </c>
      <c r="AW19">
        <v>2</v>
      </c>
      <c r="AX19">
        <v>132</v>
      </c>
      <c r="AY19">
        <v>282</v>
      </c>
      <c r="AZ19">
        <v>4053</v>
      </c>
      <c r="BB19">
        <v>490</v>
      </c>
      <c r="BD19">
        <v>90</v>
      </c>
    </row>
    <row r="20" spans="1:56" x14ac:dyDescent="0.25">
      <c r="A20" t="s">
        <v>601</v>
      </c>
      <c r="B20" t="s">
        <v>211</v>
      </c>
      <c r="C20">
        <f t="shared" si="15"/>
        <v>726135</v>
      </c>
      <c r="D20">
        <v>758414</v>
      </c>
      <c r="E20">
        <v>32279</v>
      </c>
      <c r="F20">
        <f t="shared" si="16"/>
        <v>744527</v>
      </c>
      <c r="G20">
        <v>744527</v>
      </c>
      <c r="H20">
        <v>0</v>
      </c>
      <c r="I20">
        <f t="shared" si="4"/>
        <v>32002</v>
      </c>
      <c r="J20">
        <f t="shared" si="5"/>
        <v>80767</v>
      </c>
      <c r="K20">
        <f t="shared" si="6"/>
        <v>88142</v>
      </c>
      <c r="L20">
        <f t="shared" si="7"/>
        <v>13481</v>
      </c>
      <c r="M20">
        <f t="shared" si="8"/>
        <v>5602</v>
      </c>
      <c r="N20">
        <f t="shared" si="9"/>
        <v>27919</v>
      </c>
      <c r="O20">
        <f t="shared" si="10"/>
        <v>55921</v>
      </c>
      <c r="P20">
        <f t="shared" si="11"/>
        <v>173264</v>
      </c>
      <c r="Q20">
        <f t="shared" si="12"/>
        <v>184866</v>
      </c>
      <c r="R20">
        <f t="shared" si="13"/>
        <v>29811</v>
      </c>
      <c r="S20">
        <f t="shared" si="14"/>
        <v>12202</v>
      </c>
      <c r="U20">
        <v>146467</v>
      </c>
      <c r="V20">
        <v>16404</v>
      </c>
      <c r="W20">
        <v>35608</v>
      </c>
      <c r="X20">
        <v>5825</v>
      </c>
      <c r="Y20">
        <v>36323</v>
      </c>
      <c r="Z20">
        <v>63501</v>
      </c>
      <c r="AA20">
        <v>376910</v>
      </c>
      <c r="AB20">
        <v>138377</v>
      </c>
      <c r="AC20">
        <v>37345</v>
      </c>
      <c r="AD20">
        <v>10781</v>
      </c>
      <c r="AE20">
        <f t="shared" si="17"/>
        <v>190407</v>
      </c>
      <c r="AF20">
        <v>38456</v>
      </c>
      <c r="AG20">
        <v>38920</v>
      </c>
      <c r="AH20">
        <v>26718</v>
      </c>
      <c r="AI20">
        <f t="shared" si="18"/>
        <v>12202</v>
      </c>
      <c r="AJ20" t="s">
        <v>1003</v>
      </c>
      <c r="AK20">
        <v>0</v>
      </c>
      <c r="AM20">
        <v>6812</v>
      </c>
      <c r="AN20">
        <v>1833</v>
      </c>
      <c r="AO20">
        <v>5908</v>
      </c>
      <c r="AP20">
        <v>1672</v>
      </c>
      <c r="AQ20">
        <v>7383</v>
      </c>
      <c r="AR20">
        <v>1021</v>
      </c>
      <c r="AS20">
        <v>212</v>
      </c>
      <c r="AT20">
        <v>11</v>
      </c>
      <c r="AU20">
        <v>5255</v>
      </c>
      <c r="AV20">
        <v>2634</v>
      </c>
      <c r="AW20">
        <v>418</v>
      </c>
      <c r="AX20">
        <v>2505</v>
      </c>
      <c r="AY20">
        <v>5912</v>
      </c>
      <c r="AZ20">
        <v>52413</v>
      </c>
      <c r="BA20">
        <v>96</v>
      </c>
      <c r="BB20">
        <v>5445</v>
      </c>
      <c r="BC20">
        <v>6</v>
      </c>
      <c r="BD20">
        <v>13233</v>
      </c>
    </row>
    <row r="21" spans="1:56" x14ac:dyDescent="0.25">
      <c r="A21" t="s">
        <v>598</v>
      </c>
      <c r="B21" t="s">
        <v>130</v>
      </c>
      <c r="C21">
        <f t="shared" si="15"/>
        <v>302737</v>
      </c>
      <c r="D21">
        <v>314251</v>
      </c>
      <c r="E21">
        <v>11514</v>
      </c>
      <c r="F21">
        <f t="shared" si="16"/>
        <v>331140</v>
      </c>
      <c r="G21">
        <v>342654</v>
      </c>
      <c r="H21">
        <v>11514</v>
      </c>
      <c r="I21">
        <f t="shared" si="4"/>
        <v>11442</v>
      </c>
      <c r="J21">
        <f t="shared" si="5"/>
        <v>40685</v>
      </c>
      <c r="K21">
        <f t="shared" si="6"/>
        <v>31291</v>
      </c>
      <c r="L21">
        <f t="shared" si="7"/>
        <v>4495</v>
      </c>
      <c r="M21">
        <f t="shared" si="8"/>
        <v>1675</v>
      </c>
      <c r="N21">
        <f t="shared" si="9"/>
        <v>10178</v>
      </c>
      <c r="O21">
        <f t="shared" si="10"/>
        <v>24273</v>
      </c>
      <c r="P21">
        <f t="shared" si="11"/>
        <v>46042</v>
      </c>
      <c r="Q21">
        <f t="shared" si="12"/>
        <v>97014</v>
      </c>
      <c r="R21">
        <f t="shared" si="13"/>
        <v>12388</v>
      </c>
      <c r="S21">
        <f t="shared" si="14"/>
        <v>3640</v>
      </c>
      <c r="U21">
        <v>52731</v>
      </c>
      <c r="V21">
        <v>5460</v>
      </c>
      <c r="W21">
        <v>25583</v>
      </c>
      <c r="X21">
        <v>2169</v>
      </c>
      <c r="Y21">
        <v>16188</v>
      </c>
      <c r="Z21">
        <v>29482</v>
      </c>
      <c r="AA21">
        <v>148782</v>
      </c>
      <c r="AB21">
        <v>42771</v>
      </c>
      <c r="AC21">
        <v>1534</v>
      </c>
      <c r="AD21">
        <v>2038</v>
      </c>
      <c r="AE21">
        <f t="shared" si="17"/>
        <v>102439</v>
      </c>
      <c r="AF21">
        <v>17219</v>
      </c>
      <c r="AG21">
        <v>16637</v>
      </c>
      <c r="AH21">
        <v>10567</v>
      </c>
      <c r="AI21">
        <f t="shared" si="18"/>
        <v>6070</v>
      </c>
      <c r="AJ21" t="s">
        <v>976</v>
      </c>
      <c r="AK21">
        <v>203</v>
      </c>
      <c r="AL21">
        <v>2227</v>
      </c>
      <c r="AM21">
        <v>1023</v>
      </c>
      <c r="AN21">
        <v>3808</v>
      </c>
      <c r="AO21">
        <v>2828</v>
      </c>
      <c r="AP21">
        <v>2381</v>
      </c>
      <c r="AQ21">
        <v>2166</v>
      </c>
      <c r="AR21">
        <v>3844</v>
      </c>
      <c r="AS21">
        <v>32</v>
      </c>
      <c r="AT21">
        <v>462</v>
      </c>
      <c r="AU21">
        <v>2385</v>
      </c>
      <c r="AV21">
        <v>2637</v>
      </c>
      <c r="AW21">
        <v>63</v>
      </c>
      <c r="AX21">
        <v>902</v>
      </c>
      <c r="AY21">
        <v>1857</v>
      </c>
      <c r="AZ21">
        <v>19583</v>
      </c>
      <c r="BA21">
        <v>867</v>
      </c>
      <c r="BB21">
        <v>4558</v>
      </c>
      <c r="BC21">
        <v>18</v>
      </c>
      <c r="BD21">
        <v>283</v>
      </c>
    </row>
    <row r="22" spans="1:56" x14ac:dyDescent="0.25">
      <c r="A22" t="s">
        <v>599</v>
      </c>
      <c r="B22" t="s">
        <v>404</v>
      </c>
      <c r="C22">
        <f t="shared" si="15"/>
        <v>37569</v>
      </c>
      <c r="D22">
        <v>37602</v>
      </c>
      <c r="E22">
        <v>33</v>
      </c>
      <c r="F22">
        <f t="shared" si="16"/>
        <v>37380</v>
      </c>
      <c r="G22">
        <v>37413</v>
      </c>
      <c r="H22">
        <v>33</v>
      </c>
      <c r="I22">
        <f t="shared" si="4"/>
        <v>2144</v>
      </c>
      <c r="J22">
        <f t="shared" si="5"/>
        <v>9494</v>
      </c>
      <c r="K22">
        <f t="shared" si="6"/>
        <v>3396</v>
      </c>
      <c r="L22">
        <f t="shared" si="7"/>
        <v>1042</v>
      </c>
      <c r="M22">
        <f t="shared" si="8"/>
        <v>262</v>
      </c>
      <c r="N22">
        <f t="shared" si="9"/>
        <v>1240</v>
      </c>
      <c r="O22">
        <f t="shared" si="10"/>
        <v>1775</v>
      </c>
      <c r="P22">
        <f t="shared" si="11"/>
        <v>5994</v>
      </c>
      <c r="Q22">
        <f t="shared" si="12"/>
        <v>8003</v>
      </c>
      <c r="R22">
        <f t="shared" si="13"/>
        <v>1899</v>
      </c>
      <c r="S22">
        <f t="shared" si="14"/>
        <v>1081</v>
      </c>
      <c r="U22">
        <v>9678</v>
      </c>
      <c r="V22">
        <v>1362</v>
      </c>
      <c r="W22">
        <v>2466</v>
      </c>
      <c r="X22">
        <v>352</v>
      </c>
      <c r="Y22">
        <v>1651</v>
      </c>
      <c r="Z22">
        <v>3139</v>
      </c>
      <c r="AA22">
        <v>14286</v>
      </c>
      <c r="AB22">
        <v>4222</v>
      </c>
      <c r="AC22">
        <v>1709</v>
      </c>
      <c r="AD22">
        <v>142</v>
      </c>
      <c r="AE22">
        <f t="shared" si="17"/>
        <v>8213</v>
      </c>
      <c r="AF22">
        <v>2926</v>
      </c>
      <c r="AG22">
        <v>1742</v>
      </c>
      <c r="AH22">
        <v>-513</v>
      </c>
      <c r="AI22">
        <f t="shared" si="18"/>
        <v>2255</v>
      </c>
      <c r="AJ22" t="s">
        <v>1156</v>
      </c>
      <c r="AK22">
        <v>12</v>
      </c>
      <c r="AL22">
        <v>1162</v>
      </c>
      <c r="AM22">
        <v>589</v>
      </c>
      <c r="AN22">
        <v>438</v>
      </c>
      <c r="AO22">
        <v>425</v>
      </c>
      <c r="AP22">
        <v>939</v>
      </c>
      <c r="AQ22">
        <v>300</v>
      </c>
      <c r="AR22">
        <v>111</v>
      </c>
      <c r="AT22">
        <v>90</v>
      </c>
      <c r="AU22">
        <v>190</v>
      </c>
      <c r="AV22">
        <v>491</v>
      </c>
      <c r="AW22">
        <v>20</v>
      </c>
      <c r="AX22">
        <v>300</v>
      </c>
      <c r="AY22">
        <v>557</v>
      </c>
      <c r="AZ22">
        <v>5725</v>
      </c>
      <c r="BA22">
        <v>51</v>
      </c>
      <c r="BB22">
        <v>159</v>
      </c>
      <c r="BD22">
        <v>79</v>
      </c>
    </row>
    <row r="23" spans="1:56" x14ac:dyDescent="0.25">
      <c r="A23" t="s">
        <v>599</v>
      </c>
      <c r="B23" t="s">
        <v>405</v>
      </c>
      <c r="C23">
        <f t="shared" si="15"/>
        <v>16333</v>
      </c>
      <c r="D23">
        <v>16333</v>
      </c>
      <c r="E23">
        <v>0</v>
      </c>
      <c r="F23">
        <f t="shared" si="16"/>
        <v>16818</v>
      </c>
      <c r="G23">
        <v>16818</v>
      </c>
      <c r="H23">
        <v>0</v>
      </c>
      <c r="I23">
        <f t="shared" si="4"/>
        <v>476</v>
      </c>
      <c r="J23">
        <f t="shared" si="5"/>
        <v>542</v>
      </c>
      <c r="K23">
        <f t="shared" si="6"/>
        <v>3268</v>
      </c>
      <c r="L23">
        <f t="shared" si="7"/>
        <v>832</v>
      </c>
      <c r="M23">
        <f t="shared" si="8"/>
        <v>91</v>
      </c>
      <c r="N23">
        <f t="shared" si="9"/>
        <v>405</v>
      </c>
      <c r="O23">
        <f t="shared" si="10"/>
        <v>1515</v>
      </c>
      <c r="P23">
        <f t="shared" si="11"/>
        <v>1561</v>
      </c>
      <c r="Q23">
        <f t="shared" si="12"/>
        <v>3544</v>
      </c>
      <c r="R23">
        <f t="shared" si="13"/>
        <v>1639</v>
      </c>
      <c r="S23">
        <f t="shared" si="14"/>
        <v>763</v>
      </c>
      <c r="U23">
        <v>3810</v>
      </c>
      <c r="V23">
        <v>832</v>
      </c>
      <c r="W23">
        <v>905</v>
      </c>
      <c r="X23">
        <v>91</v>
      </c>
      <c r="Y23">
        <v>628</v>
      </c>
      <c r="Z23">
        <v>1612</v>
      </c>
      <c r="AA23">
        <v>5195</v>
      </c>
      <c r="AB23">
        <v>1328</v>
      </c>
      <c r="AC23">
        <v>2</v>
      </c>
      <c r="AD23">
        <v>231</v>
      </c>
      <c r="AE23">
        <f t="shared" si="17"/>
        <v>3634</v>
      </c>
      <c r="AF23">
        <v>1679</v>
      </c>
      <c r="AG23">
        <v>1581</v>
      </c>
      <c r="AH23">
        <v>818</v>
      </c>
      <c r="AI23">
        <f t="shared" si="18"/>
        <v>763</v>
      </c>
      <c r="AJ23" t="s">
        <v>1157</v>
      </c>
      <c r="AM23">
        <v>40</v>
      </c>
      <c r="AO23">
        <v>97</v>
      </c>
      <c r="AQ23">
        <v>223</v>
      </c>
      <c r="AU23">
        <v>26</v>
      </c>
      <c r="AZ23">
        <v>542</v>
      </c>
      <c r="BA23">
        <v>90</v>
      </c>
    </row>
    <row r="24" spans="1:56" x14ac:dyDescent="0.25">
      <c r="A24" t="s">
        <v>606</v>
      </c>
      <c r="B24" t="s">
        <v>263</v>
      </c>
      <c r="C24">
        <f t="shared" si="15"/>
        <v>65181</v>
      </c>
      <c r="D24">
        <v>65220</v>
      </c>
      <c r="E24">
        <v>39</v>
      </c>
      <c r="F24">
        <f t="shared" si="16"/>
        <v>60320</v>
      </c>
      <c r="G24">
        <v>60359</v>
      </c>
      <c r="H24">
        <v>39</v>
      </c>
      <c r="I24">
        <f t="shared" si="4"/>
        <v>2090</v>
      </c>
      <c r="J24">
        <f t="shared" si="5"/>
        <v>11000</v>
      </c>
      <c r="K24">
        <f t="shared" si="6"/>
        <v>11647</v>
      </c>
      <c r="L24">
        <f t="shared" si="7"/>
        <v>1724</v>
      </c>
      <c r="M24">
        <f t="shared" si="8"/>
        <v>170</v>
      </c>
      <c r="N24">
        <f t="shared" si="9"/>
        <v>2078</v>
      </c>
      <c r="O24">
        <f t="shared" si="10"/>
        <v>3715</v>
      </c>
      <c r="P24">
        <f t="shared" si="11"/>
        <v>11889</v>
      </c>
      <c r="Q24">
        <f t="shared" si="12"/>
        <v>9117</v>
      </c>
      <c r="R24">
        <f t="shared" si="13"/>
        <v>5994</v>
      </c>
      <c r="S24">
        <f t="shared" si="14"/>
        <v>1617</v>
      </c>
      <c r="U24">
        <v>18643</v>
      </c>
      <c r="V24">
        <v>2216</v>
      </c>
      <c r="W24">
        <v>4749</v>
      </c>
      <c r="X24">
        <v>170</v>
      </c>
      <c r="Y24">
        <v>2985</v>
      </c>
      <c r="Z24">
        <v>4578</v>
      </c>
      <c r="AA24">
        <v>21493</v>
      </c>
      <c r="AB24">
        <v>6405</v>
      </c>
      <c r="AC24">
        <v>5214</v>
      </c>
      <c r="AD24">
        <v>524</v>
      </c>
      <c r="AE24">
        <f t="shared" si="17"/>
        <v>9350</v>
      </c>
      <c r="AF24">
        <v>6691</v>
      </c>
      <c r="AG24">
        <v>3695</v>
      </c>
      <c r="AH24">
        <v>1</v>
      </c>
      <c r="AI24">
        <f t="shared" si="18"/>
        <v>3694</v>
      </c>
      <c r="AJ24" t="s">
        <v>1043</v>
      </c>
      <c r="AK24">
        <v>175</v>
      </c>
      <c r="AL24">
        <v>1902</v>
      </c>
      <c r="AM24">
        <v>373</v>
      </c>
      <c r="AN24">
        <v>324</v>
      </c>
      <c r="AO24">
        <v>320</v>
      </c>
      <c r="AP24">
        <v>543</v>
      </c>
      <c r="AQ24">
        <v>786</v>
      </c>
      <c r="AR24">
        <v>121</v>
      </c>
      <c r="AU24">
        <v>81</v>
      </c>
      <c r="AV24">
        <v>490</v>
      </c>
      <c r="AW24">
        <v>5</v>
      </c>
      <c r="AX24">
        <v>487</v>
      </c>
      <c r="AY24">
        <v>339</v>
      </c>
      <c r="AZ24">
        <v>6657</v>
      </c>
      <c r="BA24">
        <v>11</v>
      </c>
      <c r="BB24">
        <v>222</v>
      </c>
      <c r="BD24">
        <v>254</v>
      </c>
    </row>
    <row r="25" spans="1:56" x14ac:dyDescent="0.25">
      <c r="A25" t="s">
        <v>603</v>
      </c>
      <c r="B25" t="s">
        <v>335</v>
      </c>
      <c r="C25">
        <f t="shared" si="15"/>
        <v>116160</v>
      </c>
      <c r="D25">
        <v>117406</v>
      </c>
      <c r="E25">
        <v>1246</v>
      </c>
      <c r="F25">
        <f t="shared" si="16"/>
        <v>109902</v>
      </c>
      <c r="G25">
        <v>111148</v>
      </c>
      <c r="H25">
        <v>1246</v>
      </c>
      <c r="I25">
        <f t="shared" si="4"/>
        <v>6423</v>
      </c>
      <c r="J25">
        <f t="shared" si="5"/>
        <v>1672</v>
      </c>
      <c r="K25">
        <f t="shared" si="6"/>
        <v>18666</v>
      </c>
      <c r="L25">
        <f t="shared" si="7"/>
        <v>3402</v>
      </c>
      <c r="M25">
        <f t="shared" si="8"/>
        <v>2844</v>
      </c>
      <c r="N25">
        <f t="shared" si="9"/>
        <v>4157</v>
      </c>
      <c r="O25">
        <f t="shared" si="10"/>
        <v>10515</v>
      </c>
      <c r="P25">
        <f t="shared" si="11"/>
        <v>10735</v>
      </c>
      <c r="Q25">
        <f t="shared" si="12"/>
        <v>21041</v>
      </c>
      <c r="R25">
        <f t="shared" si="13"/>
        <v>10557</v>
      </c>
      <c r="S25">
        <f t="shared" si="14"/>
        <v>2321</v>
      </c>
      <c r="U25">
        <v>21241</v>
      </c>
      <c r="V25">
        <v>3426</v>
      </c>
      <c r="W25">
        <v>7005</v>
      </c>
      <c r="X25">
        <v>2844</v>
      </c>
      <c r="Y25">
        <v>6658</v>
      </c>
      <c r="Z25">
        <v>12204</v>
      </c>
      <c r="AA25">
        <v>31868</v>
      </c>
      <c r="AB25">
        <v>9483</v>
      </c>
      <c r="AC25">
        <v>33</v>
      </c>
      <c r="AD25">
        <v>1219</v>
      </c>
      <c r="AE25">
        <f t="shared" si="17"/>
        <v>21133</v>
      </c>
      <c r="AF25">
        <v>11179</v>
      </c>
      <c r="AG25">
        <v>20981</v>
      </c>
      <c r="AH25">
        <v>18628</v>
      </c>
      <c r="AI25">
        <f t="shared" si="18"/>
        <v>2353</v>
      </c>
      <c r="AJ25" t="s">
        <v>1103</v>
      </c>
      <c r="AK25">
        <v>32</v>
      </c>
      <c r="AM25">
        <v>622</v>
      </c>
      <c r="AO25">
        <v>1689</v>
      </c>
      <c r="AQ25">
        <v>2501</v>
      </c>
      <c r="AU25">
        <v>560</v>
      </c>
      <c r="AW25">
        <v>24</v>
      </c>
      <c r="AY25">
        <v>903</v>
      </c>
      <c r="AZ25">
        <v>1672</v>
      </c>
      <c r="BA25">
        <v>92</v>
      </c>
    </row>
    <row r="26" spans="1:56" x14ac:dyDescent="0.25">
      <c r="A26" t="s">
        <v>601</v>
      </c>
      <c r="B26" t="s">
        <v>212</v>
      </c>
      <c r="C26">
        <f t="shared" si="15"/>
        <v>135865</v>
      </c>
      <c r="D26">
        <v>137770</v>
      </c>
      <c r="E26">
        <v>1905</v>
      </c>
      <c r="F26">
        <f t="shared" si="16"/>
        <v>119912</v>
      </c>
      <c r="G26">
        <v>121817</v>
      </c>
      <c r="H26">
        <v>1905</v>
      </c>
      <c r="I26">
        <f t="shared" si="4"/>
        <v>11117</v>
      </c>
      <c r="J26">
        <f t="shared" si="5"/>
        <v>35072</v>
      </c>
      <c r="K26">
        <f t="shared" si="6"/>
        <v>5448</v>
      </c>
      <c r="L26">
        <f t="shared" si="7"/>
        <v>4631</v>
      </c>
      <c r="M26">
        <f t="shared" si="8"/>
        <v>755</v>
      </c>
      <c r="N26">
        <f t="shared" si="9"/>
        <v>6547</v>
      </c>
      <c r="O26">
        <f t="shared" si="10"/>
        <v>9191</v>
      </c>
      <c r="P26">
        <f t="shared" si="11"/>
        <v>9971</v>
      </c>
      <c r="Q26">
        <f t="shared" si="12"/>
        <v>32370</v>
      </c>
      <c r="R26">
        <f t="shared" si="13"/>
        <v>7850</v>
      </c>
      <c r="S26">
        <f t="shared" si="14"/>
        <v>4065</v>
      </c>
      <c r="U26">
        <v>22038</v>
      </c>
      <c r="V26">
        <v>5811</v>
      </c>
      <c r="W26">
        <v>9805</v>
      </c>
      <c r="X26">
        <v>1125</v>
      </c>
      <c r="Y26">
        <v>10698</v>
      </c>
      <c r="Z26">
        <v>14492</v>
      </c>
      <c r="AA26">
        <v>50189</v>
      </c>
      <c r="AB26">
        <v>10125</v>
      </c>
      <c r="AC26">
        <v>3326</v>
      </c>
      <c r="AD26">
        <v>1242</v>
      </c>
      <c r="AE26">
        <f t="shared" si="17"/>
        <v>35496</v>
      </c>
      <c r="AF26">
        <v>12595</v>
      </c>
      <c r="AG26">
        <v>11017</v>
      </c>
      <c r="AH26">
        <v>4475</v>
      </c>
      <c r="AI26">
        <f t="shared" si="18"/>
        <v>6542</v>
      </c>
      <c r="AJ26" t="s">
        <v>1004</v>
      </c>
      <c r="AK26">
        <v>10</v>
      </c>
      <c r="AL26">
        <v>2467</v>
      </c>
      <c r="AM26">
        <v>1935</v>
      </c>
      <c r="AN26">
        <v>2810</v>
      </c>
      <c r="AO26">
        <v>2091</v>
      </c>
      <c r="AP26">
        <v>3210</v>
      </c>
      <c r="AQ26">
        <v>3510</v>
      </c>
      <c r="AR26">
        <v>641</v>
      </c>
      <c r="AS26">
        <v>98</v>
      </c>
      <c r="AT26">
        <v>272</v>
      </c>
      <c r="AU26">
        <v>1902</v>
      </c>
      <c r="AV26">
        <v>1625</v>
      </c>
      <c r="AW26">
        <v>358</v>
      </c>
      <c r="AX26">
        <v>822</v>
      </c>
      <c r="AY26">
        <v>816</v>
      </c>
      <c r="AZ26">
        <v>15774</v>
      </c>
      <c r="BA26">
        <v>397</v>
      </c>
      <c r="BB26">
        <v>2729</v>
      </c>
      <c r="BD26">
        <v>4722</v>
      </c>
    </row>
    <row r="27" spans="1:56" x14ac:dyDescent="0.25">
      <c r="A27" t="s">
        <v>608</v>
      </c>
      <c r="B27" t="s">
        <v>462</v>
      </c>
      <c r="C27">
        <f t="shared" si="15"/>
        <v>39039</v>
      </c>
      <c r="D27">
        <v>40730</v>
      </c>
      <c r="E27">
        <v>1691</v>
      </c>
      <c r="F27">
        <f t="shared" si="16"/>
        <v>38876</v>
      </c>
      <c r="G27">
        <v>40567</v>
      </c>
      <c r="H27">
        <v>1691</v>
      </c>
      <c r="I27">
        <f t="shared" si="4"/>
        <v>1210</v>
      </c>
      <c r="J27">
        <f t="shared" si="5"/>
        <v>8324</v>
      </c>
      <c r="K27">
        <f t="shared" si="6"/>
        <v>4170</v>
      </c>
      <c r="L27">
        <f t="shared" si="7"/>
        <v>996</v>
      </c>
      <c r="M27">
        <f t="shared" si="8"/>
        <v>366</v>
      </c>
      <c r="N27">
        <f t="shared" si="9"/>
        <v>754</v>
      </c>
      <c r="O27">
        <f t="shared" si="10"/>
        <v>3099</v>
      </c>
      <c r="P27">
        <f t="shared" si="11"/>
        <v>7156</v>
      </c>
      <c r="Q27">
        <f t="shared" si="12"/>
        <v>8865</v>
      </c>
      <c r="R27">
        <f t="shared" si="13"/>
        <v>3935</v>
      </c>
      <c r="S27">
        <f t="shared" si="14"/>
        <v>356</v>
      </c>
      <c r="U27">
        <v>8600</v>
      </c>
      <c r="V27">
        <v>1131</v>
      </c>
      <c r="W27">
        <v>1887</v>
      </c>
      <c r="X27">
        <v>560</v>
      </c>
      <c r="Y27">
        <v>1098</v>
      </c>
      <c r="Z27">
        <v>4074</v>
      </c>
      <c r="AA27">
        <v>17455</v>
      </c>
      <c r="AB27">
        <v>4992</v>
      </c>
      <c r="AC27">
        <v>1768</v>
      </c>
      <c r="AD27">
        <v>583</v>
      </c>
      <c r="AE27">
        <f t="shared" si="17"/>
        <v>10112</v>
      </c>
      <c r="AF27">
        <v>4616</v>
      </c>
      <c r="AG27">
        <v>1309</v>
      </c>
      <c r="AH27">
        <v>164</v>
      </c>
      <c r="AI27">
        <f t="shared" si="18"/>
        <v>1145</v>
      </c>
      <c r="AJ27" t="s">
        <v>1203</v>
      </c>
      <c r="AK27">
        <v>6</v>
      </c>
      <c r="AL27">
        <v>783</v>
      </c>
      <c r="AM27">
        <v>158</v>
      </c>
      <c r="AN27">
        <v>523</v>
      </c>
      <c r="AO27">
        <v>482</v>
      </c>
      <c r="AP27">
        <v>493</v>
      </c>
      <c r="AQ27">
        <v>278</v>
      </c>
      <c r="AR27">
        <v>66</v>
      </c>
      <c r="AS27">
        <v>2</v>
      </c>
      <c r="AT27">
        <v>192</v>
      </c>
      <c r="AU27">
        <v>179</v>
      </c>
      <c r="AV27">
        <v>373</v>
      </c>
      <c r="AX27">
        <v>135</v>
      </c>
      <c r="AY27">
        <v>57</v>
      </c>
      <c r="AZ27">
        <v>4373</v>
      </c>
      <c r="BA27">
        <v>23</v>
      </c>
      <c r="BB27">
        <v>1224</v>
      </c>
      <c r="BC27">
        <v>25</v>
      </c>
      <c r="BD27">
        <v>162</v>
      </c>
    </row>
    <row r="28" spans="1:56" x14ac:dyDescent="0.25">
      <c r="A28" t="s">
        <v>608</v>
      </c>
      <c r="B28" t="s">
        <v>746</v>
      </c>
      <c r="C28" s="312">
        <v>89870</v>
      </c>
      <c r="D28">
        <v>0</v>
      </c>
      <c r="E28">
        <v>0</v>
      </c>
      <c r="F28">
        <v>89870</v>
      </c>
      <c r="G28">
        <v>89870</v>
      </c>
      <c r="H28">
        <v>0</v>
      </c>
      <c r="I28">
        <f t="shared" si="4"/>
        <v>0</v>
      </c>
      <c r="J28">
        <f t="shared" si="5"/>
        <v>0</v>
      </c>
      <c r="K28">
        <f t="shared" si="6"/>
        <v>0</v>
      </c>
      <c r="L28">
        <f t="shared" si="7"/>
        <v>0</v>
      </c>
      <c r="M28">
        <f t="shared" si="8"/>
        <v>0</v>
      </c>
      <c r="N28">
        <f t="shared" si="9"/>
        <v>0</v>
      </c>
      <c r="O28">
        <f t="shared" si="10"/>
        <v>0</v>
      </c>
      <c r="P28">
        <f t="shared" si="11"/>
        <v>0</v>
      </c>
      <c r="Q28">
        <f t="shared" si="12"/>
        <v>0</v>
      </c>
      <c r="R28">
        <f t="shared" si="13"/>
        <v>0</v>
      </c>
      <c r="S28">
        <f t="shared" si="14"/>
        <v>0</v>
      </c>
      <c r="AJ28" t="s">
        <v>1301</v>
      </c>
      <c r="AK28">
        <v>0</v>
      </c>
      <c r="AL28">
        <v>0</v>
      </c>
      <c r="AM28">
        <v>0</v>
      </c>
      <c r="AN28">
        <v>0</v>
      </c>
      <c r="AO28">
        <v>0</v>
      </c>
      <c r="AP28">
        <v>0</v>
      </c>
      <c r="AQ28">
        <v>0</v>
      </c>
      <c r="AR28">
        <v>0</v>
      </c>
      <c r="AS28">
        <v>0</v>
      </c>
      <c r="AT28">
        <v>0</v>
      </c>
      <c r="AU28">
        <v>0</v>
      </c>
      <c r="AV28">
        <v>0</v>
      </c>
      <c r="AW28">
        <v>0</v>
      </c>
      <c r="AX28">
        <v>0</v>
      </c>
      <c r="AY28">
        <v>0</v>
      </c>
      <c r="AZ28">
        <v>0</v>
      </c>
      <c r="BA28">
        <v>0</v>
      </c>
      <c r="BB28">
        <v>0</v>
      </c>
      <c r="BD28">
        <v>0</v>
      </c>
    </row>
    <row r="29" spans="1:56" x14ac:dyDescent="0.25">
      <c r="A29" t="s">
        <v>600</v>
      </c>
      <c r="B29" t="s">
        <v>291</v>
      </c>
      <c r="C29">
        <f t="shared" ref="C29:C60" si="19">SUM(D29,-E29)</f>
        <v>18205</v>
      </c>
      <c r="D29">
        <v>18855</v>
      </c>
      <c r="E29">
        <v>650</v>
      </c>
      <c r="F29">
        <f t="shared" ref="F29:F60" si="20">SUM(G29,-H29)</f>
        <v>19616</v>
      </c>
      <c r="G29">
        <v>20266</v>
      </c>
      <c r="H29">
        <v>650</v>
      </c>
      <c r="I29">
        <f t="shared" si="4"/>
        <v>1210</v>
      </c>
      <c r="J29">
        <f t="shared" si="5"/>
        <v>1122</v>
      </c>
      <c r="K29">
        <f t="shared" si="6"/>
        <v>3414</v>
      </c>
      <c r="L29">
        <f t="shared" si="7"/>
        <v>1125</v>
      </c>
      <c r="M29">
        <f t="shared" si="8"/>
        <v>154</v>
      </c>
      <c r="N29">
        <f t="shared" si="9"/>
        <v>655</v>
      </c>
      <c r="O29">
        <f t="shared" si="10"/>
        <v>1182</v>
      </c>
      <c r="P29">
        <f t="shared" si="11"/>
        <v>1682</v>
      </c>
      <c r="Q29">
        <f t="shared" si="12"/>
        <v>3761</v>
      </c>
      <c r="R29">
        <f t="shared" si="13"/>
        <v>2105</v>
      </c>
      <c r="S29">
        <f t="shared" si="14"/>
        <v>1056</v>
      </c>
      <c r="U29">
        <v>4643</v>
      </c>
      <c r="V29">
        <v>1146</v>
      </c>
      <c r="W29">
        <v>1617</v>
      </c>
      <c r="X29">
        <v>157</v>
      </c>
      <c r="Y29">
        <v>944</v>
      </c>
      <c r="Z29">
        <v>1392</v>
      </c>
      <c r="AA29">
        <v>5490</v>
      </c>
      <c r="AB29">
        <v>1488</v>
      </c>
      <c r="AC29">
        <v>115</v>
      </c>
      <c r="AD29">
        <v>79</v>
      </c>
      <c r="AE29">
        <f t="shared" ref="AE29:AE60" si="21">SUM(AA29,-AB29,-AC29,-AD29)</f>
        <v>3808</v>
      </c>
      <c r="AF29">
        <v>2374</v>
      </c>
      <c r="AG29">
        <v>1092</v>
      </c>
      <c r="AH29">
        <v>36</v>
      </c>
      <c r="AI29">
        <f t="shared" ref="AI29:AI60" si="22">SUM(AG29,-AH29)</f>
        <v>1056</v>
      </c>
      <c r="AJ29" t="s">
        <v>1066</v>
      </c>
      <c r="AM29">
        <v>269</v>
      </c>
      <c r="AO29">
        <v>210</v>
      </c>
      <c r="AQ29">
        <v>272</v>
      </c>
      <c r="AR29">
        <v>17</v>
      </c>
      <c r="AS29">
        <v>3</v>
      </c>
      <c r="AU29">
        <v>264</v>
      </c>
      <c r="AW29">
        <v>21</v>
      </c>
      <c r="AY29">
        <v>124</v>
      </c>
      <c r="AZ29">
        <v>1105</v>
      </c>
      <c r="BA29">
        <v>47</v>
      </c>
    </row>
    <row r="30" spans="1:56" x14ac:dyDescent="0.25">
      <c r="A30" t="s">
        <v>608</v>
      </c>
      <c r="B30" t="s">
        <v>463</v>
      </c>
      <c r="C30">
        <f t="shared" si="19"/>
        <v>30708</v>
      </c>
      <c r="D30">
        <v>33145</v>
      </c>
      <c r="E30">
        <v>2437</v>
      </c>
      <c r="F30">
        <f t="shared" si="20"/>
        <v>27287</v>
      </c>
      <c r="G30">
        <v>29724</v>
      </c>
      <c r="H30">
        <v>2437</v>
      </c>
      <c r="I30">
        <f t="shared" si="4"/>
        <v>1187</v>
      </c>
      <c r="J30">
        <f t="shared" si="5"/>
        <v>8069</v>
      </c>
      <c r="K30">
        <f t="shared" si="6"/>
        <v>5035</v>
      </c>
      <c r="L30">
        <f t="shared" si="7"/>
        <v>904</v>
      </c>
      <c r="M30">
        <f t="shared" si="8"/>
        <v>326</v>
      </c>
      <c r="N30">
        <f t="shared" si="9"/>
        <v>697</v>
      </c>
      <c r="O30">
        <f t="shared" si="10"/>
        <v>1581</v>
      </c>
      <c r="P30">
        <f t="shared" si="11"/>
        <v>5391</v>
      </c>
      <c r="Q30">
        <f t="shared" si="12"/>
        <v>6895</v>
      </c>
      <c r="R30">
        <f t="shared" si="13"/>
        <v>1900</v>
      </c>
      <c r="S30">
        <f t="shared" si="14"/>
        <v>280</v>
      </c>
      <c r="U30">
        <v>9129</v>
      </c>
      <c r="V30">
        <v>1085</v>
      </c>
      <c r="W30">
        <v>1398</v>
      </c>
      <c r="X30">
        <v>475</v>
      </c>
      <c r="Y30">
        <v>1107</v>
      </c>
      <c r="Z30">
        <v>2193</v>
      </c>
      <c r="AA30">
        <v>13850</v>
      </c>
      <c r="AB30">
        <v>3628</v>
      </c>
      <c r="AC30">
        <v>2202</v>
      </c>
      <c r="AD30">
        <v>10</v>
      </c>
      <c r="AE30">
        <f t="shared" si="21"/>
        <v>8010</v>
      </c>
      <c r="AF30">
        <v>3436</v>
      </c>
      <c r="AG30">
        <v>472</v>
      </c>
      <c r="AH30">
        <v>-33</v>
      </c>
      <c r="AI30">
        <f t="shared" si="22"/>
        <v>505</v>
      </c>
      <c r="AJ30" t="s">
        <v>1204</v>
      </c>
      <c r="AL30">
        <v>225</v>
      </c>
      <c r="AM30">
        <v>377</v>
      </c>
      <c r="AN30">
        <v>1159</v>
      </c>
      <c r="AO30">
        <v>118</v>
      </c>
      <c r="AP30">
        <v>494</v>
      </c>
      <c r="AQ30">
        <v>319</v>
      </c>
      <c r="AR30">
        <v>91</v>
      </c>
      <c r="AT30">
        <v>149</v>
      </c>
      <c r="AU30">
        <v>64</v>
      </c>
      <c r="AV30">
        <v>421</v>
      </c>
      <c r="AW30">
        <v>2</v>
      </c>
      <c r="AX30">
        <v>179</v>
      </c>
      <c r="AY30">
        <v>306</v>
      </c>
      <c r="AZ30">
        <v>3788</v>
      </c>
      <c r="BA30">
        <v>1</v>
      </c>
      <c r="BB30">
        <v>1114</v>
      </c>
      <c r="BD30">
        <v>449</v>
      </c>
    </row>
    <row r="31" spans="1:56" x14ac:dyDescent="0.25">
      <c r="A31" t="s">
        <v>601</v>
      </c>
      <c r="B31" t="s">
        <v>609</v>
      </c>
      <c r="C31">
        <f t="shared" si="19"/>
        <v>87298</v>
      </c>
      <c r="D31">
        <v>88800</v>
      </c>
      <c r="E31">
        <v>1502</v>
      </c>
      <c r="F31">
        <f t="shared" si="20"/>
        <v>83813</v>
      </c>
      <c r="G31">
        <v>85315</v>
      </c>
      <c r="H31">
        <v>1502</v>
      </c>
      <c r="I31">
        <f t="shared" si="4"/>
        <v>3497</v>
      </c>
      <c r="J31">
        <f t="shared" si="5"/>
        <v>14185</v>
      </c>
      <c r="K31">
        <f t="shared" si="6"/>
        <v>7697</v>
      </c>
      <c r="L31">
        <f t="shared" si="7"/>
        <v>2377</v>
      </c>
      <c r="M31">
        <f t="shared" si="8"/>
        <v>448</v>
      </c>
      <c r="N31">
        <f t="shared" si="9"/>
        <v>3302</v>
      </c>
      <c r="O31">
        <f t="shared" si="10"/>
        <v>4761</v>
      </c>
      <c r="P31">
        <f t="shared" si="11"/>
        <v>19670</v>
      </c>
      <c r="Q31">
        <f t="shared" si="12"/>
        <v>19941</v>
      </c>
      <c r="R31">
        <f t="shared" si="13"/>
        <v>7162</v>
      </c>
      <c r="S31">
        <f t="shared" si="14"/>
        <v>1350</v>
      </c>
      <c r="U31">
        <v>18146</v>
      </c>
      <c r="V31">
        <v>2652</v>
      </c>
      <c r="W31">
        <v>4893</v>
      </c>
      <c r="X31">
        <v>603</v>
      </c>
      <c r="Y31">
        <v>3476</v>
      </c>
      <c r="Z31">
        <v>6094</v>
      </c>
      <c r="AA31">
        <v>42894</v>
      </c>
      <c r="AB31">
        <v>14554</v>
      </c>
      <c r="AC31">
        <v>4777</v>
      </c>
      <c r="AD31">
        <v>1653</v>
      </c>
      <c r="AE31">
        <f t="shared" si="21"/>
        <v>21910</v>
      </c>
      <c r="AF31">
        <v>7982</v>
      </c>
      <c r="AG31">
        <v>2060</v>
      </c>
      <c r="AH31">
        <v>76</v>
      </c>
      <c r="AI31">
        <f t="shared" si="22"/>
        <v>1984</v>
      </c>
      <c r="AJ31" t="s">
        <v>1296</v>
      </c>
      <c r="AL31">
        <v>634</v>
      </c>
      <c r="AN31">
        <v>820</v>
      </c>
      <c r="AP31">
        <v>1333</v>
      </c>
      <c r="AR31">
        <v>174</v>
      </c>
      <c r="AT31">
        <v>155</v>
      </c>
      <c r="AV31">
        <v>559</v>
      </c>
      <c r="AX31">
        <v>275</v>
      </c>
      <c r="AY31">
        <v>3497</v>
      </c>
      <c r="AZ31">
        <v>6952</v>
      </c>
      <c r="BB31">
        <v>1969</v>
      </c>
      <c r="BD31">
        <v>1314</v>
      </c>
    </row>
    <row r="32" spans="1:56" x14ac:dyDescent="0.25">
      <c r="A32" t="s">
        <v>599</v>
      </c>
      <c r="B32" t="s">
        <v>406</v>
      </c>
      <c r="C32">
        <f t="shared" si="19"/>
        <v>47785</v>
      </c>
      <c r="D32">
        <v>49465</v>
      </c>
      <c r="E32">
        <v>1680</v>
      </c>
      <c r="F32">
        <f t="shared" si="20"/>
        <v>41598</v>
      </c>
      <c r="G32">
        <v>43278</v>
      </c>
      <c r="H32">
        <v>1680</v>
      </c>
      <c r="I32">
        <f t="shared" si="4"/>
        <v>1948</v>
      </c>
      <c r="J32">
        <f t="shared" si="5"/>
        <v>7124</v>
      </c>
      <c r="K32">
        <f t="shared" si="6"/>
        <v>5169</v>
      </c>
      <c r="L32">
        <f t="shared" si="7"/>
        <v>1334</v>
      </c>
      <c r="M32">
        <f t="shared" si="8"/>
        <v>485</v>
      </c>
      <c r="N32">
        <f t="shared" si="9"/>
        <v>685</v>
      </c>
      <c r="O32">
        <f t="shared" si="10"/>
        <v>3541</v>
      </c>
      <c r="P32">
        <f t="shared" si="11"/>
        <v>5968</v>
      </c>
      <c r="Q32">
        <f t="shared" si="12"/>
        <v>9082</v>
      </c>
      <c r="R32">
        <f t="shared" si="13"/>
        <v>2967</v>
      </c>
      <c r="S32">
        <f t="shared" si="14"/>
        <v>744</v>
      </c>
      <c r="U32">
        <v>9710</v>
      </c>
      <c r="V32">
        <v>1690</v>
      </c>
      <c r="W32">
        <v>3296</v>
      </c>
      <c r="X32">
        <v>654</v>
      </c>
      <c r="Y32">
        <v>1107</v>
      </c>
      <c r="Z32">
        <v>4226</v>
      </c>
      <c r="AA32">
        <v>15394</v>
      </c>
      <c r="AB32">
        <v>3234</v>
      </c>
      <c r="AC32">
        <v>2604</v>
      </c>
      <c r="AD32">
        <v>146</v>
      </c>
      <c r="AE32">
        <f t="shared" si="21"/>
        <v>9410</v>
      </c>
      <c r="AF32">
        <v>3994</v>
      </c>
      <c r="AG32">
        <v>9394</v>
      </c>
      <c r="AH32">
        <v>8074</v>
      </c>
      <c r="AI32">
        <f t="shared" si="22"/>
        <v>1320</v>
      </c>
      <c r="AJ32" t="s">
        <v>1261</v>
      </c>
      <c r="AK32">
        <v>17</v>
      </c>
      <c r="AL32">
        <v>559</v>
      </c>
      <c r="AM32">
        <v>456</v>
      </c>
      <c r="AN32">
        <v>571</v>
      </c>
      <c r="AO32">
        <v>103</v>
      </c>
      <c r="AP32">
        <v>582</v>
      </c>
      <c r="AQ32">
        <v>318</v>
      </c>
      <c r="AR32">
        <v>104</v>
      </c>
      <c r="AT32">
        <v>169</v>
      </c>
      <c r="AU32">
        <v>613</v>
      </c>
      <c r="AV32">
        <v>339</v>
      </c>
      <c r="AW32">
        <v>41</v>
      </c>
      <c r="AX32">
        <v>315</v>
      </c>
      <c r="AY32">
        <v>327</v>
      </c>
      <c r="AZ32">
        <v>4214</v>
      </c>
      <c r="BA32">
        <v>73</v>
      </c>
      <c r="BB32">
        <v>255</v>
      </c>
      <c r="BD32">
        <v>16</v>
      </c>
    </row>
    <row r="33" spans="1:56" x14ac:dyDescent="0.25">
      <c r="A33" t="s">
        <v>608</v>
      </c>
      <c r="B33" t="s">
        <v>502</v>
      </c>
      <c r="C33">
        <f t="shared" si="19"/>
        <v>31079</v>
      </c>
      <c r="D33">
        <v>31368</v>
      </c>
      <c r="E33">
        <v>289</v>
      </c>
      <c r="F33">
        <f t="shared" si="20"/>
        <v>39651</v>
      </c>
      <c r="G33">
        <v>39940</v>
      </c>
      <c r="H33">
        <v>289</v>
      </c>
      <c r="I33">
        <f t="shared" si="4"/>
        <v>2686</v>
      </c>
      <c r="J33">
        <f t="shared" si="5"/>
        <v>8443</v>
      </c>
      <c r="K33">
        <f t="shared" si="6"/>
        <v>4844</v>
      </c>
      <c r="L33">
        <f t="shared" si="7"/>
        <v>1157</v>
      </c>
      <c r="M33">
        <f t="shared" si="8"/>
        <v>193</v>
      </c>
      <c r="N33">
        <f t="shared" si="9"/>
        <v>1060</v>
      </c>
      <c r="O33">
        <f t="shared" si="10"/>
        <v>811</v>
      </c>
      <c r="P33">
        <f t="shared" si="11"/>
        <v>5135</v>
      </c>
      <c r="Q33">
        <f t="shared" si="12"/>
        <v>5401</v>
      </c>
      <c r="R33">
        <f t="shared" si="13"/>
        <v>1036</v>
      </c>
      <c r="S33">
        <f t="shared" si="14"/>
        <v>90</v>
      </c>
      <c r="U33">
        <v>14208</v>
      </c>
      <c r="V33">
        <v>1157</v>
      </c>
      <c r="W33">
        <v>496</v>
      </c>
      <c r="X33">
        <v>193</v>
      </c>
      <c r="Y33">
        <v>1060</v>
      </c>
      <c r="Z33">
        <v>815</v>
      </c>
      <c r="AA33">
        <v>11786</v>
      </c>
      <c r="AB33">
        <v>2687</v>
      </c>
      <c r="AC33">
        <v>2728</v>
      </c>
      <c r="AD33">
        <v>270</v>
      </c>
      <c r="AE33">
        <f t="shared" si="21"/>
        <v>6101</v>
      </c>
      <c r="AF33">
        <v>1547</v>
      </c>
      <c r="AG33">
        <v>106</v>
      </c>
      <c r="AH33">
        <v>16</v>
      </c>
      <c r="AI33">
        <f t="shared" si="22"/>
        <v>90</v>
      </c>
      <c r="AJ33" t="s">
        <v>1205</v>
      </c>
      <c r="AM33">
        <v>511</v>
      </c>
      <c r="AP33">
        <v>4</v>
      </c>
      <c r="AY33">
        <v>1782</v>
      </c>
      <c r="AZ33">
        <v>7582</v>
      </c>
      <c r="BB33">
        <v>700</v>
      </c>
      <c r="BC33">
        <v>393</v>
      </c>
      <c r="BD33">
        <v>157</v>
      </c>
    </row>
    <row r="34" spans="1:56" x14ac:dyDescent="0.25">
      <c r="A34" t="s">
        <v>600</v>
      </c>
      <c r="B34" t="s">
        <v>503</v>
      </c>
      <c r="C34">
        <f t="shared" si="19"/>
        <v>73248</v>
      </c>
      <c r="D34">
        <v>79499</v>
      </c>
      <c r="E34">
        <v>6251</v>
      </c>
      <c r="F34">
        <f t="shared" si="20"/>
        <v>68738</v>
      </c>
      <c r="G34">
        <v>74989</v>
      </c>
      <c r="H34">
        <v>6251</v>
      </c>
      <c r="I34">
        <f t="shared" si="4"/>
        <v>4265</v>
      </c>
      <c r="J34">
        <f t="shared" si="5"/>
        <v>1487</v>
      </c>
      <c r="K34">
        <f t="shared" si="6"/>
        <v>21957</v>
      </c>
      <c r="L34">
        <f t="shared" si="7"/>
        <v>3393</v>
      </c>
      <c r="M34">
        <f t="shared" si="8"/>
        <v>341</v>
      </c>
      <c r="N34">
        <f t="shared" si="9"/>
        <v>1748</v>
      </c>
      <c r="O34">
        <f t="shared" si="10"/>
        <v>7917</v>
      </c>
      <c r="P34">
        <f t="shared" si="11"/>
        <v>8160</v>
      </c>
      <c r="Q34">
        <f t="shared" si="12"/>
        <v>12934</v>
      </c>
      <c r="R34">
        <f t="shared" si="13"/>
        <v>8714</v>
      </c>
      <c r="S34">
        <f t="shared" si="14"/>
        <v>2606</v>
      </c>
      <c r="U34">
        <v>23841</v>
      </c>
      <c r="V34">
        <v>3589</v>
      </c>
      <c r="W34">
        <v>6151</v>
      </c>
      <c r="X34">
        <v>366</v>
      </c>
      <c r="Y34">
        <v>2232</v>
      </c>
      <c r="Z34">
        <v>8355</v>
      </c>
      <c r="AA34">
        <v>21126</v>
      </c>
      <c r="AB34">
        <v>6232</v>
      </c>
      <c r="AC34">
        <v>1533</v>
      </c>
      <c r="AD34">
        <v>395</v>
      </c>
      <c r="AE34">
        <f t="shared" si="21"/>
        <v>12966</v>
      </c>
      <c r="AF34">
        <v>10068</v>
      </c>
      <c r="AG34">
        <v>3771</v>
      </c>
      <c r="AH34">
        <v>1102</v>
      </c>
      <c r="AI34">
        <f t="shared" si="22"/>
        <v>2669</v>
      </c>
      <c r="AJ34" t="s">
        <v>1067</v>
      </c>
      <c r="AK34">
        <v>63</v>
      </c>
      <c r="AM34">
        <v>1354</v>
      </c>
      <c r="AO34">
        <v>438</v>
      </c>
      <c r="AQ34">
        <v>484</v>
      </c>
      <c r="AS34">
        <v>25</v>
      </c>
      <c r="AU34">
        <v>1276</v>
      </c>
      <c r="AW34">
        <v>196</v>
      </c>
      <c r="AY34">
        <v>397</v>
      </c>
      <c r="AZ34">
        <v>1487</v>
      </c>
      <c r="BA34">
        <v>32</v>
      </c>
    </row>
    <row r="35" spans="1:56" x14ac:dyDescent="0.25">
      <c r="A35" t="s">
        <v>599</v>
      </c>
      <c r="B35" t="s">
        <v>407</v>
      </c>
      <c r="C35">
        <f t="shared" si="19"/>
        <v>309218</v>
      </c>
      <c r="D35">
        <v>311301</v>
      </c>
      <c r="E35">
        <v>2083</v>
      </c>
      <c r="F35">
        <f t="shared" si="20"/>
        <v>285035</v>
      </c>
      <c r="G35">
        <v>287118</v>
      </c>
      <c r="H35">
        <v>2083</v>
      </c>
      <c r="I35">
        <f t="shared" si="4"/>
        <v>9806</v>
      </c>
      <c r="J35">
        <f t="shared" si="5"/>
        <v>42769</v>
      </c>
      <c r="K35">
        <f t="shared" si="6"/>
        <v>80669</v>
      </c>
      <c r="L35">
        <f t="shared" si="7"/>
        <v>4302</v>
      </c>
      <c r="M35">
        <f t="shared" si="8"/>
        <v>9551</v>
      </c>
      <c r="N35">
        <f t="shared" si="9"/>
        <v>6748</v>
      </c>
      <c r="O35">
        <f t="shared" si="10"/>
        <v>14867</v>
      </c>
      <c r="P35">
        <f t="shared" si="11"/>
        <v>53512</v>
      </c>
      <c r="Q35">
        <f t="shared" si="12"/>
        <v>52901</v>
      </c>
      <c r="R35">
        <f t="shared" si="13"/>
        <v>14470</v>
      </c>
      <c r="S35">
        <f t="shared" si="14"/>
        <v>3150</v>
      </c>
      <c r="U35">
        <v>106818</v>
      </c>
      <c r="V35">
        <v>6064</v>
      </c>
      <c r="W35">
        <v>12579</v>
      </c>
      <c r="X35">
        <v>10402</v>
      </c>
      <c r="Y35">
        <v>7923</v>
      </c>
      <c r="Z35">
        <v>23928</v>
      </c>
      <c r="AA35">
        <v>109396</v>
      </c>
      <c r="AB35">
        <v>38945</v>
      </c>
      <c r="AC35">
        <v>12315</v>
      </c>
      <c r="AD35">
        <v>2252</v>
      </c>
      <c r="AE35">
        <f t="shared" si="21"/>
        <v>55884</v>
      </c>
      <c r="AF35">
        <v>17871</v>
      </c>
      <c r="AG35">
        <v>16320</v>
      </c>
      <c r="AH35">
        <v>11082</v>
      </c>
      <c r="AI35">
        <f t="shared" si="22"/>
        <v>5238</v>
      </c>
      <c r="AJ35" t="s">
        <v>1158</v>
      </c>
      <c r="AK35">
        <v>54</v>
      </c>
      <c r="AL35">
        <v>2034</v>
      </c>
      <c r="AM35">
        <v>1984</v>
      </c>
      <c r="AN35">
        <v>1417</v>
      </c>
      <c r="AO35">
        <v>1539</v>
      </c>
      <c r="AP35">
        <v>7522</v>
      </c>
      <c r="AQ35">
        <v>635</v>
      </c>
      <c r="AR35">
        <v>540</v>
      </c>
      <c r="AS35">
        <v>276</v>
      </c>
      <c r="AT35">
        <v>575</v>
      </c>
      <c r="AU35">
        <v>3149</v>
      </c>
      <c r="AV35">
        <v>1956</v>
      </c>
      <c r="AW35">
        <v>59</v>
      </c>
      <c r="AX35">
        <v>1703</v>
      </c>
      <c r="AY35">
        <v>2008</v>
      </c>
      <c r="AZ35">
        <v>24141</v>
      </c>
      <c r="BA35">
        <v>102</v>
      </c>
      <c r="BB35">
        <v>2881</v>
      </c>
    </row>
    <row r="36" spans="1:56" x14ac:dyDescent="0.25">
      <c r="A36" t="s">
        <v>601</v>
      </c>
      <c r="B36" t="s">
        <v>213</v>
      </c>
      <c r="C36">
        <f t="shared" si="19"/>
        <v>114468</v>
      </c>
      <c r="D36">
        <v>114479</v>
      </c>
      <c r="E36">
        <v>11</v>
      </c>
      <c r="F36">
        <f t="shared" si="20"/>
        <v>126834</v>
      </c>
      <c r="G36">
        <v>126845</v>
      </c>
      <c r="H36">
        <v>11</v>
      </c>
      <c r="I36">
        <f t="shared" si="4"/>
        <v>5207</v>
      </c>
      <c r="J36">
        <f t="shared" si="5"/>
        <v>31526</v>
      </c>
      <c r="K36">
        <f t="shared" si="6"/>
        <v>12305</v>
      </c>
      <c r="L36">
        <f t="shared" si="7"/>
        <v>2415</v>
      </c>
      <c r="M36">
        <f t="shared" si="8"/>
        <v>1329</v>
      </c>
      <c r="N36">
        <f t="shared" si="9"/>
        <v>1676</v>
      </c>
      <c r="O36">
        <f t="shared" si="10"/>
        <v>5140</v>
      </c>
      <c r="P36">
        <f t="shared" si="11"/>
        <v>16668</v>
      </c>
      <c r="Q36">
        <f t="shared" si="12"/>
        <v>21716</v>
      </c>
      <c r="R36">
        <f t="shared" si="13"/>
        <v>8818</v>
      </c>
      <c r="S36">
        <f t="shared" si="14"/>
        <v>1822</v>
      </c>
      <c r="U36">
        <v>24592</v>
      </c>
      <c r="V36">
        <v>2657</v>
      </c>
      <c r="W36">
        <v>5888</v>
      </c>
      <c r="X36">
        <v>1862</v>
      </c>
      <c r="Y36">
        <v>2829</v>
      </c>
      <c r="Z36">
        <v>7136</v>
      </c>
      <c r="AA36">
        <v>49243</v>
      </c>
      <c r="AB36">
        <v>11759</v>
      </c>
      <c r="AC36">
        <v>12220</v>
      </c>
      <c r="AD36">
        <v>0</v>
      </c>
      <c r="AE36">
        <f t="shared" si="21"/>
        <v>25264</v>
      </c>
      <c r="AF36">
        <v>13640</v>
      </c>
      <c r="AG36">
        <v>6632</v>
      </c>
      <c r="AH36">
        <v>2200</v>
      </c>
      <c r="AI36">
        <f t="shared" si="22"/>
        <v>4432</v>
      </c>
      <c r="AJ36" t="s">
        <v>1275</v>
      </c>
      <c r="AL36">
        <v>2610</v>
      </c>
      <c r="AM36">
        <v>2331</v>
      </c>
      <c r="AN36">
        <v>2491</v>
      </c>
      <c r="AO36">
        <v>122</v>
      </c>
      <c r="AP36">
        <v>1874</v>
      </c>
      <c r="AQ36">
        <v>993</v>
      </c>
      <c r="AR36">
        <v>160</v>
      </c>
      <c r="AS36">
        <v>11</v>
      </c>
      <c r="AT36">
        <v>522</v>
      </c>
      <c r="AU36">
        <v>866</v>
      </c>
      <c r="AV36">
        <v>1365</v>
      </c>
      <c r="AW36">
        <v>47</v>
      </c>
      <c r="AX36">
        <v>195</v>
      </c>
      <c r="AY36">
        <v>834</v>
      </c>
      <c r="AZ36">
        <v>11453</v>
      </c>
      <c r="BA36">
        <v>3</v>
      </c>
      <c r="BB36">
        <v>3545</v>
      </c>
      <c r="BD36">
        <v>7311</v>
      </c>
    </row>
    <row r="37" spans="1:56" x14ac:dyDescent="0.25">
      <c r="A37" t="s">
        <v>599</v>
      </c>
      <c r="B37" t="s">
        <v>408</v>
      </c>
      <c r="C37">
        <f t="shared" si="19"/>
        <v>78538</v>
      </c>
      <c r="D37">
        <v>81289</v>
      </c>
      <c r="E37">
        <v>2751</v>
      </c>
      <c r="F37">
        <f t="shared" si="20"/>
        <v>74156</v>
      </c>
      <c r="G37">
        <v>76907</v>
      </c>
      <c r="H37">
        <v>2751</v>
      </c>
      <c r="I37">
        <f t="shared" si="4"/>
        <v>2358</v>
      </c>
      <c r="J37">
        <f t="shared" si="5"/>
        <v>11283</v>
      </c>
      <c r="K37">
        <f t="shared" si="6"/>
        <v>8049</v>
      </c>
      <c r="L37">
        <f t="shared" si="7"/>
        <v>2009</v>
      </c>
      <c r="M37">
        <f t="shared" si="8"/>
        <v>797</v>
      </c>
      <c r="N37">
        <f t="shared" si="9"/>
        <v>1603</v>
      </c>
      <c r="O37">
        <f t="shared" si="10"/>
        <v>3961</v>
      </c>
      <c r="P37">
        <f t="shared" si="11"/>
        <v>11114</v>
      </c>
      <c r="Q37">
        <f t="shared" si="12"/>
        <v>16646</v>
      </c>
      <c r="R37">
        <f t="shared" si="13"/>
        <v>6163</v>
      </c>
      <c r="S37">
        <f t="shared" si="14"/>
        <v>878</v>
      </c>
      <c r="U37">
        <v>14842</v>
      </c>
      <c r="V37">
        <v>2536</v>
      </c>
      <c r="W37">
        <v>3435</v>
      </c>
      <c r="X37">
        <v>942</v>
      </c>
      <c r="Y37">
        <v>2430</v>
      </c>
      <c r="Z37">
        <v>5152</v>
      </c>
      <c r="AA37">
        <v>28902</v>
      </c>
      <c r="AB37">
        <v>6660</v>
      </c>
      <c r="AC37">
        <v>4185</v>
      </c>
      <c r="AD37">
        <v>377</v>
      </c>
      <c r="AE37">
        <f t="shared" si="21"/>
        <v>17680</v>
      </c>
      <c r="AF37">
        <v>6687</v>
      </c>
      <c r="AG37">
        <v>16363</v>
      </c>
      <c r="AH37">
        <v>13925</v>
      </c>
      <c r="AI37">
        <f t="shared" si="22"/>
        <v>2438</v>
      </c>
      <c r="AJ37" t="s">
        <v>1259</v>
      </c>
      <c r="AK37">
        <v>3</v>
      </c>
      <c r="AL37">
        <v>1557</v>
      </c>
      <c r="AM37">
        <v>78</v>
      </c>
      <c r="AN37">
        <v>446</v>
      </c>
      <c r="AO37">
        <v>415</v>
      </c>
      <c r="AP37">
        <v>776</v>
      </c>
      <c r="AQ37">
        <v>753</v>
      </c>
      <c r="AR37">
        <v>74</v>
      </c>
      <c r="AS37">
        <v>5</v>
      </c>
      <c r="AT37">
        <v>140</v>
      </c>
      <c r="AU37">
        <v>369</v>
      </c>
      <c r="AV37">
        <v>563</v>
      </c>
      <c r="AW37">
        <v>22</v>
      </c>
      <c r="AX37">
        <v>505</v>
      </c>
      <c r="AY37">
        <v>610</v>
      </c>
      <c r="AZ37">
        <v>6183</v>
      </c>
      <c r="BA37">
        <v>103</v>
      </c>
      <c r="BB37">
        <v>931</v>
      </c>
      <c r="BD37">
        <v>108</v>
      </c>
    </row>
    <row r="38" spans="1:56" x14ac:dyDescent="0.25">
      <c r="A38" t="s">
        <v>599</v>
      </c>
      <c r="B38" t="s">
        <v>409</v>
      </c>
      <c r="C38">
        <f t="shared" si="19"/>
        <v>65161</v>
      </c>
      <c r="D38">
        <v>68365</v>
      </c>
      <c r="E38">
        <v>3204</v>
      </c>
      <c r="F38">
        <f t="shared" si="20"/>
        <v>72385</v>
      </c>
      <c r="G38">
        <v>75589</v>
      </c>
      <c r="H38">
        <v>3204</v>
      </c>
      <c r="I38">
        <f t="shared" si="4"/>
        <v>2861</v>
      </c>
      <c r="J38">
        <f t="shared" si="5"/>
        <v>16723</v>
      </c>
      <c r="K38">
        <f t="shared" si="6"/>
        <v>6869</v>
      </c>
      <c r="L38">
        <f t="shared" si="7"/>
        <v>1509</v>
      </c>
      <c r="M38">
        <f t="shared" si="8"/>
        <v>777</v>
      </c>
      <c r="N38">
        <f t="shared" si="9"/>
        <v>1373</v>
      </c>
      <c r="O38">
        <f t="shared" si="10"/>
        <v>3481</v>
      </c>
      <c r="P38">
        <f t="shared" si="11"/>
        <v>11093</v>
      </c>
      <c r="Q38">
        <f t="shared" si="12"/>
        <v>14528</v>
      </c>
      <c r="R38">
        <f t="shared" si="13"/>
        <v>6379</v>
      </c>
      <c r="S38">
        <f t="shared" si="14"/>
        <v>671</v>
      </c>
      <c r="U38">
        <v>15894</v>
      </c>
      <c r="V38">
        <v>2533</v>
      </c>
      <c r="W38">
        <v>2832</v>
      </c>
      <c r="X38">
        <v>1196</v>
      </c>
      <c r="Y38">
        <v>2228</v>
      </c>
      <c r="Z38">
        <v>5312</v>
      </c>
      <c r="AA38">
        <v>28809</v>
      </c>
      <c r="AB38">
        <v>8515</v>
      </c>
      <c r="AC38">
        <v>2981</v>
      </c>
      <c r="AD38">
        <v>1205</v>
      </c>
      <c r="AE38">
        <f t="shared" si="21"/>
        <v>16108</v>
      </c>
      <c r="AF38">
        <v>7315</v>
      </c>
      <c r="AG38">
        <v>2246</v>
      </c>
      <c r="AH38">
        <v>368</v>
      </c>
      <c r="AI38">
        <f t="shared" si="22"/>
        <v>1878</v>
      </c>
      <c r="AJ38" t="s">
        <v>1159</v>
      </c>
      <c r="AL38">
        <v>1207</v>
      </c>
      <c r="AM38">
        <v>99</v>
      </c>
      <c r="AN38">
        <v>837</v>
      </c>
      <c r="AO38">
        <v>655</v>
      </c>
      <c r="AP38">
        <v>1176</v>
      </c>
      <c r="AQ38">
        <v>505</v>
      </c>
      <c r="AR38">
        <v>350</v>
      </c>
      <c r="AS38">
        <v>46</v>
      </c>
      <c r="AT38">
        <v>373</v>
      </c>
      <c r="AU38">
        <v>394</v>
      </c>
      <c r="AV38">
        <v>705</v>
      </c>
      <c r="AW38">
        <v>26</v>
      </c>
      <c r="AX38">
        <v>998</v>
      </c>
      <c r="AY38">
        <v>1017</v>
      </c>
      <c r="AZ38">
        <v>8008</v>
      </c>
      <c r="BA38">
        <v>119</v>
      </c>
      <c r="BB38">
        <v>1461</v>
      </c>
      <c r="BD38">
        <v>1608</v>
      </c>
    </row>
    <row r="39" spans="1:56" x14ac:dyDescent="0.25">
      <c r="A39" t="s">
        <v>601</v>
      </c>
      <c r="B39" t="s">
        <v>214</v>
      </c>
      <c r="C39">
        <f t="shared" si="19"/>
        <v>67876</v>
      </c>
      <c r="D39">
        <v>69363</v>
      </c>
      <c r="E39">
        <v>1487</v>
      </c>
      <c r="F39">
        <f t="shared" si="20"/>
        <v>57156</v>
      </c>
      <c r="G39">
        <v>58643</v>
      </c>
      <c r="H39">
        <v>1487</v>
      </c>
      <c r="I39">
        <f t="shared" si="4"/>
        <v>4477</v>
      </c>
      <c r="J39">
        <f t="shared" si="5"/>
        <v>10324</v>
      </c>
      <c r="K39">
        <f t="shared" si="6"/>
        <v>13593</v>
      </c>
      <c r="L39">
        <f t="shared" si="7"/>
        <v>1376</v>
      </c>
      <c r="M39">
        <f t="shared" si="8"/>
        <v>192</v>
      </c>
      <c r="N39">
        <f t="shared" si="9"/>
        <v>1490</v>
      </c>
      <c r="O39">
        <f t="shared" si="10"/>
        <v>4636</v>
      </c>
      <c r="P39">
        <f t="shared" si="11"/>
        <v>14183</v>
      </c>
      <c r="Q39">
        <f t="shared" si="12"/>
        <v>10154</v>
      </c>
      <c r="R39">
        <f t="shared" si="13"/>
        <v>3898</v>
      </c>
      <c r="S39">
        <f t="shared" si="14"/>
        <v>864</v>
      </c>
      <c r="U39">
        <v>22097</v>
      </c>
      <c r="V39">
        <v>1622</v>
      </c>
      <c r="W39">
        <v>2754</v>
      </c>
      <c r="X39">
        <v>253</v>
      </c>
      <c r="Y39">
        <v>1942</v>
      </c>
      <c r="Z39">
        <v>5652</v>
      </c>
      <c r="AA39">
        <v>26571</v>
      </c>
      <c r="AB39">
        <v>7369</v>
      </c>
      <c r="AC39">
        <v>6415</v>
      </c>
      <c r="AD39">
        <v>996</v>
      </c>
      <c r="AE39">
        <f t="shared" si="21"/>
        <v>11791</v>
      </c>
      <c r="AF39">
        <v>5226</v>
      </c>
      <c r="AG39">
        <v>3246</v>
      </c>
      <c r="AH39">
        <v>1927</v>
      </c>
      <c r="AI39">
        <f t="shared" si="22"/>
        <v>1319</v>
      </c>
      <c r="AJ39" t="s">
        <v>1005</v>
      </c>
      <c r="AK39">
        <v>0</v>
      </c>
      <c r="AL39">
        <v>455</v>
      </c>
      <c r="AM39">
        <v>458</v>
      </c>
      <c r="AN39">
        <v>870</v>
      </c>
      <c r="AO39">
        <v>516</v>
      </c>
      <c r="AP39">
        <v>500</v>
      </c>
      <c r="AQ39">
        <v>338</v>
      </c>
      <c r="AR39">
        <v>114</v>
      </c>
      <c r="AS39">
        <v>1</v>
      </c>
      <c r="AT39">
        <v>60</v>
      </c>
      <c r="AU39">
        <v>101</v>
      </c>
      <c r="AV39">
        <v>404</v>
      </c>
      <c r="AX39">
        <v>246</v>
      </c>
      <c r="AY39">
        <v>2551</v>
      </c>
      <c r="AZ39">
        <v>5953</v>
      </c>
      <c r="BA39">
        <v>512</v>
      </c>
      <c r="BB39">
        <v>1125</v>
      </c>
      <c r="BD39">
        <v>597</v>
      </c>
    </row>
    <row r="40" spans="1:56" x14ac:dyDescent="0.25">
      <c r="A40" t="s">
        <v>600</v>
      </c>
      <c r="B40" t="s">
        <v>292</v>
      </c>
      <c r="C40">
        <f t="shared" si="19"/>
        <v>122646</v>
      </c>
      <c r="D40">
        <v>124752</v>
      </c>
      <c r="E40">
        <v>2106</v>
      </c>
      <c r="F40">
        <f t="shared" si="20"/>
        <v>116614</v>
      </c>
      <c r="G40">
        <v>118720</v>
      </c>
      <c r="H40">
        <v>2106</v>
      </c>
      <c r="I40">
        <f t="shared" si="4"/>
        <v>4467</v>
      </c>
      <c r="J40">
        <f t="shared" si="5"/>
        <v>20497</v>
      </c>
      <c r="K40">
        <f t="shared" si="6"/>
        <v>13763</v>
      </c>
      <c r="L40">
        <f t="shared" si="7"/>
        <v>3359</v>
      </c>
      <c r="M40">
        <f t="shared" si="8"/>
        <v>644</v>
      </c>
      <c r="N40">
        <f t="shared" si="9"/>
        <v>3806</v>
      </c>
      <c r="O40">
        <f t="shared" si="10"/>
        <v>7190</v>
      </c>
      <c r="P40">
        <f t="shared" si="11"/>
        <v>25790</v>
      </c>
      <c r="Q40">
        <f t="shared" si="12"/>
        <v>19945</v>
      </c>
      <c r="R40">
        <f t="shared" si="13"/>
        <v>9760</v>
      </c>
      <c r="S40">
        <f t="shared" si="14"/>
        <v>751</v>
      </c>
      <c r="U40">
        <v>24024</v>
      </c>
      <c r="V40">
        <v>5079</v>
      </c>
      <c r="W40">
        <v>8521</v>
      </c>
      <c r="X40">
        <v>966</v>
      </c>
      <c r="Y40">
        <v>4962</v>
      </c>
      <c r="Z40">
        <v>9119</v>
      </c>
      <c r="AA40">
        <v>50082</v>
      </c>
      <c r="AB40">
        <v>19753</v>
      </c>
      <c r="AC40">
        <v>6752</v>
      </c>
      <c r="AD40">
        <v>1972</v>
      </c>
      <c r="AE40">
        <f t="shared" si="21"/>
        <v>21605</v>
      </c>
      <c r="AF40">
        <v>11023</v>
      </c>
      <c r="AG40">
        <v>10976</v>
      </c>
      <c r="AH40">
        <v>8660</v>
      </c>
      <c r="AI40">
        <f t="shared" si="22"/>
        <v>2316</v>
      </c>
      <c r="AJ40" t="s">
        <v>1068</v>
      </c>
      <c r="AK40">
        <v>52</v>
      </c>
      <c r="AL40">
        <v>1513</v>
      </c>
      <c r="AM40">
        <v>344</v>
      </c>
      <c r="AN40">
        <v>919</v>
      </c>
      <c r="AO40">
        <v>508</v>
      </c>
      <c r="AP40">
        <v>1421</v>
      </c>
      <c r="AQ40">
        <v>977</v>
      </c>
      <c r="AR40">
        <v>179</v>
      </c>
      <c r="AT40">
        <v>322</v>
      </c>
      <c r="AU40">
        <v>894</v>
      </c>
      <c r="AV40">
        <v>1507</v>
      </c>
      <c r="AW40">
        <v>60</v>
      </c>
      <c r="AX40">
        <v>1660</v>
      </c>
      <c r="AY40">
        <v>1632</v>
      </c>
      <c r="AZ40">
        <v>8629</v>
      </c>
      <c r="BB40">
        <v>1660</v>
      </c>
      <c r="BD40">
        <v>2687</v>
      </c>
    </row>
    <row r="41" spans="1:56" x14ac:dyDescent="0.25">
      <c r="A41" t="s">
        <v>599</v>
      </c>
      <c r="B41" t="s">
        <v>410</v>
      </c>
      <c r="C41">
        <f t="shared" si="19"/>
        <v>48732</v>
      </c>
      <c r="D41">
        <v>49077</v>
      </c>
      <c r="E41">
        <v>345</v>
      </c>
      <c r="F41">
        <f t="shared" si="20"/>
        <v>49246</v>
      </c>
      <c r="G41">
        <v>49591</v>
      </c>
      <c r="H41">
        <v>345</v>
      </c>
      <c r="I41">
        <f t="shared" si="4"/>
        <v>2408</v>
      </c>
      <c r="J41">
        <f t="shared" si="5"/>
        <v>5836</v>
      </c>
      <c r="K41">
        <f t="shared" si="6"/>
        <v>5375</v>
      </c>
      <c r="L41">
        <f t="shared" si="7"/>
        <v>1419</v>
      </c>
      <c r="M41">
        <f t="shared" si="8"/>
        <v>500</v>
      </c>
      <c r="N41">
        <f t="shared" si="9"/>
        <v>1862</v>
      </c>
      <c r="O41">
        <f t="shared" si="10"/>
        <v>3242</v>
      </c>
      <c r="P41">
        <f t="shared" si="11"/>
        <v>8609</v>
      </c>
      <c r="Q41">
        <f t="shared" si="12"/>
        <v>10237</v>
      </c>
      <c r="R41">
        <f t="shared" si="13"/>
        <v>4079</v>
      </c>
      <c r="S41">
        <f t="shared" si="14"/>
        <v>1371</v>
      </c>
      <c r="U41">
        <v>9168</v>
      </c>
      <c r="V41">
        <v>1588</v>
      </c>
      <c r="W41">
        <v>2426</v>
      </c>
      <c r="X41">
        <v>657</v>
      </c>
      <c r="Y41">
        <v>2284</v>
      </c>
      <c r="Z41">
        <v>3939</v>
      </c>
      <c r="AA41">
        <v>19434</v>
      </c>
      <c r="AB41">
        <v>3186</v>
      </c>
      <c r="AC41">
        <v>5548</v>
      </c>
      <c r="AD41">
        <v>0</v>
      </c>
      <c r="AE41">
        <f t="shared" si="21"/>
        <v>10700</v>
      </c>
      <c r="AF41">
        <v>5011</v>
      </c>
      <c r="AG41">
        <v>4570</v>
      </c>
      <c r="AH41">
        <v>2574</v>
      </c>
      <c r="AI41">
        <f t="shared" si="22"/>
        <v>1996</v>
      </c>
      <c r="AJ41" t="s">
        <v>1262</v>
      </c>
      <c r="AK41">
        <v>137</v>
      </c>
      <c r="AL41">
        <v>488</v>
      </c>
      <c r="AM41">
        <v>622</v>
      </c>
      <c r="AN41">
        <v>310</v>
      </c>
      <c r="AO41">
        <v>380</v>
      </c>
      <c r="AP41">
        <v>317</v>
      </c>
      <c r="AQ41">
        <v>327</v>
      </c>
      <c r="AR41">
        <v>95</v>
      </c>
      <c r="AT41">
        <v>157</v>
      </c>
      <c r="AU41">
        <v>524</v>
      </c>
      <c r="AV41">
        <v>337</v>
      </c>
      <c r="AW41">
        <v>19</v>
      </c>
      <c r="AX41">
        <v>150</v>
      </c>
      <c r="AY41">
        <v>235</v>
      </c>
      <c r="AZ41">
        <v>3558</v>
      </c>
      <c r="BA41">
        <v>164</v>
      </c>
      <c r="BB41">
        <v>299</v>
      </c>
      <c r="BD41">
        <v>125</v>
      </c>
    </row>
    <row r="42" spans="1:56" x14ac:dyDescent="0.25">
      <c r="A42" t="s">
        <v>600</v>
      </c>
      <c r="B42" t="s">
        <v>293</v>
      </c>
      <c r="C42">
        <f t="shared" si="19"/>
        <v>31011</v>
      </c>
      <c r="D42">
        <v>31098</v>
      </c>
      <c r="E42">
        <v>87</v>
      </c>
      <c r="F42">
        <f t="shared" si="20"/>
        <v>29895</v>
      </c>
      <c r="G42">
        <v>29982</v>
      </c>
      <c r="H42">
        <v>87</v>
      </c>
      <c r="I42">
        <f t="shared" si="4"/>
        <v>1205</v>
      </c>
      <c r="J42">
        <f t="shared" si="5"/>
        <v>888</v>
      </c>
      <c r="K42">
        <f t="shared" si="6"/>
        <v>5720</v>
      </c>
      <c r="L42">
        <f t="shared" si="7"/>
        <v>1227</v>
      </c>
      <c r="M42">
        <f t="shared" si="8"/>
        <v>40</v>
      </c>
      <c r="N42">
        <f t="shared" si="9"/>
        <v>295</v>
      </c>
      <c r="O42">
        <f t="shared" si="10"/>
        <v>1634</v>
      </c>
      <c r="P42">
        <f t="shared" si="11"/>
        <v>2515</v>
      </c>
      <c r="Q42">
        <f t="shared" si="12"/>
        <v>4240</v>
      </c>
      <c r="R42">
        <f t="shared" si="13"/>
        <v>2021</v>
      </c>
      <c r="S42">
        <f t="shared" si="14"/>
        <v>816</v>
      </c>
      <c r="U42">
        <v>7090</v>
      </c>
      <c r="V42">
        <v>1227</v>
      </c>
      <c r="W42">
        <v>1412</v>
      </c>
      <c r="X42">
        <v>40</v>
      </c>
      <c r="Y42">
        <v>295</v>
      </c>
      <c r="Z42">
        <v>1759</v>
      </c>
      <c r="AA42">
        <v>6755</v>
      </c>
      <c r="AB42">
        <v>2179</v>
      </c>
      <c r="AC42">
        <v>161</v>
      </c>
      <c r="AD42">
        <v>175</v>
      </c>
      <c r="AE42">
        <f t="shared" si="21"/>
        <v>4240</v>
      </c>
      <c r="AF42">
        <v>2261</v>
      </c>
      <c r="AG42">
        <v>10259</v>
      </c>
      <c r="AH42">
        <v>9432</v>
      </c>
      <c r="AI42">
        <f t="shared" si="22"/>
        <v>827</v>
      </c>
      <c r="AJ42" t="s">
        <v>1069</v>
      </c>
      <c r="AK42">
        <v>11</v>
      </c>
      <c r="AM42">
        <v>240</v>
      </c>
      <c r="AO42">
        <v>125</v>
      </c>
      <c r="AU42">
        <v>347</v>
      </c>
      <c r="AY42">
        <v>482</v>
      </c>
      <c r="AZ42">
        <v>888</v>
      </c>
    </row>
    <row r="43" spans="1:56" x14ac:dyDescent="0.25">
      <c r="A43" t="s">
        <v>600</v>
      </c>
      <c r="B43" t="s">
        <v>294</v>
      </c>
      <c r="C43">
        <f t="shared" si="19"/>
        <v>49072</v>
      </c>
      <c r="D43">
        <v>49128</v>
      </c>
      <c r="E43">
        <v>56</v>
      </c>
      <c r="F43">
        <f t="shared" si="20"/>
        <v>47041</v>
      </c>
      <c r="G43">
        <v>47097</v>
      </c>
      <c r="H43">
        <v>56</v>
      </c>
      <c r="I43">
        <f t="shared" si="4"/>
        <v>2598</v>
      </c>
      <c r="J43">
        <f t="shared" si="5"/>
        <v>13251</v>
      </c>
      <c r="K43">
        <f t="shared" si="6"/>
        <v>5368</v>
      </c>
      <c r="L43">
        <f t="shared" si="7"/>
        <v>1560</v>
      </c>
      <c r="M43">
        <f t="shared" si="8"/>
        <v>92</v>
      </c>
      <c r="N43">
        <f t="shared" si="9"/>
        <v>1246</v>
      </c>
      <c r="O43">
        <f t="shared" si="10"/>
        <v>3146</v>
      </c>
      <c r="P43">
        <f t="shared" si="11"/>
        <v>5668</v>
      </c>
      <c r="Q43">
        <f t="shared" si="12"/>
        <v>7981</v>
      </c>
      <c r="R43">
        <f t="shared" si="13"/>
        <v>5373</v>
      </c>
      <c r="S43">
        <f t="shared" si="14"/>
        <v>365</v>
      </c>
      <c r="U43">
        <v>12421</v>
      </c>
      <c r="V43">
        <v>2125</v>
      </c>
      <c r="W43">
        <v>3430</v>
      </c>
      <c r="X43">
        <v>394</v>
      </c>
      <c r="Y43">
        <v>2091</v>
      </c>
      <c r="Z43">
        <v>5157</v>
      </c>
      <c r="AA43">
        <v>14141</v>
      </c>
      <c r="AB43">
        <v>4488</v>
      </c>
      <c r="AC43">
        <v>811</v>
      </c>
      <c r="AD43">
        <v>409</v>
      </c>
      <c r="AE43">
        <f t="shared" si="21"/>
        <v>8433</v>
      </c>
      <c r="AF43">
        <v>7542</v>
      </c>
      <c r="AG43">
        <v>1827</v>
      </c>
      <c r="AH43">
        <v>0</v>
      </c>
      <c r="AI43">
        <f t="shared" si="22"/>
        <v>1827</v>
      </c>
      <c r="AJ43" t="s">
        <v>1070</v>
      </c>
      <c r="AK43">
        <v>1</v>
      </c>
      <c r="AL43">
        <v>1461</v>
      </c>
      <c r="AM43">
        <v>695</v>
      </c>
      <c r="AN43">
        <v>1474</v>
      </c>
      <c r="AO43">
        <v>210</v>
      </c>
      <c r="AP43">
        <v>1801</v>
      </c>
      <c r="AQ43">
        <v>701</v>
      </c>
      <c r="AR43">
        <v>144</v>
      </c>
      <c r="AT43">
        <v>302</v>
      </c>
      <c r="AU43">
        <v>410</v>
      </c>
      <c r="AV43">
        <v>540</v>
      </c>
      <c r="AW43">
        <v>27</v>
      </c>
      <c r="AX43">
        <v>538</v>
      </c>
      <c r="AY43">
        <v>544</v>
      </c>
      <c r="AZ43">
        <v>6509</v>
      </c>
      <c r="BA43">
        <v>10</v>
      </c>
      <c r="BB43">
        <v>442</v>
      </c>
      <c r="BD43">
        <v>40</v>
      </c>
    </row>
    <row r="44" spans="1:56" x14ac:dyDescent="0.25">
      <c r="A44" t="s">
        <v>603</v>
      </c>
      <c r="B44" t="s">
        <v>337</v>
      </c>
      <c r="C44">
        <f t="shared" si="19"/>
        <v>92113</v>
      </c>
      <c r="D44">
        <v>94403</v>
      </c>
      <c r="E44">
        <v>2290</v>
      </c>
      <c r="F44">
        <f t="shared" si="20"/>
        <v>82174</v>
      </c>
      <c r="G44">
        <v>84464</v>
      </c>
      <c r="H44">
        <v>2290</v>
      </c>
      <c r="I44">
        <f t="shared" si="4"/>
        <v>4985</v>
      </c>
      <c r="J44">
        <f t="shared" si="5"/>
        <v>11580</v>
      </c>
      <c r="K44">
        <f t="shared" si="6"/>
        <v>10294</v>
      </c>
      <c r="L44">
        <f t="shared" si="7"/>
        <v>2382</v>
      </c>
      <c r="M44">
        <f t="shared" si="8"/>
        <v>1057</v>
      </c>
      <c r="N44">
        <f t="shared" si="9"/>
        <v>2512</v>
      </c>
      <c r="O44">
        <f t="shared" si="10"/>
        <v>5271</v>
      </c>
      <c r="P44">
        <f t="shared" si="11"/>
        <v>8357</v>
      </c>
      <c r="Q44">
        <f t="shared" si="12"/>
        <v>12878</v>
      </c>
      <c r="R44">
        <f t="shared" si="13"/>
        <v>7965</v>
      </c>
      <c r="S44">
        <f t="shared" si="14"/>
        <v>2261</v>
      </c>
      <c r="U44">
        <v>17815</v>
      </c>
      <c r="V44">
        <v>2727</v>
      </c>
      <c r="W44">
        <v>7294</v>
      </c>
      <c r="X44">
        <v>1686</v>
      </c>
      <c r="Y44">
        <v>3288</v>
      </c>
      <c r="Z44">
        <v>6678</v>
      </c>
      <c r="AA44">
        <v>22369</v>
      </c>
      <c r="AB44">
        <v>5571</v>
      </c>
      <c r="AC44">
        <v>2153</v>
      </c>
      <c r="AD44">
        <v>651</v>
      </c>
      <c r="AE44">
        <f t="shared" si="21"/>
        <v>13994</v>
      </c>
      <c r="AF44">
        <v>9617</v>
      </c>
      <c r="AG44">
        <v>22929</v>
      </c>
      <c r="AH44">
        <v>19755</v>
      </c>
      <c r="AI44">
        <f t="shared" si="22"/>
        <v>3174</v>
      </c>
      <c r="AJ44" t="s">
        <v>1285</v>
      </c>
      <c r="AK44">
        <v>28</v>
      </c>
      <c r="AL44">
        <v>885</v>
      </c>
      <c r="AM44">
        <v>1280</v>
      </c>
      <c r="AN44">
        <v>372</v>
      </c>
      <c r="AO44">
        <v>485</v>
      </c>
      <c r="AP44">
        <v>922</v>
      </c>
      <c r="AQ44">
        <v>604</v>
      </c>
      <c r="AR44">
        <v>172</v>
      </c>
      <c r="AS44">
        <v>111</v>
      </c>
      <c r="AT44">
        <v>518</v>
      </c>
      <c r="AU44">
        <v>1627</v>
      </c>
      <c r="AV44">
        <v>561</v>
      </c>
      <c r="AW44">
        <v>2</v>
      </c>
      <c r="AX44">
        <v>343</v>
      </c>
      <c r="AY44">
        <v>706</v>
      </c>
      <c r="AZ44">
        <v>6815</v>
      </c>
      <c r="BA44">
        <v>142</v>
      </c>
      <c r="BB44">
        <v>974</v>
      </c>
      <c r="BD44">
        <v>18</v>
      </c>
    </row>
    <row r="45" spans="1:56" x14ac:dyDescent="0.25">
      <c r="A45" t="s">
        <v>599</v>
      </c>
      <c r="B45" t="s">
        <v>411</v>
      </c>
      <c r="C45">
        <f t="shared" si="19"/>
        <v>27295</v>
      </c>
      <c r="D45">
        <v>27300</v>
      </c>
      <c r="E45">
        <v>5</v>
      </c>
      <c r="F45">
        <f t="shared" si="20"/>
        <v>24023</v>
      </c>
      <c r="G45">
        <v>24028</v>
      </c>
      <c r="H45">
        <v>5</v>
      </c>
      <c r="I45">
        <f t="shared" si="4"/>
        <v>896</v>
      </c>
      <c r="J45">
        <f t="shared" si="5"/>
        <v>4150</v>
      </c>
      <c r="K45">
        <f t="shared" si="6"/>
        <v>2643</v>
      </c>
      <c r="L45">
        <f t="shared" si="7"/>
        <v>682</v>
      </c>
      <c r="M45">
        <f t="shared" si="8"/>
        <v>572</v>
      </c>
      <c r="N45">
        <f t="shared" si="9"/>
        <v>596</v>
      </c>
      <c r="O45">
        <f t="shared" si="10"/>
        <v>1247</v>
      </c>
      <c r="P45">
        <f t="shared" si="11"/>
        <v>3424</v>
      </c>
      <c r="Q45">
        <f t="shared" si="12"/>
        <v>4894</v>
      </c>
      <c r="R45">
        <f t="shared" si="13"/>
        <v>1901</v>
      </c>
      <c r="S45">
        <f t="shared" si="14"/>
        <v>114</v>
      </c>
      <c r="U45">
        <v>5415</v>
      </c>
      <c r="V45">
        <v>756</v>
      </c>
      <c r="W45">
        <v>797</v>
      </c>
      <c r="X45">
        <v>616</v>
      </c>
      <c r="Y45">
        <v>915</v>
      </c>
      <c r="Z45">
        <v>1511</v>
      </c>
      <c r="AA45">
        <v>8829</v>
      </c>
      <c r="AB45">
        <v>2085</v>
      </c>
      <c r="AC45">
        <v>1174</v>
      </c>
      <c r="AD45">
        <v>244</v>
      </c>
      <c r="AE45">
        <f t="shared" si="21"/>
        <v>5326</v>
      </c>
      <c r="AF45">
        <v>2354</v>
      </c>
      <c r="AG45">
        <v>6107</v>
      </c>
      <c r="AH45">
        <v>5592</v>
      </c>
      <c r="AI45">
        <f t="shared" si="22"/>
        <v>515</v>
      </c>
      <c r="AJ45" t="s">
        <v>1160</v>
      </c>
      <c r="AL45">
        <v>401</v>
      </c>
      <c r="AM45">
        <v>61</v>
      </c>
      <c r="AN45">
        <v>392</v>
      </c>
      <c r="AO45">
        <v>88</v>
      </c>
      <c r="AP45">
        <v>176</v>
      </c>
      <c r="AQ45">
        <v>276</v>
      </c>
      <c r="AR45">
        <v>43</v>
      </c>
      <c r="AS45">
        <v>25</v>
      </c>
      <c r="AT45">
        <v>19</v>
      </c>
      <c r="AU45">
        <v>80</v>
      </c>
      <c r="AV45">
        <v>128</v>
      </c>
      <c r="AW45">
        <v>25</v>
      </c>
      <c r="AX45">
        <v>49</v>
      </c>
      <c r="AY45">
        <v>182</v>
      </c>
      <c r="AZ45">
        <v>2590</v>
      </c>
      <c r="BA45">
        <v>159</v>
      </c>
      <c r="BB45">
        <v>273</v>
      </c>
      <c r="BD45">
        <v>79</v>
      </c>
    </row>
    <row r="46" spans="1:56" x14ac:dyDescent="0.25">
      <c r="A46" t="s">
        <v>598</v>
      </c>
      <c r="B46" t="s">
        <v>131</v>
      </c>
      <c r="C46">
        <f t="shared" si="19"/>
        <v>69445</v>
      </c>
      <c r="D46">
        <v>70840</v>
      </c>
      <c r="E46">
        <v>1395</v>
      </c>
      <c r="F46">
        <f t="shared" si="20"/>
        <v>67789</v>
      </c>
      <c r="G46">
        <v>69184</v>
      </c>
      <c r="H46">
        <v>1395</v>
      </c>
      <c r="I46">
        <f t="shared" si="4"/>
        <v>2848</v>
      </c>
      <c r="J46">
        <f t="shared" si="5"/>
        <v>12833</v>
      </c>
      <c r="K46">
        <f t="shared" si="6"/>
        <v>10327</v>
      </c>
      <c r="L46">
        <f t="shared" si="7"/>
        <v>1411</v>
      </c>
      <c r="M46">
        <f t="shared" si="8"/>
        <v>277</v>
      </c>
      <c r="N46">
        <f t="shared" si="9"/>
        <v>1742</v>
      </c>
      <c r="O46">
        <f t="shared" si="10"/>
        <v>4014</v>
      </c>
      <c r="P46">
        <f t="shared" si="11"/>
        <v>14921</v>
      </c>
      <c r="Q46">
        <f t="shared" si="12"/>
        <v>15235</v>
      </c>
      <c r="R46">
        <f t="shared" si="13"/>
        <v>4294</v>
      </c>
      <c r="S46">
        <f t="shared" si="14"/>
        <v>808</v>
      </c>
      <c r="U46">
        <v>18582</v>
      </c>
      <c r="V46">
        <v>1475</v>
      </c>
      <c r="W46">
        <v>2790</v>
      </c>
      <c r="X46">
        <v>455</v>
      </c>
      <c r="Y46">
        <v>2024</v>
      </c>
      <c r="Z46">
        <v>6054</v>
      </c>
      <c r="AA46">
        <v>31473</v>
      </c>
      <c r="AB46">
        <v>8848</v>
      </c>
      <c r="AC46">
        <v>5280</v>
      </c>
      <c r="AD46">
        <v>1017</v>
      </c>
      <c r="AE46">
        <f t="shared" si="21"/>
        <v>16328</v>
      </c>
      <c r="AF46">
        <v>5658</v>
      </c>
      <c r="AG46">
        <v>2329</v>
      </c>
      <c r="AH46">
        <v>56</v>
      </c>
      <c r="AI46">
        <f t="shared" si="22"/>
        <v>2273</v>
      </c>
      <c r="AJ46" t="s">
        <v>1242</v>
      </c>
      <c r="AK46">
        <v>60</v>
      </c>
      <c r="AL46">
        <v>1405</v>
      </c>
      <c r="AM46">
        <v>66</v>
      </c>
      <c r="AN46">
        <v>1298</v>
      </c>
      <c r="AP46">
        <v>2040</v>
      </c>
      <c r="AR46">
        <v>282</v>
      </c>
      <c r="AT46">
        <v>178</v>
      </c>
      <c r="AU46">
        <v>86</v>
      </c>
      <c r="AV46">
        <v>630</v>
      </c>
      <c r="AX46">
        <v>64</v>
      </c>
      <c r="AY46">
        <v>2636</v>
      </c>
      <c r="AZ46">
        <v>5619</v>
      </c>
      <c r="BB46">
        <v>1093</v>
      </c>
      <c r="BD46">
        <v>224</v>
      </c>
    </row>
    <row r="47" spans="1:56" x14ac:dyDescent="0.25">
      <c r="A47" t="s">
        <v>604</v>
      </c>
      <c r="B47" t="s">
        <v>186</v>
      </c>
      <c r="C47">
        <f t="shared" si="19"/>
        <v>62562</v>
      </c>
      <c r="D47">
        <v>65073</v>
      </c>
      <c r="E47">
        <v>2511</v>
      </c>
      <c r="F47">
        <f t="shared" si="20"/>
        <v>68027</v>
      </c>
      <c r="G47">
        <v>68027</v>
      </c>
      <c r="H47">
        <v>0</v>
      </c>
      <c r="I47">
        <f t="shared" si="4"/>
        <v>2990</v>
      </c>
      <c r="J47">
        <f t="shared" si="5"/>
        <v>13086</v>
      </c>
      <c r="K47">
        <f t="shared" si="6"/>
        <v>4403</v>
      </c>
      <c r="L47">
        <f t="shared" si="7"/>
        <v>1394</v>
      </c>
      <c r="M47">
        <f t="shared" si="8"/>
        <v>3656</v>
      </c>
      <c r="N47">
        <f t="shared" si="9"/>
        <v>2082</v>
      </c>
      <c r="O47">
        <f t="shared" si="10"/>
        <v>906</v>
      </c>
      <c r="P47">
        <f t="shared" si="11"/>
        <v>9829</v>
      </c>
      <c r="Q47">
        <f t="shared" si="12"/>
        <v>12394</v>
      </c>
      <c r="R47">
        <f t="shared" si="13"/>
        <v>3643</v>
      </c>
      <c r="S47">
        <f t="shared" si="14"/>
        <v>173</v>
      </c>
      <c r="U47">
        <v>10053</v>
      </c>
      <c r="V47">
        <v>1557</v>
      </c>
      <c r="W47">
        <v>2752</v>
      </c>
      <c r="X47">
        <v>4041</v>
      </c>
      <c r="Y47">
        <v>3032</v>
      </c>
      <c r="Z47">
        <v>5487</v>
      </c>
      <c r="AA47">
        <v>24001</v>
      </c>
      <c r="AB47">
        <v>7044</v>
      </c>
      <c r="AC47">
        <v>2539</v>
      </c>
      <c r="AD47">
        <v>246</v>
      </c>
      <c r="AE47">
        <f t="shared" si="21"/>
        <v>14172</v>
      </c>
      <c r="AF47">
        <v>4501</v>
      </c>
      <c r="AG47">
        <v>9649</v>
      </c>
      <c r="AH47">
        <v>8425</v>
      </c>
      <c r="AI47">
        <f t="shared" si="22"/>
        <v>1224</v>
      </c>
      <c r="AJ47" t="s">
        <v>982</v>
      </c>
      <c r="AK47">
        <v>0</v>
      </c>
      <c r="AL47">
        <v>1051</v>
      </c>
      <c r="AM47">
        <v>378</v>
      </c>
      <c r="AN47">
        <v>480</v>
      </c>
      <c r="AO47">
        <v>535</v>
      </c>
      <c r="AP47">
        <v>4046</v>
      </c>
      <c r="AQ47">
        <v>918</v>
      </c>
      <c r="AR47">
        <v>32</v>
      </c>
      <c r="AT47">
        <v>385</v>
      </c>
      <c r="AU47">
        <v>467</v>
      </c>
      <c r="AV47">
        <v>193</v>
      </c>
      <c r="AX47">
        <v>163</v>
      </c>
      <c r="AY47">
        <v>677</v>
      </c>
      <c r="AZ47">
        <v>4973</v>
      </c>
      <c r="BA47">
        <v>15</v>
      </c>
      <c r="BB47">
        <v>1763</v>
      </c>
    </row>
    <row r="48" spans="1:56" x14ac:dyDescent="0.25">
      <c r="A48" t="s">
        <v>610</v>
      </c>
      <c r="B48" t="s">
        <v>389</v>
      </c>
      <c r="C48">
        <f t="shared" si="19"/>
        <v>52691</v>
      </c>
      <c r="D48">
        <v>52717</v>
      </c>
      <c r="E48">
        <v>26</v>
      </c>
      <c r="F48">
        <f t="shared" si="20"/>
        <v>49391</v>
      </c>
      <c r="G48">
        <v>49417</v>
      </c>
      <c r="H48">
        <v>26</v>
      </c>
      <c r="I48">
        <f t="shared" si="4"/>
        <v>1757</v>
      </c>
      <c r="J48">
        <f t="shared" si="5"/>
        <v>10276</v>
      </c>
      <c r="K48">
        <f t="shared" si="6"/>
        <v>5921</v>
      </c>
      <c r="L48">
        <f t="shared" si="7"/>
        <v>1879</v>
      </c>
      <c r="M48">
        <f t="shared" si="8"/>
        <v>261</v>
      </c>
      <c r="N48">
        <f t="shared" si="9"/>
        <v>1761</v>
      </c>
      <c r="O48">
        <f t="shared" si="10"/>
        <v>2646</v>
      </c>
      <c r="P48">
        <f t="shared" si="11"/>
        <v>6538</v>
      </c>
      <c r="Q48">
        <f t="shared" si="12"/>
        <v>11748</v>
      </c>
      <c r="R48">
        <f t="shared" si="13"/>
        <v>4814</v>
      </c>
      <c r="S48">
        <f t="shared" si="14"/>
        <v>346</v>
      </c>
      <c r="U48">
        <v>10929</v>
      </c>
      <c r="V48">
        <v>2155</v>
      </c>
      <c r="W48">
        <v>3875</v>
      </c>
      <c r="X48">
        <v>380</v>
      </c>
      <c r="Y48">
        <v>2469</v>
      </c>
      <c r="Z48">
        <v>4237</v>
      </c>
      <c r="AA48">
        <v>19386</v>
      </c>
      <c r="AB48">
        <v>4600</v>
      </c>
      <c r="AC48">
        <v>1445</v>
      </c>
      <c r="AD48">
        <v>493</v>
      </c>
      <c r="AE48">
        <f t="shared" si="21"/>
        <v>12848</v>
      </c>
      <c r="AF48">
        <v>6455</v>
      </c>
      <c r="AG48">
        <v>2831</v>
      </c>
      <c r="AH48">
        <v>1651</v>
      </c>
      <c r="AI48">
        <f t="shared" si="22"/>
        <v>1180</v>
      </c>
      <c r="AJ48" t="s">
        <v>1143</v>
      </c>
      <c r="AL48">
        <v>834</v>
      </c>
      <c r="AM48">
        <v>284</v>
      </c>
      <c r="AN48">
        <v>1357</v>
      </c>
      <c r="AO48">
        <v>210</v>
      </c>
      <c r="AP48">
        <v>1381</v>
      </c>
      <c r="AQ48">
        <v>517</v>
      </c>
      <c r="AR48">
        <v>191</v>
      </c>
      <c r="AT48">
        <v>119</v>
      </c>
      <c r="AU48">
        <v>85</v>
      </c>
      <c r="AV48">
        <v>671</v>
      </c>
      <c r="AW48">
        <v>64</v>
      </c>
      <c r="AX48">
        <v>212</v>
      </c>
      <c r="AY48">
        <v>372</v>
      </c>
      <c r="AZ48">
        <v>4636</v>
      </c>
      <c r="BA48">
        <v>225</v>
      </c>
      <c r="BB48">
        <v>875</v>
      </c>
    </row>
    <row r="49" spans="1:56" x14ac:dyDescent="0.25">
      <c r="A49" t="s">
        <v>599</v>
      </c>
      <c r="B49" t="s">
        <v>412</v>
      </c>
      <c r="C49">
        <f t="shared" si="19"/>
        <v>67552</v>
      </c>
      <c r="D49">
        <v>68285</v>
      </c>
      <c r="E49">
        <v>733</v>
      </c>
      <c r="F49">
        <f t="shared" si="20"/>
        <v>70298</v>
      </c>
      <c r="G49">
        <v>71031</v>
      </c>
      <c r="H49">
        <v>733</v>
      </c>
      <c r="I49">
        <f t="shared" si="4"/>
        <v>4732</v>
      </c>
      <c r="J49">
        <f t="shared" si="5"/>
        <v>15301</v>
      </c>
      <c r="K49">
        <f t="shared" si="6"/>
        <v>2161</v>
      </c>
      <c r="L49">
        <f t="shared" si="7"/>
        <v>2152</v>
      </c>
      <c r="M49">
        <f t="shared" si="8"/>
        <v>2278</v>
      </c>
      <c r="N49">
        <f t="shared" si="9"/>
        <v>2861</v>
      </c>
      <c r="O49">
        <f t="shared" si="10"/>
        <v>4009</v>
      </c>
      <c r="P49">
        <f t="shared" si="11"/>
        <v>11246</v>
      </c>
      <c r="Q49">
        <f t="shared" si="12"/>
        <v>13195</v>
      </c>
      <c r="R49">
        <f t="shared" si="13"/>
        <v>4771</v>
      </c>
      <c r="S49">
        <f t="shared" si="14"/>
        <v>425</v>
      </c>
      <c r="U49">
        <v>15437</v>
      </c>
      <c r="V49">
        <v>2932</v>
      </c>
      <c r="W49">
        <v>3275</v>
      </c>
      <c r="X49">
        <v>2722</v>
      </c>
      <c r="Y49">
        <v>2959</v>
      </c>
      <c r="Z49">
        <v>4539</v>
      </c>
      <c r="AA49">
        <v>26467</v>
      </c>
      <c r="AB49">
        <v>6869</v>
      </c>
      <c r="AC49">
        <v>4297</v>
      </c>
      <c r="AD49">
        <v>1011</v>
      </c>
      <c r="AE49">
        <f t="shared" si="21"/>
        <v>14290</v>
      </c>
      <c r="AF49">
        <v>5507</v>
      </c>
      <c r="AG49">
        <v>4447</v>
      </c>
      <c r="AH49">
        <v>2674</v>
      </c>
      <c r="AI49">
        <f t="shared" si="22"/>
        <v>1773</v>
      </c>
      <c r="AJ49" t="s">
        <v>1161</v>
      </c>
      <c r="AL49">
        <v>1348</v>
      </c>
      <c r="AN49">
        <v>736</v>
      </c>
      <c r="AP49">
        <v>530</v>
      </c>
      <c r="AR49">
        <v>98</v>
      </c>
      <c r="AT49">
        <v>444</v>
      </c>
      <c r="AV49">
        <v>795</v>
      </c>
      <c r="AX49">
        <v>780</v>
      </c>
      <c r="AY49">
        <v>4732</v>
      </c>
      <c r="AZ49">
        <v>8544</v>
      </c>
      <c r="BB49">
        <v>1095</v>
      </c>
      <c r="BD49">
        <v>931</v>
      </c>
    </row>
    <row r="50" spans="1:56" x14ac:dyDescent="0.25">
      <c r="A50" t="s">
        <v>599</v>
      </c>
      <c r="B50" t="s">
        <v>413</v>
      </c>
      <c r="C50">
        <f t="shared" si="19"/>
        <v>87067</v>
      </c>
      <c r="D50">
        <v>89557</v>
      </c>
      <c r="E50">
        <v>2490</v>
      </c>
      <c r="F50">
        <f t="shared" si="20"/>
        <v>89383</v>
      </c>
      <c r="G50">
        <v>91873</v>
      </c>
      <c r="H50">
        <v>2490</v>
      </c>
      <c r="I50">
        <f t="shared" si="4"/>
        <v>8144</v>
      </c>
      <c r="J50">
        <f t="shared" si="5"/>
        <v>1194</v>
      </c>
      <c r="K50">
        <f t="shared" si="6"/>
        <v>8713</v>
      </c>
      <c r="L50">
        <f t="shared" si="7"/>
        <v>2264</v>
      </c>
      <c r="M50">
        <f t="shared" si="8"/>
        <v>4144</v>
      </c>
      <c r="N50">
        <f t="shared" si="9"/>
        <v>3149</v>
      </c>
      <c r="O50">
        <f t="shared" si="10"/>
        <v>6552</v>
      </c>
      <c r="P50">
        <f t="shared" si="11"/>
        <v>18905</v>
      </c>
      <c r="Q50">
        <f t="shared" si="12"/>
        <v>20947</v>
      </c>
      <c r="R50">
        <f t="shared" si="13"/>
        <v>6845</v>
      </c>
      <c r="S50">
        <f t="shared" si="14"/>
        <v>2568</v>
      </c>
      <c r="U50">
        <v>14209</v>
      </c>
      <c r="V50">
        <v>2330</v>
      </c>
      <c r="W50">
        <v>5773</v>
      </c>
      <c r="X50">
        <v>4145</v>
      </c>
      <c r="Y50">
        <v>4493</v>
      </c>
      <c r="Z50">
        <v>7276</v>
      </c>
      <c r="AA50">
        <v>39853</v>
      </c>
      <c r="AB50">
        <v>9346</v>
      </c>
      <c r="AC50">
        <v>8349</v>
      </c>
      <c r="AD50">
        <v>1210</v>
      </c>
      <c r="AE50">
        <f t="shared" si="21"/>
        <v>20948</v>
      </c>
      <c r="AF50">
        <v>8012</v>
      </c>
      <c r="AG50">
        <v>3466</v>
      </c>
      <c r="AH50">
        <v>895</v>
      </c>
      <c r="AI50">
        <f t="shared" si="22"/>
        <v>2571</v>
      </c>
      <c r="AJ50" t="s">
        <v>1162</v>
      </c>
      <c r="AK50">
        <v>3</v>
      </c>
      <c r="AM50">
        <v>1167</v>
      </c>
      <c r="AO50">
        <v>724</v>
      </c>
      <c r="AQ50">
        <v>1344</v>
      </c>
      <c r="AS50">
        <v>1</v>
      </c>
      <c r="AU50">
        <v>536</v>
      </c>
      <c r="AW50">
        <v>66</v>
      </c>
      <c r="AY50">
        <v>4302</v>
      </c>
      <c r="AZ50">
        <v>1194</v>
      </c>
      <c r="BA50">
        <v>1</v>
      </c>
    </row>
    <row r="51" spans="1:56" x14ac:dyDescent="0.25">
      <c r="A51" t="s">
        <v>599</v>
      </c>
      <c r="B51" t="s">
        <v>414</v>
      </c>
      <c r="C51">
        <f t="shared" si="19"/>
        <v>635150</v>
      </c>
      <c r="D51">
        <v>642863</v>
      </c>
      <c r="E51">
        <v>7713</v>
      </c>
      <c r="F51">
        <f t="shared" si="20"/>
        <v>648449</v>
      </c>
      <c r="G51">
        <v>656162</v>
      </c>
      <c r="H51">
        <v>7713</v>
      </c>
      <c r="I51">
        <f t="shared" si="4"/>
        <v>25631</v>
      </c>
      <c r="J51">
        <f t="shared" si="5"/>
        <v>141978</v>
      </c>
      <c r="K51">
        <f t="shared" si="6"/>
        <v>33516</v>
      </c>
      <c r="L51">
        <f t="shared" si="7"/>
        <v>17340</v>
      </c>
      <c r="M51">
        <f t="shared" si="8"/>
        <v>17690</v>
      </c>
      <c r="N51">
        <f t="shared" si="9"/>
        <v>31593</v>
      </c>
      <c r="O51">
        <f t="shared" si="10"/>
        <v>43375</v>
      </c>
      <c r="P51">
        <f t="shared" si="11"/>
        <v>86016</v>
      </c>
      <c r="Q51">
        <f t="shared" si="12"/>
        <v>163885</v>
      </c>
      <c r="R51">
        <f t="shared" si="13"/>
        <v>29034</v>
      </c>
      <c r="S51">
        <f t="shared" si="14"/>
        <v>1919</v>
      </c>
      <c r="U51">
        <v>88596</v>
      </c>
      <c r="V51">
        <v>26541</v>
      </c>
      <c r="W51">
        <v>38059</v>
      </c>
      <c r="X51">
        <v>22378</v>
      </c>
      <c r="Y51">
        <v>33377</v>
      </c>
      <c r="Z51">
        <v>56329</v>
      </c>
      <c r="AA51">
        <v>297784</v>
      </c>
      <c r="AB51">
        <v>88712</v>
      </c>
      <c r="AC51">
        <v>34661</v>
      </c>
      <c r="AD51">
        <v>0</v>
      </c>
      <c r="AE51">
        <f t="shared" si="21"/>
        <v>174411</v>
      </c>
      <c r="AF51">
        <v>46731</v>
      </c>
      <c r="AG51">
        <v>33068</v>
      </c>
      <c r="AH51">
        <v>25222</v>
      </c>
      <c r="AI51">
        <f t="shared" si="22"/>
        <v>7846</v>
      </c>
      <c r="AJ51" t="s">
        <v>1163</v>
      </c>
      <c r="AK51">
        <v>1871</v>
      </c>
      <c r="AL51">
        <v>4056</v>
      </c>
      <c r="AM51">
        <v>8167</v>
      </c>
      <c r="AN51">
        <v>9530</v>
      </c>
      <c r="AO51">
        <v>4909</v>
      </c>
      <c r="AP51">
        <v>8045</v>
      </c>
      <c r="AQ51">
        <v>1117</v>
      </c>
      <c r="AR51">
        <v>667</v>
      </c>
      <c r="AS51">
        <v>723</v>
      </c>
      <c r="AT51">
        <v>3965</v>
      </c>
      <c r="AU51">
        <v>5062</v>
      </c>
      <c r="AV51">
        <v>7333</v>
      </c>
      <c r="AW51">
        <v>247</v>
      </c>
      <c r="AX51">
        <v>8954</v>
      </c>
      <c r="AY51">
        <v>3224</v>
      </c>
      <c r="AZ51">
        <v>51856</v>
      </c>
      <c r="BA51">
        <v>311</v>
      </c>
      <c r="BB51">
        <v>10215</v>
      </c>
      <c r="BD51">
        <v>37357</v>
      </c>
    </row>
    <row r="52" spans="1:56" x14ac:dyDescent="0.25">
      <c r="A52" t="s">
        <v>603</v>
      </c>
      <c r="B52" t="s">
        <v>338</v>
      </c>
      <c r="C52">
        <f t="shared" si="19"/>
        <v>50882</v>
      </c>
      <c r="D52">
        <v>58231</v>
      </c>
      <c r="E52">
        <v>7349</v>
      </c>
      <c r="F52">
        <f t="shared" si="20"/>
        <v>49203</v>
      </c>
      <c r="G52">
        <v>56552</v>
      </c>
      <c r="H52">
        <v>7349</v>
      </c>
      <c r="I52">
        <f t="shared" si="4"/>
        <v>3997</v>
      </c>
      <c r="J52">
        <f t="shared" si="5"/>
        <v>9835</v>
      </c>
      <c r="K52">
        <f t="shared" si="6"/>
        <v>11368</v>
      </c>
      <c r="L52">
        <f t="shared" si="7"/>
        <v>1202</v>
      </c>
      <c r="M52">
        <f t="shared" si="8"/>
        <v>3312</v>
      </c>
      <c r="N52">
        <f t="shared" si="9"/>
        <v>2945</v>
      </c>
      <c r="O52">
        <f t="shared" si="10"/>
        <v>5292</v>
      </c>
      <c r="P52">
        <f t="shared" si="11"/>
        <v>5109</v>
      </c>
      <c r="Q52">
        <f t="shared" si="12"/>
        <v>6266</v>
      </c>
      <c r="R52">
        <f t="shared" si="13"/>
        <v>3894</v>
      </c>
      <c r="S52">
        <f t="shared" si="14"/>
        <v>257</v>
      </c>
      <c r="U52">
        <v>16603</v>
      </c>
      <c r="V52">
        <v>1292</v>
      </c>
      <c r="W52">
        <v>3508</v>
      </c>
      <c r="X52">
        <v>3426</v>
      </c>
      <c r="Y52">
        <v>4199</v>
      </c>
      <c r="Z52">
        <v>7950</v>
      </c>
      <c r="AA52">
        <v>12516</v>
      </c>
      <c r="AB52">
        <v>4626</v>
      </c>
      <c r="AC52">
        <v>330</v>
      </c>
      <c r="AD52">
        <v>278</v>
      </c>
      <c r="AE52">
        <f t="shared" si="21"/>
        <v>7282</v>
      </c>
      <c r="AF52">
        <v>5492</v>
      </c>
      <c r="AG52">
        <v>3245</v>
      </c>
      <c r="AH52">
        <v>2391</v>
      </c>
      <c r="AI52">
        <f t="shared" si="22"/>
        <v>854</v>
      </c>
      <c r="AJ52" t="s">
        <v>1105</v>
      </c>
      <c r="AK52">
        <v>2</v>
      </c>
      <c r="AL52">
        <v>595</v>
      </c>
      <c r="AM52">
        <v>822</v>
      </c>
      <c r="AN52">
        <v>776</v>
      </c>
      <c r="AO52">
        <v>935</v>
      </c>
      <c r="AP52">
        <v>1723</v>
      </c>
      <c r="AQ52">
        <v>1157</v>
      </c>
      <c r="AR52">
        <v>97</v>
      </c>
      <c r="AS52">
        <v>1</v>
      </c>
      <c r="AT52">
        <v>113</v>
      </c>
      <c r="AU52">
        <v>706</v>
      </c>
      <c r="AV52">
        <v>439</v>
      </c>
      <c r="AW52">
        <v>2</v>
      </c>
      <c r="AX52">
        <v>88</v>
      </c>
      <c r="AY52">
        <v>285</v>
      </c>
      <c r="AZ52">
        <v>4950</v>
      </c>
      <c r="BA52">
        <v>87</v>
      </c>
      <c r="BB52">
        <v>929</v>
      </c>
      <c r="BD52">
        <v>125</v>
      </c>
    </row>
    <row r="53" spans="1:56" x14ac:dyDescent="0.25">
      <c r="A53" t="s">
        <v>601</v>
      </c>
      <c r="B53" t="s">
        <v>215</v>
      </c>
      <c r="C53">
        <f t="shared" si="19"/>
        <v>76303</v>
      </c>
      <c r="D53">
        <v>76303</v>
      </c>
      <c r="E53">
        <v>0</v>
      </c>
      <c r="F53">
        <f t="shared" si="20"/>
        <v>73923</v>
      </c>
      <c r="G53">
        <v>73923</v>
      </c>
      <c r="H53">
        <v>0</v>
      </c>
      <c r="I53">
        <f t="shared" si="4"/>
        <v>3326</v>
      </c>
      <c r="J53">
        <f t="shared" si="5"/>
        <v>19568</v>
      </c>
      <c r="K53">
        <f t="shared" si="6"/>
        <v>7753</v>
      </c>
      <c r="L53">
        <f t="shared" si="7"/>
        <v>2392</v>
      </c>
      <c r="M53">
        <f t="shared" si="8"/>
        <v>530</v>
      </c>
      <c r="N53">
        <f t="shared" si="9"/>
        <v>1733</v>
      </c>
      <c r="O53">
        <f t="shared" si="10"/>
        <v>3695</v>
      </c>
      <c r="P53">
        <f t="shared" si="11"/>
        <v>11308</v>
      </c>
      <c r="Q53">
        <f t="shared" si="12"/>
        <v>14864</v>
      </c>
      <c r="R53">
        <f t="shared" si="13"/>
        <v>6840</v>
      </c>
      <c r="S53">
        <f t="shared" si="14"/>
        <v>1100</v>
      </c>
      <c r="U53">
        <v>16498</v>
      </c>
      <c r="V53">
        <v>2930</v>
      </c>
      <c r="W53">
        <v>4474</v>
      </c>
      <c r="X53">
        <v>1027</v>
      </c>
      <c r="Y53">
        <v>2818</v>
      </c>
      <c r="Z53">
        <v>5744</v>
      </c>
      <c r="AA53">
        <v>30254</v>
      </c>
      <c r="AB53">
        <v>6837</v>
      </c>
      <c r="AC53">
        <v>4354</v>
      </c>
      <c r="AD53">
        <v>959</v>
      </c>
      <c r="AE53">
        <f t="shared" si="21"/>
        <v>18104</v>
      </c>
      <c r="AF53">
        <v>8957</v>
      </c>
      <c r="AG53">
        <v>3601</v>
      </c>
      <c r="AH53">
        <v>92</v>
      </c>
      <c r="AI53">
        <f t="shared" si="22"/>
        <v>3509</v>
      </c>
      <c r="AJ53" t="s">
        <v>1276</v>
      </c>
      <c r="AL53">
        <v>2409</v>
      </c>
      <c r="AM53">
        <v>1038</v>
      </c>
      <c r="AN53">
        <v>1079</v>
      </c>
      <c r="AO53">
        <v>485</v>
      </c>
      <c r="AP53">
        <v>1564</v>
      </c>
      <c r="AQ53">
        <v>802</v>
      </c>
      <c r="AR53">
        <v>283</v>
      </c>
      <c r="AS53">
        <v>51</v>
      </c>
      <c r="AT53">
        <v>446</v>
      </c>
      <c r="AU53">
        <v>93</v>
      </c>
      <c r="AV53">
        <v>1279</v>
      </c>
      <c r="AW53">
        <v>48</v>
      </c>
      <c r="AX53">
        <v>490</v>
      </c>
      <c r="AY53">
        <v>801</v>
      </c>
      <c r="AZ53">
        <v>7944</v>
      </c>
      <c r="BA53">
        <v>8</v>
      </c>
      <c r="BB53">
        <v>3232</v>
      </c>
      <c r="BD53">
        <v>842</v>
      </c>
    </row>
    <row r="54" spans="1:56" x14ac:dyDescent="0.25">
      <c r="A54" t="s">
        <v>601</v>
      </c>
      <c r="B54" t="s">
        <v>216</v>
      </c>
      <c r="C54">
        <f t="shared" si="19"/>
        <v>45326</v>
      </c>
      <c r="D54">
        <v>46887</v>
      </c>
      <c r="E54">
        <v>1561</v>
      </c>
      <c r="F54">
        <f t="shared" si="20"/>
        <v>56975</v>
      </c>
      <c r="G54">
        <v>56975</v>
      </c>
      <c r="H54">
        <v>0</v>
      </c>
      <c r="I54">
        <f t="shared" si="4"/>
        <v>2224</v>
      </c>
      <c r="J54">
        <f t="shared" si="5"/>
        <v>11330</v>
      </c>
      <c r="K54">
        <f t="shared" si="6"/>
        <v>4364</v>
      </c>
      <c r="L54">
        <f t="shared" si="7"/>
        <v>1142</v>
      </c>
      <c r="M54">
        <f t="shared" si="8"/>
        <v>201</v>
      </c>
      <c r="N54">
        <f t="shared" si="9"/>
        <v>1075</v>
      </c>
      <c r="O54">
        <f t="shared" si="10"/>
        <v>2309</v>
      </c>
      <c r="P54">
        <f t="shared" si="11"/>
        <v>8018</v>
      </c>
      <c r="Q54">
        <f t="shared" si="12"/>
        <v>10809</v>
      </c>
      <c r="R54">
        <f t="shared" si="13"/>
        <v>3601</v>
      </c>
      <c r="S54">
        <f t="shared" si="14"/>
        <v>515</v>
      </c>
      <c r="U54">
        <v>10980</v>
      </c>
      <c r="V54">
        <v>1580</v>
      </c>
      <c r="W54">
        <v>2113</v>
      </c>
      <c r="X54">
        <v>260</v>
      </c>
      <c r="Y54">
        <v>1545</v>
      </c>
      <c r="Z54">
        <v>3424</v>
      </c>
      <c r="AA54">
        <v>20787</v>
      </c>
      <c r="AB54">
        <v>5449</v>
      </c>
      <c r="AC54">
        <v>2219</v>
      </c>
      <c r="AD54">
        <v>786</v>
      </c>
      <c r="AE54">
        <f t="shared" si="21"/>
        <v>12333</v>
      </c>
      <c r="AF54">
        <v>4553</v>
      </c>
      <c r="AG54">
        <v>1645</v>
      </c>
      <c r="AH54">
        <v>123</v>
      </c>
      <c r="AI54">
        <f t="shared" si="22"/>
        <v>1522</v>
      </c>
      <c r="AJ54" t="s">
        <v>1006</v>
      </c>
      <c r="AK54">
        <v>0</v>
      </c>
      <c r="AL54">
        <v>1007</v>
      </c>
      <c r="AM54">
        <v>498</v>
      </c>
      <c r="AN54">
        <v>454</v>
      </c>
      <c r="AO54">
        <v>275</v>
      </c>
      <c r="AP54">
        <v>840</v>
      </c>
      <c r="AQ54">
        <v>418</v>
      </c>
      <c r="AR54">
        <v>52</v>
      </c>
      <c r="AS54">
        <v>1</v>
      </c>
      <c r="AT54">
        <v>58</v>
      </c>
      <c r="AU54">
        <v>328</v>
      </c>
      <c r="AV54">
        <v>609</v>
      </c>
      <c r="AW54">
        <v>21</v>
      </c>
      <c r="AX54">
        <v>417</v>
      </c>
      <c r="AY54">
        <v>614</v>
      </c>
      <c r="AZ54">
        <v>6002</v>
      </c>
      <c r="BA54">
        <v>69</v>
      </c>
      <c r="BB54">
        <v>1455</v>
      </c>
      <c r="BD54">
        <v>436</v>
      </c>
    </row>
    <row r="55" spans="1:56" x14ac:dyDescent="0.25">
      <c r="A55" t="s">
        <v>608</v>
      </c>
      <c r="B55" t="s">
        <v>464</v>
      </c>
      <c r="C55">
        <f t="shared" si="19"/>
        <v>100870</v>
      </c>
      <c r="D55">
        <v>101945</v>
      </c>
      <c r="E55">
        <v>1075</v>
      </c>
      <c r="F55">
        <f t="shared" si="20"/>
        <v>105356</v>
      </c>
      <c r="G55">
        <v>106431</v>
      </c>
      <c r="H55">
        <v>1075</v>
      </c>
      <c r="I55">
        <f t="shared" si="4"/>
        <v>2637</v>
      </c>
      <c r="J55">
        <f t="shared" si="5"/>
        <v>17921</v>
      </c>
      <c r="K55">
        <f t="shared" si="6"/>
        <v>7102</v>
      </c>
      <c r="L55">
        <f t="shared" si="7"/>
        <v>1796</v>
      </c>
      <c r="M55">
        <f t="shared" si="8"/>
        <v>1035</v>
      </c>
      <c r="N55">
        <f t="shared" si="9"/>
        <v>2507</v>
      </c>
      <c r="O55">
        <f t="shared" si="10"/>
        <v>4264</v>
      </c>
      <c r="P55">
        <f t="shared" si="11"/>
        <v>30355</v>
      </c>
      <c r="Q55">
        <f t="shared" si="12"/>
        <v>20591</v>
      </c>
      <c r="R55">
        <f t="shared" si="13"/>
        <v>5668</v>
      </c>
      <c r="S55">
        <f t="shared" si="14"/>
        <v>254</v>
      </c>
      <c r="U55">
        <v>17160</v>
      </c>
      <c r="V55">
        <v>2818</v>
      </c>
      <c r="W55">
        <v>3705</v>
      </c>
      <c r="X55">
        <v>1180</v>
      </c>
      <c r="Y55">
        <v>3379</v>
      </c>
      <c r="Z55">
        <v>6662</v>
      </c>
      <c r="AA55">
        <v>53476</v>
      </c>
      <c r="AB55">
        <v>15926</v>
      </c>
      <c r="AC55">
        <v>14033</v>
      </c>
      <c r="AD55">
        <v>603</v>
      </c>
      <c r="AE55">
        <f t="shared" si="21"/>
        <v>22914</v>
      </c>
      <c r="AF55">
        <v>6492</v>
      </c>
      <c r="AG55">
        <v>7073</v>
      </c>
      <c r="AH55">
        <v>5582</v>
      </c>
      <c r="AI55">
        <f t="shared" si="22"/>
        <v>1491</v>
      </c>
      <c r="AJ55" t="s">
        <v>1206</v>
      </c>
      <c r="AL55">
        <v>1237</v>
      </c>
      <c r="AN55">
        <v>824</v>
      </c>
      <c r="AO55">
        <v>346</v>
      </c>
      <c r="AP55">
        <v>2052</v>
      </c>
      <c r="AQ55">
        <v>535</v>
      </c>
      <c r="AR55">
        <v>337</v>
      </c>
      <c r="AT55">
        <v>145</v>
      </c>
      <c r="AU55">
        <v>836</v>
      </c>
      <c r="AV55">
        <v>636</v>
      </c>
      <c r="AX55">
        <v>1022</v>
      </c>
      <c r="AY55">
        <v>601</v>
      </c>
      <c r="AZ55">
        <v>9457</v>
      </c>
      <c r="BA55">
        <v>319</v>
      </c>
      <c r="BB55">
        <v>2004</v>
      </c>
      <c r="BD55">
        <v>207</v>
      </c>
    </row>
    <row r="56" spans="1:56" x14ac:dyDescent="0.25">
      <c r="A56" t="s">
        <v>606</v>
      </c>
      <c r="B56" t="s">
        <v>264</v>
      </c>
      <c r="C56">
        <f t="shared" si="19"/>
        <v>34883</v>
      </c>
      <c r="D56">
        <v>35920</v>
      </c>
      <c r="E56">
        <v>1037</v>
      </c>
      <c r="F56">
        <f t="shared" si="20"/>
        <v>34202</v>
      </c>
      <c r="G56">
        <v>35239</v>
      </c>
      <c r="H56">
        <v>1037</v>
      </c>
      <c r="I56">
        <f t="shared" si="4"/>
        <v>1335</v>
      </c>
      <c r="J56">
        <f t="shared" si="5"/>
        <v>7705</v>
      </c>
      <c r="K56">
        <f t="shared" si="6"/>
        <v>4985</v>
      </c>
      <c r="L56">
        <f t="shared" si="7"/>
        <v>1089</v>
      </c>
      <c r="M56">
        <f t="shared" si="8"/>
        <v>12</v>
      </c>
      <c r="N56">
        <f t="shared" si="9"/>
        <v>657</v>
      </c>
      <c r="O56">
        <f t="shared" si="10"/>
        <v>2117</v>
      </c>
      <c r="P56">
        <f t="shared" si="11"/>
        <v>3724</v>
      </c>
      <c r="Q56">
        <f t="shared" si="12"/>
        <v>5126</v>
      </c>
      <c r="R56">
        <f t="shared" si="13"/>
        <v>2341</v>
      </c>
      <c r="S56">
        <f t="shared" si="14"/>
        <v>343</v>
      </c>
      <c r="U56">
        <v>9530</v>
      </c>
      <c r="V56">
        <v>1389</v>
      </c>
      <c r="W56">
        <v>2216</v>
      </c>
      <c r="X56">
        <v>32</v>
      </c>
      <c r="Y56">
        <v>1031</v>
      </c>
      <c r="Z56">
        <v>2683</v>
      </c>
      <c r="AA56">
        <v>9995</v>
      </c>
      <c r="AB56">
        <v>3133</v>
      </c>
      <c r="AC56">
        <v>525</v>
      </c>
      <c r="AD56">
        <v>138</v>
      </c>
      <c r="AE56">
        <f t="shared" si="21"/>
        <v>6199</v>
      </c>
      <c r="AF56">
        <v>2743</v>
      </c>
      <c r="AG56">
        <v>6301</v>
      </c>
      <c r="AH56">
        <v>4913</v>
      </c>
      <c r="AI56">
        <f t="shared" si="22"/>
        <v>1388</v>
      </c>
      <c r="AJ56" t="s">
        <v>1045</v>
      </c>
      <c r="AK56">
        <v>35</v>
      </c>
      <c r="AL56">
        <v>1010</v>
      </c>
      <c r="AM56">
        <v>178</v>
      </c>
      <c r="AN56">
        <v>224</v>
      </c>
      <c r="AO56">
        <v>201</v>
      </c>
      <c r="AP56">
        <v>365</v>
      </c>
      <c r="AQ56">
        <v>307</v>
      </c>
      <c r="AR56">
        <v>67</v>
      </c>
      <c r="AS56">
        <v>1</v>
      </c>
      <c r="AT56">
        <v>19</v>
      </c>
      <c r="AU56">
        <v>314</v>
      </c>
      <c r="AV56">
        <v>329</v>
      </c>
      <c r="AW56">
        <v>44</v>
      </c>
      <c r="AX56">
        <v>256</v>
      </c>
      <c r="AY56">
        <v>194</v>
      </c>
      <c r="AZ56">
        <v>4351</v>
      </c>
      <c r="BA56">
        <v>61</v>
      </c>
      <c r="BB56">
        <v>1012</v>
      </c>
      <c r="BD56">
        <v>72</v>
      </c>
    </row>
    <row r="57" spans="1:56" x14ac:dyDescent="0.25">
      <c r="A57" t="s">
        <v>606</v>
      </c>
      <c r="B57" t="s">
        <v>265</v>
      </c>
      <c r="C57">
        <f t="shared" si="19"/>
        <v>47062</v>
      </c>
      <c r="D57">
        <v>49418</v>
      </c>
      <c r="E57">
        <v>2356</v>
      </c>
      <c r="F57">
        <f t="shared" si="20"/>
        <v>41896</v>
      </c>
      <c r="G57">
        <v>44252</v>
      </c>
      <c r="H57">
        <v>2356</v>
      </c>
      <c r="I57">
        <f t="shared" si="4"/>
        <v>1649</v>
      </c>
      <c r="J57">
        <f t="shared" si="5"/>
        <v>8155</v>
      </c>
      <c r="K57">
        <f t="shared" si="6"/>
        <v>4246</v>
      </c>
      <c r="L57">
        <f t="shared" si="7"/>
        <v>1213</v>
      </c>
      <c r="M57">
        <f t="shared" si="8"/>
        <v>3576</v>
      </c>
      <c r="N57">
        <f t="shared" si="9"/>
        <v>1701</v>
      </c>
      <c r="O57">
        <f t="shared" si="10"/>
        <v>3519</v>
      </c>
      <c r="P57">
        <f t="shared" si="11"/>
        <v>4509</v>
      </c>
      <c r="Q57">
        <f t="shared" si="12"/>
        <v>8003</v>
      </c>
      <c r="R57">
        <f t="shared" si="13"/>
        <v>4292</v>
      </c>
      <c r="S57">
        <f t="shared" si="14"/>
        <v>241</v>
      </c>
      <c r="U57">
        <v>8458</v>
      </c>
      <c r="V57">
        <v>1610</v>
      </c>
      <c r="W57">
        <v>2935</v>
      </c>
      <c r="X57">
        <v>3739</v>
      </c>
      <c r="Y57">
        <v>2029</v>
      </c>
      <c r="Z57">
        <v>4605</v>
      </c>
      <c r="AA57">
        <v>13107</v>
      </c>
      <c r="AB57">
        <v>3266</v>
      </c>
      <c r="AC57">
        <v>1074</v>
      </c>
      <c r="AD57">
        <v>169</v>
      </c>
      <c r="AE57">
        <f t="shared" si="21"/>
        <v>8598</v>
      </c>
      <c r="AF57">
        <v>5433</v>
      </c>
      <c r="AG57">
        <v>7502</v>
      </c>
      <c r="AH57">
        <v>6359</v>
      </c>
      <c r="AI57">
        <f t="shared" si="22"/>
        <v>1143</v>
      </c>
      <c r="AJ57" t="s">
        <v>1046</v>
      </c>
      <c r="AK57">
        <v>30</v>
      </c>
      <c r="AL57">
        <v>872</v>
      </c>
      <c r="AM57">
        <v>491</v>
      </c>
      <c r="AN57">
        <v>650</v>
      </c>
      <c r="AO57">
        <v>232</v>
      </c>
      <c r="AP57">
        <v>854</v>
      </c>
      <c r="AQ57">
        <v>175</v>
      </c>
      <c r="AR57">
        <v>153</v>
      </c>
      <c r="AS57">
        <v>5</v>
      </c>
      <c r="AT57">
        <v>158</v>
      </c>
      <c r="AU57">
        <v>350</v>
      </c>
      <c r="AV57">
        <v>630</v>
      </c>
      <c r="AW57">
        <v>47</v>
      </c>
      <c r="AX57">
        <v>350</v>
      </c>
      <c r="AY57">
        <v>319</v>
      </c>
      <c r="AZ57">
        <v>3893</v>
      </c>
      <c r="BB57">
        <v>595</v>
      </c>
    </row>
    <row r="58" spans="1:56" x14ac:dyDescent="0.25">
      <c r="A58" t="s">
        <v>601</v>
      </c>
      <c r="B58" t="s">
        <v>217</v>
      </c>
      <c r="C58">
        <f t="shared" si="19"/>
        <v>55245</v>
      </c>
      <c r="D58">
        <v>56512</v>
      </c>
      <c r="E58">
        <v>1267</v>
      </c>
      <c r="F58">
        <f t="shared" si="20"/>
        <v>50207</v>
      </c>
      <c r="G58">
        <v>51474</v>
      </c>
      <c r="H58">
        <v>1267</v>
      </c>
      <c r="I58">
        <f t="shared" si="4"/>
        <v>1698</v>
      </c>
      <c r="J58">
        <f t="shared" si="5"/>
        <v>11911</v>
      </c>
      <c r="K58">
        <f t="shared" si="6"/>
        <v>6575</v>
      </c>
      <c r="L58">
        <f t="shared" si="7"/>
        <v>2145</v>
      </c>
      <c r="M58">
        <f t="shared" si="8"/>
        <v>1085</v>
      </c>
      <c r="N58">
        <f t="shared" si="9"/>
        <v>1243</v>
      </c>
      <c r="O58">
        <f t="shared" si="10"/>
        <v>2189</v>
      </c>
      <c r="P58">
        <f t="shared" si="11"/>
        <v>6599</v>
      </c>
      <c r="Q58">
        <f t="shared" si="12"/>
        <v>9685</v>
      </c>
      <c r="R58">
        <f t="shared" si="13"/>
        <v>4904</v>
      </c>
      <c r="S58">
        <f t="shared" si="14"/>
        <v>2820</v>
      </c>
      <c r="U58">
        <v>14505</v>
      </c>
      <c r="V58">
        <v>2323</v>
      </c>
      <c r="W58">
        <v>5007</v>
      </c>
      <c r="X58">
        <v>1262</v>
      </c>
      <c r="Y58">
        <v>1770</v>
      </c>
      <c r="Z58">
        <v>2510</v>
      </c>
      <c r="AA58">
        <v>18500</v>
      </c>
      <c r="AB58">
        <v>5004</v>
      </c>
      <c r="AC58">
        <v>2082</v>
      </c>
      <c r="AD58">
        <v>461</v>
      </c>
      <c r="AE58">
        <f t="shared" si="21"/>
        <v>10953</v>
      </c>
      <c r="AF58">
        <v>5870</v>
      </c>
      <c r="AG58">
        <v>4765</v>
      </c>
      <c r="AH58">
        <v>1168</v>
      </c>
      <c r="AI58">
        <f t="shared" si="22"/>
        <v>3597</v>
      </c>
      <c r="AJ58" t="s">
        <v>1007</v>
      </c>
      <c r="AK58">
        <v>0</v>
      </c>
      <c r="AL58">
        <v>777</v>
      </c>
      <c r="AM58">
        <v>694</v>
      </c>
      <c r="AN58">
        <v>272</v>
      </c>
      <c r="AO58">
        <v>51</v>
      </c>
      <c r="AP58">
        <v>270</v>
      </c>
      <c r="AQ58">
        <v>409</v>
      </c>
      <c r="AR58">
        <v>118</v>
      </c>
      <c r="AT58">
        <v>177</v>
      </c>
      <c r="AU58">
        <v>21</v>
      </c>
      <c r="AV58">
        <v>496</v>
      </c>
      <c r="AX58">
        <v>178</v>
      </c>
      <c r="AY58">
        <v>521</v>
      </c>
      <c r="AZ58">
        <v>7409</v>
      </c>
      <c r="BA58">
        <v>2</v>
      </c>
      <c r="BB58">
        <v>1266</v>
      </c>
      <c r="BD58">
        <v>948</v>
      </c>
    </row>
    <row r="59" spans="1:56" x14ac:dyDescent="0.25">
      <c r="A59" t="s">
        <v>603</v>
      </c>
      <c r="B59" t="s">
        <v>339</v>
      </c>
      <c r="C59">
        <f t="shared" si="19"/>
        <v>214947</v>
      </c>
      <c r="D59">
        <v>217574</v>
      </c>
      <c r="E59">
        <v>2627</v>
      </c>
      <c r="F59">
        <f t="shared" si="20"/>
        <v>218584</v>
      </c>
      <c r="G59">
        <v>221211</v>
      </c>
      <c r="H59">
        <v>2627</v>
      </c>
      <c r="I59">
        <f t="shared" si="4"/>
        <v>6776</v>
      </c>
      <c r="J59">
        <f t="shared" si="5"/>
        <v>31882</v>
      </c>
      <c r="K59">
        <f t="shared" si="6"/>
        <v>15878</v>
      </c>
      <c r="L59">
        <f t="shared" si="7"/>
        <v>5094</v>
      </c>
      <c r="M59">
        <f t="shared" si="8"/>
        <v>1250</v>
      </c>
      <c r="N59">
        <f t="shared" si="9"/>
        <v>5837</v>
      </c>
      <c r="O59">
        <f t="shared" si="10"/>
        <v>13438</v>
      </c>
      <c r="P59">
        <f t="shared" si="11"/>
        <v>56608</v>
      </c>
      <c r="Q59">
        <f t="shared" si="12"/>
        <v>41358</v>
      </c>
      <c r="R59">
        <f t="shared" si="13"/>
        <v>12143</v>
      </c>
      <c r="S59">
        <f t="shared" si="14"/>
        <v>2676</v>
      </c>
      <c r="U59">
        <v>32363</v>
      </c>
      <c r="V59">
        <v>7195</v>
      </c>
      <c r="W59">
        <v>7353</v>
      </c>
      <c r="X59">
        <v>1891</v>
      </c>
      <c r="Y59">
        <v>8198</v>
      </c>
      <c r="Z59">
        <v>17297</v>
      </c>
      <c r="AA59">
        <v>102443</v>
      </c>
      <c r="AB59">
        <v>46189</v>
      </c>
      <c r="AC59">
        <v>7076</v>
      </c>
      <c r="AD59">
        <v>3833</v>
      </c>
      <c r="AE59">
        <f t="shared" si="21"/>
        <v>45345</v>
      </c>
      <c r="AF59">
        <v>15650</v>
      </c>
      <c r="AG59">
        <v>25184</v>
      </c>
      <c r="AH59">
        <v>19699</v>
      </c>
      <c r="AI59">
        <f t="shared" si="22"/>
        <v>5485</v>
      </c>
      <c r="AJ59" t="s">
        <v>1106</v>
      </c>
      <c r="AK59">
        <v>280</v>
      </c>
      <c r="AL59">
        <v>2529</v>
      </c>
      <c r="AM59">
        <v>1372</v>
      </c>
      <c r="AN59">
        <v>2135</v>
      </c>
      <c r="AO59">
        <v>1383</v>
      </c>
      <c r="AP59">
        <v>2476</v>
      </c>
      <c r="AQ59">
        <v>1687</v>
      </c>
      <c r="AR59">
        <v>674</v>
      </c>
      <c r="AS59">
        <v>91</v>
      </c>
      <c r="AT59">
        <v>550</v>
      </c>
      <c r="AU59">
        <v>987</v>
      </c>
      <c r="AV59">
        <v>1431</v>
      </c>
      <c r="AW59">
        <v>89</v>
      </c>
      <c r="AX59">
        <v>2012</v>
      </c>
      <c r="AY59">
        <v>428</v>
      </c>
      <c r="AZ59">
        <v>16057</v>
      </c>
      <c r="BA59">
        <v>459</v>
      </c>
      <c r="BB59">
        <v>3528</v>
      </c>
      <c r="BD59">
        <v>490</v>
      </c>
    </row>
    <row r="60" spans="1:56" x14ac:dyDescent="0.25">
      <c r="A60" t="s">
        <v>600</v>
      </c>
      <c r="B60" t="s">
        <v>295</v>
      </c>
      <c r="C60">
        <f t="shared" si="19"/>
        <v>69476</v>
      </c>
      <c r="D60">
        <v>72730</v>
      </c>
      <c r="E60">
        <v>3254</v>
      </c>
      <c r="F60">
        <f t="shared" si="20"/>
        <v>61640</v>
      </c>
      <c r="G60">
        <v>64894</v>
      </c>
      <c r="H60">
        <v>3254</v>
      </c>
      <c r="I60">
        <f t="shared" si="4"/>
        <v>3858</v>
      </c>
      <c r="J60">
        <f t="shared" si="5"/>
        <v>1351</v>
      </c>
      <c r="K60">
        <f t="shared" si="6"/>
        <v>17819</v>
      </c>
      <c r="L60">
        <f t="shared" si="7"/>
        <v>2613</v>
      </c>
      <c r="M60">
        <f t="shared" si="8"/>
        <v>350</v>
      </c>
      <c r="N60">
        <f t="shared" si="9"/>
        <v>2233</v>
      </c>
      <c r="O60">
        <f t="shared" si="10"/>
        <v>6835</v>
      </c>
      <c r="P60">
        <f t="shared" si="11"/>
        <v>8165</v>
      </c>
      <c r="Q60">
        <f t="shared" si="12"/>
        <v>13848</v>
      </c>
      <c r="R60">
        <f t="shared" si="13"/>
        <v>6757</v>
      </c>
      <c r="S60">
        <f t="shared" si="14"/>
        <v>2587</v>
      </c>
      <c r="U60">
        <v>19504</v>
      </c>
      <c r="V60">
        <v>2676</v>
      </c>
      <c r="W60">
        <v>5912</v>
      </c>
      <c r="X60">
        <v>350</v>
      </c>
      <c r="Y60">
        <v>3117</v>
      </c>
      <c r="Z60">
        <v>7336</v>
      </c>
      <c r="AA60">
        <v>22064</v>
      </c>
      <c r="AB60">
        <v>7014</v>
      </c>
      <c r="AC60">
        <v>734</v>
      </c>
      <c r="AD60">
        <v>434</v>
      </c>
      <c r="AE60">
        <f t="shared" si="21"/>
        <v>13882</v>
      </c>
      <c r="AF60">
        <v>7859</v>
      </c>
      <c r="AG60">
        <v>3912</v>
      </c>
      <c r="AH60">
        <v>1325</v>
      </c>
      <c r="AI60">
        <f t="shared" si="22"/>
        <v>2587</v>
      </c>
      <c r="AJ60" t="s">
        <v>1071</v>
      </c>
      <c r="AM60">
        <v>1102</v>
      </c>
      <c r="AO60">
        <v>501</v>
      </c>
      <c r="AQ60">
        <v>884</v>
      </c>
      <c r="AU60">
        <v>923</v>
      </c>
      <c r="AW60">
        <v>63</v>
      </c>
      <c r="AY60">
        <v>334</v>
      </c>
      <c r="AZ60">
        <v>1351</v>
      </c>
      <c r="BA60">
        <v>34</v>
      </c>
      <c r="BC60">
        <v>17</v>
      </c>
    </row>
    <row r="61" spans="1:56" x14ac:dyDescent="0.25">
      <c r="A61" t="s">
        <v>598</v>
      </c>
      <c r="B61" t="s">
        <v>132</v>
      </c>
      <c r="C61">
        <f t="shared" ref="C61:C92" si="23">SUM(D61,-E61)</f>
        <v>109511</v>
      </c>
      <c r="D61">
        <v>114600</v>
      </c>
      <c r="E61">
        <v>5089</v>
      </c>
      <c r="F61">
        <f t="shared" ref="F61:F92" si="24">SUM(G61,-H61)</f>
        <v>102140</v>
      </c>
      <c r="G61">
        <v>107229</v>
      </c>
      <c r="H61">
        <v>5089</v>
      </c>
      <c r="I61">
        <f t="shared" si="4"/>
        <v>8270</v>
      </c>
      <c r="J61">
        <f t="shared" si="5"/>
        <v>16676</v>
      </c>
      <c r="K61">
        <f t="shared" si="6"/>
        <v>16043</v>
      </c>
      <c r="L61">
        <f t="shared" si="7"/>
        <v>2161</v>
      </c>
      <c r="M61">
        <f t="shared" si="8"/>
        <v>3046</v>
      </c>
      <c r="N61">
        <f t="shared" si="9"/>
        <v>1384</v>
      </c>
      <c r="O61">
        <f t="shared" si="10"/>
        <v>1046</v>
      </c>
      <c r="P61">
        <f t="shared" si="11"/>
        <v>24250</v>
      </c>
      <c r="Q61">
        <f t="shared" si="12"/>
        <v>19004</v>
      </c>
      <c r="R61">
        <f t="shared" si="13"/>
        <v>7505</v>
      </c>
      <c r="S61">
        <f t="shared" si="14"/>
        <v>5804</v>
      </c>
      <c r="U61">
        <v>28230</v>
      </c>
      <c r="V61">
        <v>2161</v>
      </c>
      <c r="W61">
        <v>6381</v>
      </c>
      <c r="X61">
        <v>4517</v>
      </c>
      <c r="Y61">
        <v>1384</v>
      </c>
      <c r="Z61">
        <v>5461</v>
      </c>
      <c r="AA61">
        <v>43254</v>
      </c>
      <c r="AB61">
        <v>16061</v>
      </c>
      <c r="AC61">
        <v>6785</v>
      </c>
      <c r="AD61">
        <v>1404</v>
      </c>
      <c r="AE61">
        <f t="shared" ref="AE61:AE92" si="25">SUM(AA61,-AB61,-AC61,-AD61)</f>
        <v>19004</v>
      </c>
      <c r="AF61">
        <v>9718</v>
      </c>
      <c r="AG61">
        <v>13494</v>
      </c>
      <c r="AH61">
        <v>4119</v>
      </c>
      <c r="AI61">
        <f t="shared" ref="AI61:AI92" si="26">SUM(AG61,-AH61)</f>
        <v>9375</v>
      </c>
      <c r="AJ61" t="s">
        <v>977</v>
      </c>
      <c r="AK61">
        <v>1924</v>
      </c>
      <c r="AL61">
        <v>1647</v>
      </c>
      <c r="AM61">
        <v>767</v>
      </c>
      <c r="AN61">
        <v>1446</v>
      </c>
      <c r="AO61">
        <v>4</v>
      </c>
      <c r="AP61">
        <v>4411</v>
      </c>
      <c r="AT61">
        <v>1471</v>
      </c>
      <c r="AU61">
        <v>1089</v>
      </c>
      <c r="AY61">
        <v>4486</v>
      </c>
      <c r="AZ61">
        <v>7701</v>
      </c>
    </row>
    <row r="62" spans="1:56" x14ac:dyDescent="0.25">
      <c r="A62" t="s">
        <v>599</v>
      </c>
      <c r="B62" t="s">
        <v>415</v>
      </c>
      <c r="C62">
        <f t="shared" si="23"/>
        <v>61389</v>
      </c>
      <c r="D62">
        <v>62775</v>
      </c>
      <c r="E62">
        <v>1386</v>
      </c>
      <c r="F62">
        <f t="shared" si="24"/>
        <v>58021</v>
      </c>
      <c r="G62">
        <v>59407</v>
      </c>
      <c r="H62">
        <v>1386</v>
      </c>
      <c r="I62">
        <f t="shared" si="4"/>
        <v>3514</v>
      </c>
      <c r="J62">
        <f t="shared" si="5"/>
        <v>7372</v>
      </c>
      <c r="K62">
        <f t="shared" si="6"/>
        <v>16492</v>
      </c>
      <c r="L62">
        <f t="shared" si="7"/>
        <v>1667</v>
      </c>
      <c r="M62">
        <f t="shared" si="8"/>
        <v>1049</v>
      </c>
      <c r="N62">
        <f t="shared" si="9"/>
        <v>1252</v>
      </c>
      <c r="O62">
        <f t="shared" si="10"/>
        <v>4169</v>
      </c>
      <c r="P62">
        <f t="shared" si="11"/>
        <v>7682</v>
      </c>
      <c r="Q62">
        <f t="shared" si="12"/>
        <v>11855</v>
      </c>
      <c r="R62">
        <f t="shared" si="13"/>
        <v>3949</v>
      </c>
      <c r="S62">
        <f t="shared" si="14"/>
        <v>1592</v>
      </c>
      <c r="U62">
        <v>25980</v>
      </c>
      <c r="V62">
        <v>1696</v>
      </c>
      <c r="W62">
        <v>2514</v>
      </c>
      <c r="X62">
        <v>1049</v>
      </c>
      <c r="Y62">
        <v>1491</v>
      </c>
      <c r="Z62">
        <v>4432</v>
      </c>
      <c r="AA62">
        <v>19541</v>
      </c>
      <c r="AB62">
        <v>5791</v>
      </c>
      <c r="AC62">
        <v>1891</v>
      </c>
      <c r="AD62">
        <v>0</v>
      </c>
      <c r="AE62">
        <f t="shared" si="25"/>
        <v>11859</v>
      </c>
      <c r="AF62">
        <v>4380</v>
      </c>
      <c r="AG62">
        <v>1692</v>
      </c>
      <c r="AH62">
        <v>73</v>
      </c>
      <c r="AI62">
        <f t="shared" si="26"/>
        <v>1619</v>
      </c>
      <c r="AJ62" t="s">
        <v>1253</v>
      </c>
      <c r="AK62">
        <v>27</v>
      </c>
      <c r="AM62">
        <v>431</v>
      </c>
      <c r="AO62">
        <v>263</v>
      </c>
      <c r="AQ62">
        <v>239</v>
      </c>
      <c r="AU62">
        <v>405</v>
      </c>
      <c r="AW62">
        <v>29</v>
      </c>
      <c r="AY62">
        <v>2116</v>
      </c>
      <c r="AZ62">
        <v>7372</v>
      </c>
      <c r="BA62">
        <v>4</v>
      </c>
    </row>
    <row r="63" spans="1:56" x14ac:dyDescent="0.25">
      <c r="A63" t="s">
        <v>599</v>
      </c>
      <c r="B63" t="s">
        <v>416</v>
      </c>
      <c r="C63">
        <f t="shared" si="23"/>
        <v>73617</v>
      </c>
      <c r="D63">
        <v>73981</v>
      </c>
      <c r="E63">
        <v>364</v>
      </c>
      <c r="F63">
        <f t="shared" si="24"/>
        <v>69890</v>
      </c>
      <c r="G63">
        <v>70254</v>
      </c>
      <c r="H63">
        <v>364</v>
      </c>
      <c r="I63">
        <f t="shared" si="4"/>
        <v>4102</v>
      </c>
      <c r="J63">
        <f t="shared" si="5"/>
        <v>943</v>
      </c>
      <c r="K63">
        <f t="shared" si="6"/>
        <v>5477</v>
      </c>
      <c r="L63">
        <f t="shared" si="7"/>
        <v>1720</v>
      </c>
      <c r="M63">
        <f t="shared" si="8"/>
        <v>2688</v>
      </c>
      <c r="N63">
        <f t="shared" si="9"/>
        <v>1790</v>
      </c>
      <c r="O63">
        <f t="shared" si="10"/>
        <v>5131</v>
      </c>
      <c r="P63">
        <f t="shared" si="11"/>
        <v>14322</v>
      </c>
      <c r="Q63">
        <f t="shared" si="12"/>
        <v>15291</v>
      </c>
      <c r="R63">
        <f t="shared" si="13"/>
        <v>4767</v>
      </c>
      <c r="S63">
        <f t="shared" si="14"/>
        <v>1768</v>
      </c>
      <c r="U63">
        <v>6782</v>
      </c>
      <c r="V63">
        <v>1796</v>
      </c>
      <c r="W63">
        <v>3597</v>
      </c>
      <c r="X63">
        <v>3011</v>
      </c>
      <c r="Y63">
        <v>2351</v>
      </c>
      <c r="Z63">
        <v>6186</v>
      </c>
      <c r="AA63">
        <v>29786</v>
      </c>
      <c r="AB63">
        <v>8163</v>
      </c>
      <c r="AC63">
        <v>4962</v>
      </c>
      <c r="AD63">
        <v>1197</v>
      </c>
      <c r="AE63">
        <f t="shared" si="25"/>
        <v>15464</v>
      </c>
      <c r="AF63">
        <v>5378</v>
      </c>
      <c r="AG63">
        <v>15094</v>
      </c>
      <c r="AH63">
        <v>13170</v>
      </c>
      <c r="AI63">
        <f t="shared" si="26"/>
        <v>1924</v>
      </c>
      <c r="AJ63" t="s">
        <v>1243</v>
      </c>
      <c r="AK63">
        <v>156</v>
      </c>
      <c r="AM63">
        <v>611</v>
      </c>
      <c r="AO63">
        <v>1055</v>
      </c>
      <c r="AQ63">
        <v>561</v>
      </c>
      <c r="AS63">
        <v>323</v>
      </c>
      <c r="AU63">
        <v>785</v>
      </c>
      <c r="AW63">
        <v>76</v>
      </c>
      <c r="AY63">
        <v>362</v>
      </c>
      <c r="AZ63">
        <v>943</v>
      </c>
      <c r="BA63">
        <v>173</v>
      </c>
    </row>
    <row r="64" spans="1:56" x14ac:dyDescent="0.25">
      <c r="A64" t="s">
        <v>601</v>
      </c>
      <c r="B64" t="s">
        <v>218</v>
      </c>
      <c r="C64">
        <f t="shared" si="23"/>
        <v>76314</v>
      </c>
      <c r="D64">
        <v>76706</v>
      </c>
      <c r="E64">
        <v>392</v>
      </c>
      <c r="F64">
        <f t="shared" si="24"/>
        <v>72580</v>
      </c>
      <c r="G64">
        <v>72972</v>
      </c>
      <c r="H64">
        <v>392</v>
      </c>
      <c r="I64">
        <f t="shared" si="4"/>
        <v>4127</v>
      </c>
      <c r="J64">
        <f t="shared" si="5"/>
        <v>11145</v>
      </c>
      <c r="K64">
        <f t="shared" si="6"/>
        <v>10625</v>
      </c>
      <c r="L64">
        <f t="shared" si="7"/>
        <v>2307</v>
      </c>
      <c r="M64">
        <f t="shared" si="8"/>
        <v>1412</v>
      </c>
      <c r="N64">
        <f t="shared" si="9"/>
        <v>2384</v>
      </c>
      <c r="O64">
        <f t="shared" si="10"/>
        <v>4241</v>
      </c>
      <c r="P64">
        <f t="shared" si="11"/>
        <v>15260</v>
      </c>
      <c r="Q64">
        <f t="shared" si="12"/>
        <v>12790</v>
      </c>
      <c r="R64">
        <f t="shared" si="13"/>
        <v>3865</v>
      </c>
      <c r="S64">
        <f t="shared" si="14"/>
        <v>1381</v>
      </c>
      <c r="U64">
        <v>14499</v>
      </c>
      <c r="V64">
        <v>2821</v>
      </c>
      <c r="W64">
        <v>3146</v>
      </c>
      <c r="X64">
        <v>1494</v>
      </c>
      <c r="Y64">
        <v>3727</v>
      </c>
      <c r="Z64">
        <v>7233</v>
      </c>
      <c r="AA64">
        <v>30972</v>
      </c>
      <c r="AB64">
        <v>9675</v>
      </c>
      <c r="AC64">
        <v>3432</v>
      </c>
      <c r="AD64">
        <v>2750</v>
      </c>
      <c r="AE64">
        <f t="shared" si="25"/>
        <v>15115</v>
      </c>
      <c r="AF64">
        <v>5325</v>
      </c>
      <c r="AG64">
        <v>7489</v>
      </c>
      <c r="AH64">
        <v>5427</v>
      </c>
      <c r="AI64">
        <f t="shared" si="26"/>
        <v>2062</v>
      </c>
      <c r="AJ64" t="s">
        <v>1008</v>
      </c>
      <c r="AK64">
        <v>60</v>
      </c>
      <c r="AL64">
        <v>621</v>
      </c>
      <c r="AM64">
        <v>714</v>
      </c>
      <c r="AN64">
        <v>746</v>
      </c>
      <c r="AO64">
        <v>1149</v>
      </c>
      <c r="AP64">
        <v>1843</v>
      </c>
      <c r="AQ64">
        <v>1072</v>
      </c>
      <c r="AR64">
        <v>271</v>
      </c>
      <c r="AT64">
        <v>82</v>
      </c>
      <c r="AU64">
        <v>534</v>
      </c>
      <c r="AV64">
        <v>870</v>
      </c>
      <c r="AX64">
        <v>514</v>
      </c>
      <c r="AY64">
        <v>524</v>
      </c>
      <c r="AZ64">
        <v>3350</v>
      </c>
      <c r="BA64">
        <v>74</v>
      </c>
      <c r="BB64">
        <v>2251</v>
      </c>
      <c r="BD64">
        <v>597</v>
      </c>
    </row>
    <row r="65" spans="1:56" x14ac:dyDescent="0.25">
      <c r="A65" t="s">
        <v>604</v>
      </c>
      <c r="B65" t="s">
        <v>187</v>
      </c>
      <c r="C65">
        <f t="shared" si="23"/>
        <v>61445</v>
      </c>
      <c r="D65">
        <v>61465</v>
      </c>
      <c r="E65">
        <v>20</v>
      </c>
      <c r="F65">
        <f t="shared" si="24"/>
        <v>61718</v>
      </c>
      <c r="G65">
        <v>61738</v>
      </c>
      <c r="H65">
        <v>20</v>
      </c>
      <c r="I65">
        <f t="shared" si="4"/>
        <v>2225</v>
      </c>
      <c r="J65">
        <f t="shared" si="5"/>
        <v>16792</v>
      </c>
      <c r="K65">
        <f t="shared" si="6"/>
        <v>4054</v>
      </c>
      <c r="L65">
        <f t="shared" si="7"/>
        <v>2008</v>
      </c>
      <c r="M65">
        <f t="shared" si="8"/>
        <v>932</v>
      </c>
      <c r="N65">
        <f t="shared" si="9"/>
        <v>1138</v>
      </c>
      <c r="O65">
        <f t="shared" si="10"/>
        <v>4210</v>
      </c>
      <c r="P65">
        <f t="shared" si="11"/>
        <v>5847</v>
      </c>
      <c r="Q65">
        <f t="shared" si="12"/>
        <v>11153</v>
      </c>
      <c r="R65">
        <f t="shared" si="13"/>
        <v>5051</v>
      </c>
      <c r="S65">
        <f t="shared" si="14"/>
        <v>648</v>
      </c>
      <c r="U65">
        <v>11317</v>
      </c>
      <c r="V65">
        <v>2222</v>
      </c>
      <c r="W65">
        <v>3061</v>
      </c>
      <c r="X65">
        <v>1081</v>
      </c>
      <c r="Y65">
        <v>1907</v>
      </c>
      <c r="Z65">
        <v>5627</v>
      </c>
      <c r="AA65">
        <v>22743</v>
      </c>
      <c r="AB65">
        <v>5062</v>
      </c>
      <c r="AC65">
        <v>4347</v>
      </c>
      <c r="AD65">
        <v>849</v>
      </c>
      <c r="AE65">
        <f t="shared" si="25"/>
        <v>12485</v>
      </c>
      <c r="AF65">
        <v>5830</v>
      </c>
      <c r="AG65">
        <v>7677</v>
      </c>
      <c r="AH65">
        <v>5592</v>
      </c>
      <c r="AI65">
        <f t="shared" si="26"/>
        <v>2085</v>
      </c>
      <c r="AJ65" t="s">
        <v>983</v>
      </c>
      <c r="AK65">
        <v>0</v>
      </c>
      <c r="AL65">
        <v>1437</v>
      </c>
      <c r="AM65">
        <v>23</v>
      </c>
      <c r="AN65">
        <v>756</v>
      </c>
      <c r="AO65">
        <v>962</v>
      </c>
      <c r="AP65">
        <v>455</v>
      </c>
      <c r="AQ65">
        <v>477</v>
      </c>
      <c r="AR65">
        <v>292</v>
      </c>
      <c r="AS65">
        <v>9</v>
      </c>
      <c r="AT65">
        <v>140</v>
      </c>
      <c r="AU65">
        <v>234</v>
      </c>
      <c r="AV65">
        <v>1012</v>
      </c>
      <c r="AW65">
        <v>49</v>
      </c>
      <c r="AX65">
        <v>165</v>
      </c>
      <c r="AY65">
        <v>466</v>
      </c>
      <c r="AZ65">
        <v>6797</v>
      </c>
      <c r="BA65">
        <v>5</v>
      </c>
      <c r="BB65">
        <v>1327</v>
      </c>
      <c r="BD65">
        <v>4411</v>
      </c>
    </row>
    <row r="66" spans="1:56" x14ac:dyDescent="0.25">
      <c r="A66" t="s">
        <v>602</v>
      </c>
      <c r="B66" t="s">
        <v>167</v>
      </c>
      <c r="C66">
        <f t="shared" si="23"/>
        <v>52552</v>
      </c>
      <c r="D66">
        <v>53770</v>
      </c>
      <c r="E66">
        <v>1218</v>
      </c>
      <c r="F66">
        <f t="shared" si="24"/>
        <v>50794</v>
      </c>
      <c r="G66">
        <v>52012</v>
      </c>
      <c r="H66">
        <v>1218</v>
      </c>
      <c r="I66">
        <f t="shared" si="4"/>
        <v>1716</v>
      </c>
      <c r="J66">
        <f t="shared" si="5"/>
        <v>822</v>
      </c>
      <c r="K66">
        <f t="shared" si="6"/>
        <v>10977</v>
      </c>
      <c r="L66">
        <f t="shared" si="7"/>
        <v>1396</v>
      </c>
      <c r="M66">
        <f t="shared" si="8"/>
        <v>403</v>
      </c>
      <c r="N66">
        <f t="shared" si="9"/>
        <v>2173</v>
      </c>
      <c r="O66">
        <f t="shared" si="10"/>
        <v>2227</v>
      </c>
      <c r="P66">
        <f t="shared" si="11"/>
        <v>15178</v>
      </c>
      <c r="Q66">
        <f t="shared" si="12"/>
        <v>11241</v>
      </c>
      <c r="R66">
        <f t="shared" si="13"/>
        <v>4267</v>
      </c>
      <c r="S66">
        <f t="shared" si="14"/>
        <v>771</v>
      </c>
      <c r="U66">
        <v>12077</v>
      </c>
      <c r="V66">
        <v>1406</v>
      </c>
      <c r="W66">
        <v>2704</v>
      </c>
      <c r="X66">
        <v>403</v>
      </c>
      <c r="Y66">
        <v>2903</v>
      </c>
      <c r="Z66">
        <v>2276</v>
      </c>
      <c r="AA66">
        <v>26494</v>
      </c>
      <c r="AB66">
        <v>8842</v>
      </c>
      <c r="AC66">
        <v>5782</v>
      </c>
      <c r="AD66">
        <v>591</v>
      </c>
      <c r="AE66">
        <f t="shared" si="25"/>
        <v>11279</v>
      </c>
      <c r="AF66">
        <v>4537</v>
      </c>
      <c r="AG66">
        <v>970</v>
      </c>
      <c r="AH66">
        <v>199</v>
      </c>
      <c r="AI66">
        <f t="shared" si="26"/>
        <v>771</v>
      </c>
      <c r="AJ66" t="s">
        <v>1279</v>
      </c>
      <c r="AM66">
        <v>270</v>
      </c>
      <c r="AO66">
        <v>49</v>
      </c>
      <c r="AQ66">
        <v>730</v>
      </c>
      <c r="AU66">
        <v>304</v>
      </c>
      <c r="AW66">
        <v>10</v>
      </c>
      <c r="AY66">
        <v>278</v>
      </c>
      <c r="AZ66">
        <v>822</v>
      </c>
      <c r="BA66">
        <v>38</v>
      </c>
      <c r="BC66">
        <v>37</v>
      </c>
    </row>
    <row r="67" spans="1:56" x14ac:dyDescent="0.25">
      <c r="A67" t="s">
        <v>606</v>
      </c>
      <c r="B67" t="s">
        <v>266</v>
      </c>
      <c r="C67">
        <f t="shared" si="23"/>
        <v>107887</v>
      </c>
      <c r="D67">
        <v>108410</v>
      </c>
      <c r="E67">
        <v>523</v>
      </c>
      <c r="F67">
        <f t="shared" si="24"/>
        <v>107917</v>
      </c>
      <c r="G67">
        <v>108440</v>
      </c>
      <c r="H67">
        <v>523</v>
      </c>
      <c r="I67">
        <f t="shared" ref="I67:I130" si="27">SUM(AK67,AM67,AO67,AQ67,AS67,AU67,AW67,AY67,BA67,BC67)</f>
        <v>4826</v>
      </c>
      <c r="J67">
        <f t="shared" ref="J67:J130" si="28">SUM(AL67,AN67,AP67,AR67,AT67,AV67,AX67,AZ67,BB67,BD67)</f>
        <v>18427</v>
      </c>
      <c r="K67">
        <f t="shared" ref="K67:K130" si="29">SUM(U67,-AY67,-AZ67)</f>
        <v>7839</v>
      </c>
      <c r="L67">
        <f t="shared" ref="L67:L130" si="30">SUM(V67,-AW67,-AX67)</f>
        <v>2843</v>
      </c>
      <c r="M67">
        <f t="shared" ref="M67:M130" si="31">SUM(X67,-AS67,-AT67)</f>
        <v>3746</v>
      </c>
      <c r="N67">
        <f t="shared" ref="N67:N130" si="32">SUM(Y67,-AQ67,-AR67)</f>
        <v>2852</v>
      </c>
      <c r="O67">
        <f t="shared" ref="O67:O130" si="33">SUM(Z67,-AO67,-AP67)</f>
        <v>6394</v>
      </c>
      <c r="P67">
        <f t="shared" ref="P67:P130" si="34">SUM(AB67,AC67,AD67,-BC67,-BD67)</f>
        <v>12816</v>
      </c>
      <c r="Q67">
        <f t="shared" ref="Q67:Q130" si="35">SUM(AE67,-BA67,-BB67)</f>
        <v>20831</v>
      </c>
      <c r="R67">
        <f t="shared" ref="R67:R130" si="36">SUM(AF67,-AM67,-AN67)</f>
        <v>9287</v>
      </c>
      <c r="S67">
        <f t="shared" ref="S67:S130" si="37">SUM(AI67,-AK67,-AL67)</f>
        <v>1015</v>
      </c>
      <c r="U67">
        <v>17356</v>
      </c>
      <c r="V67">
        <v>3886</v>
      </c>
      <c r="W67">
        <v>4594</v>
      </c>
      <c r="X67">
        <v>4009</v>
      </c>
      <c r="Y67">
        <v>4464</v>
      </c>
      <c r="Z67">
        <v>9550</v>
      </c>
      <c r="AA67">
        <v>35932</v>
      </c>
      <c r="AB67">
        <v>11077</v>
      </c>
      <c r="AC67">
        <v>1037</v>
      </c>
      <c r="AD67">
        <v>963</v>
      </c>
      <c r="AE67">
        <f t="shared" si="25"/>
        <v>22855</v>
      </c>
      <c r="AF67">
        <v>11607</v>
      </c>
      <c r="AG67">
        <v>17012</v>
      </c>
      <c r="AH67">
        <v>14056</v>
      </c>
      <c r="AI67">
        <f t="shared" si="26"/>
        <v>2956</v>
      </c>
      <c r="AJ67" t="s">
        <v>1044</v>
      </c>
      <c r="AK67">
        <v>1</v>
      </c>
      <c r="AL67">
        <v>1940</v>
      </c>
      <c r="AM67">
        <v>1323</v>
      </c>
      <c r="AN67">
        <v>997</v>
      </c>
      <c r="AO67">
        <v>1071</v>
      </c>
      <c r="AP67">
        <v>2085</v>
      </c>
      <c r="AQ67">
        <v>1308</v>
      </c>
      <c r="AR67">
        <v>304</v>
      </c>
      <c r="AS67">
        <v>5</v>
      </c>
      <c r="AT67">
        <v>258</v>
      </c>
      <c r="AU67">
        <v>146</v>
      </c>
      <c r="AV67">
        <v>970</v>
      </c>
      <c r="AW67">
        <v>36</v>
      </c>
      <c r="AX67">
        <v>1007</v>
      </c>
      <c r="AY67">
        <v>610</v>
      </c>
      <c r="AZ67">
        <v>8907</v>
      </c>
      <c r="BA67">
        <v>326</v>
      </c>
      <c r="BB67">
        <v>1698</v>
      </c>
      <c r="BD67">
        <v>261</v>
      </c>
    </row>
    <row r="68" spans="1:56" x14ac:dyDescent="0.25">
      <c r="A68" t="s">
        <v>602</v>
      </c>
      <c r="B68" t="s">
        <v>611</v>
      </c>
      <c r="C68">
        <f t="shared" si="23"/>
        <v>127131</v>
      </c>
      <c r="D68">
        <v>127131</v>
      </c>
      <c r="E68">
        <v>0</v>
      </c>
      <c r="F68">
        <f t="shared" si="24"/>
        <v>122601</v>
      </c>
      <c r="G68">
        <v>122601</v>
      </c>
      <c r="H68">
        <v>0</v>
      </c>
      <c r="I68">
        <f t="shared" si="27"/>
        <v>6193</v>
      </c>
      <c r="J68">
        <f t="shared" si="28"/>
        <v>26565</v>
      </c>
      <c r="K68">
        <f t="shared" si="29"/>
        <v>10961</v>
      </c>
      <c r="L68">
        <f t="shared" si="30"/>
        <v>3299</v>
      </c>
      <c r="M68">
        <f t="shared" si="31"/>
        <v>940</v>
      </c>
      <c r="N68">
        <f t="shared" si="32"/>
        <v>4256</v>
      </c>
      <c r="O68">
        <f t="shared" si="33"/>
        <v>8114</v>
      </c>
      <c r="P68">
        <f t="shared" si="34"/>
        <v>23014</v>
      </c>
      <c r="Q68">
        <f t="shared" si="35"/>
        <v>25403</v>
      </c>
      <c r="R68">
        <f t="shared" si="36"/>
        <v>9466</v>
      </c>
      <c r="S68">
        <f t="shared" si="37"/>
        <v>889</v>
      </c>
      <c r="U68">
        <v>24771</v>
      </c>
      <c r="V68">
        <v>3902</v>
      </c>
      <c r="W68">
        <v>10389</v>
      </c>
      <c r="X68">
        <v>1370</v>
      </c>
      <c r="Y68">
        <v>6098</v>
      </c>
      <c r="Z68">
        <v>12242</v>
      </c>
      <c r="AA68">
        <v>51311</v>
      </c>
      <c r="AB68">
        <v>18701</v>
      </c>
      <c r="AC68">
        <v>3331</v>
      </c>
      <c r="AD68">
        <v>2012</v>
      </c>
      <c r="AE68">
        <f t="shared" si="25"/>
        <v>27267</v>
      </c>
      <c r="AF68">
        <v>12643</v>
      </c>
      <c r="AG68">
        <v>4405</v>
      </c>
      <c r="AH68">
        <v>801</v>
      </c>
      <c r="AI68">
        <f t="shared" si="26"/>
        <v>3604</v>
      </c>
      <c r="AJ68" t="s">
        <v>1294</v>
      </c>
      <c r="AK68">
        <v>3</v>
      </c>
      <c r="AL68">
        <v>2712</v>
      </c>
      <c r="AM68">
        <v>1212</v>
      </c>
      <c r="AN68">
        <v>1965</v>
      </c>
      <c r="AO68">
        <v>898</v>
      </c>
      <c r="AP68">
        <v>3230</v>
      </c>
      <c r="AQ68">
        <v>1352</v>
      </c>
      <c r="AR68">
        <v>490</v>
      </c>
      <c r="AT68">
        <v>430</v>
      </c>
      <c r="AU68">
        <v>1326</v>
      </c>
      <c r="AV68">
        <v>1833</v>
      </c>
      <c r="AX68">
        <v>603</v>
      </c>
      <c r="AY68">
        <v>1327</v>
      </c>
      <c r="AZ68">
        <v>12483</v>
      </c>
      <c r="BA68">
        <v>75</v>
      </c>
      <c r="BB68">
        <v>1789</v>
      </c>
      <c r="BD68">
        <v>1030</v>
      </c>
    </row>
    <row r="69" spans="1:56" x14ac:dyDescent="0.25">
      <c r="A69" t="s">
        <v>606</v>
      </c>
      <c r="B69" t="s">
        <v>267</v>
      </c>
      <c r="C69">
        <f t="shared" si="23"/>
        <v>99324</v>
      </c>
      <c r="D69">
        <v>103770</v>
      </c>
      <c r="E69">
        <v>4446</v>
      </c>
      <c r="F69">
        <f t="shared" si="24"/>
        <v>92735</v>
      </c>
      <c r="G69">
        <v>97181</v>
      </c>
      <c r="H69">
        <v>4446</v>
      </c>
      <c r="I69">
        <f t="shared" si="27"/>
        <v>4229</v>
      </c>
      <c r="J69">
        <f t="shared" si="28"/>
        <v>23673</v>
      </c>
      <c r="K69">
        <f t="shared" si="29"/>
        <v>13827</v>
      </c>
      <c r="L69">
        <f t="shared" si="30"/>
        <v>2853</v>
      </c>
      <c r="M69">
        <f t="shared" si="31"/>
        <v>227</v>
      </c>
      <c r="N69">
        <f t="shared" si="32"/>
        <v>2521</v>
      </c>
      <c r="O69">
        <f t="shared" si="33"/>
        <v>3978</v>
      </c>
      <c r="P69">
        <f t="shared" si="34"/>
        <v>9612</v>
      </c>
      <c r="Q69">
        <f t="shared" si="35"/>
        <v>15059</v>
      </c>
      <c r="R69">
        <f t="shared" si="36"/>
        <v>6768</v>
      </c>
      <c r="S69">
        <f t="shared" si="37"/>
        <v>2636</v>
      </c>
      <c r="U69">
        <v>25517</v>
      </c>
      <c r="V69">
        <v>3280</v>
      </c>
      <c r="W69">
        <v>8208</v>
      </c>
      <c r="X69">
        <v>586</v>
      </c>
      <c r="Y69">
        <v>3745</v>
      </c>
      <c r="Z69">
        <v>6972</v>
      </c>
      <c r="AA69">
        <v>28882</v>
      </c>
      <c r="AB69">
        <v>9205</v>
      </c>
      <c r="AC69">
        <v>1975</v>
      </c>
      <c r="AD69">
        <v>541</v>
      </c>
      <c r="AE69">
        <f t="shared" si="25"/>
        <v>17161</v>
      </c>
      <c r="AF69">
        <v>10007</v>
      </c>
      <c r="AG69">
        <v>16573</v>
      </c>
      <c r="AH69">
        <v>11964</v>
      </c>
      <c r="AI69">
        <f t="shared" si="26"/>
        <v>4609</v>
      </c>
      <c r="AJ69" t="s">
        <v>1154</v>
      </c>
      <c r="AL69">
        <v>1973</v>
      </c>
      <c r="AM69">
        <v>1414</v>
      </c>
      <c r="AN69">
        <v>1825</v>
      </c>
      <c r="AO69">
        <v>1009</v>
      </c>
      <c r="AP69">
        <v>1985</v>
      </c>
      <c r="AQ69">
        <v>797</v>
      </c>
      <c r="AR69">
        <v>427</v>
      </c>
      <c r="AT69">
        <v>359</v>
      </c>
      <c r="AU69">
        <v>275</v>
      </c>
      <c r="AV69">
        <v>1510</v>
      </c>
      <c r="AW69">
        <v>12</v>
      </c>
      <c r="AX69">
        <v>415</v>
      </c>
      <c r="AY69">
        <v>606</v>
      </c>
      <c r="AZ69">
        <v>11084</v>
      </c>
      <c r="BA69">
        <v>116</v>
      </c>
      <c r="BB69">
        <v>1986</v>
      </c>
      <c r="BD69">
        <v>2109</v>
      </c>
    </row>
    <row r="70" spans="1:56" x14ac:dyDescent="0.25">
      <c r="A70" t="s">
        <v>598</v>
      </c>
      <c r="B70" t="s">
        <v>140</v>
      </c>
      <c r="C70">
        <f t="shared" si="23"/>
        <v>49441</v>
      </c>
      <c r="D70">
        <v>49526</v>
      </c>
      <c r="E70">
        <v>85</v>
      </c>
      <c r="F70">
        <f t="shared" si="24"/>
        <v>48119</v>
      </c>
      <c r="G70">
        <v>48204</v>
      </c>
      <c r="H70">
        <v>85</v>
      </c>
      <c r="I70">
        <f t="shared" si="27"/>
        <v>2326</v>
      </c>
      <c r="J70">
        <f t="shared" si="28"/>
        <v>1541</v>
      </c>
      <c r="K70">
        <f t="shared" si="29"/>
        <v>9779</v>
      </c>
      <c r="L70">
        <f t="shared" si="30"/>
        <v>1665</v>
      </c>
      <c r="M70">
        <f t="shared" si="31"/>
        <v>726</v>
      </c>
      <c r="N70">
        <f t="shared" si="32"/>
        <v>1585</v>
      </c>
      <c r="O70">
        <f t="shared" si="33"/>
        <v>4134</v>
      </c>
      <c r="P70">
        <f t="shared" si="34"/>
        <v>6751</v>
      </c>
      <c r="Q70">
        <f t="shared" si="35"/>
        <v>11927</v>
      </c>
      <c r="R70">
        <f t="shared" si="36"/>
        <v>4795</v>
      </c>
      <c r="S70">
        <f t="shared" si="37"/>
        <v>1135</v>
      </c>
      <c r="U70">
        <v>11623</v>
      </c>
      <c r="V70">
        <v>1725</v>
      </c>
      <c r="W70">
        <v>2770</v>
      </c>
      <c r="X70">
        <v>726</v>
      </c>
      <c r="Y70">
        <v>2189</v>
      </c>
      <c r="Z70">
        <v>4377</v>
      </c>
      <c r="AA70">
        <v>18730</v>
      </c>
      <c r="AB70">
        <v>4659</v>
      </c>
      <c r="AC70">
        <v>1639</v>
      </c>
      <c r="AD70">
        <v>453</v>
      </c>
      <c r="AE70">
        <f t="shared" si="25"/>
        <v>11979</v>
      </c>
      <c r="AF70">
        <v>5449</v>
      </c>
      <c r="AG70">
        <v>1937</v>
      </c>
      <c r="AH70">
        <v>794</v>
      </c>
      <c r="AI70">
        <f t="shared" si="26"/>
        <v>1143</v>
      </c>
      <c r="AJ70" t="s">
        <v>1245</v>
      </c>
      <c r="AK70">
        <v>8</v>
      </c>
      <c r="AM70">
        <v>654</v>
      </c>
      <c r="AO70">
        <v>243</v>
      </c>
      <c r="AQ70">
        <v>604</v>
      </c>
      <c r="AU70">
        <v>402</v>
      </c>
      <c r="AW70">
        <v>60</v>
      </c>
      <c r="AY70">
        <v>303</v>
      </c>
      <c r="AZ70">
        <v>1541</v>
      </c>
      <c r="BA70">
        <v>52</v>
      </c>
    </row>
    <row r="71" spans="1:56" x14ac:dyDescent="0.25">
      <c r="A71" t="s">
        <v>603</v>
      </c>
      <c r="B71" t="s">
        <v>341</v>
      </c>
      <c r="C71">
        <f t="shared" si="23"/>
        <v>403109</v>
      </c>
      <c r="D71">
        <v>435211</v>
      </c>
      <c r="E71">
        <v>32102</v>
      </c>
      <c r="F71">
        <f t="shared" si="24"/>
        <v>318940</v>
      </c>
      <c r="G71">
        <v>351042</v>
      </c>
      <c r="H71">
        <v>32102</v>
      </c>
      <c r="I71">
        <f t="shared" si="27"/>
        <v>13881</v>
      </c>
      <c r="J71">
        <f t="shared" si="28"/>
        <v>68998</v>
      </c>
      <c r="K71">
        <f t="shared" si="29"/>
        <v>71673</v>
      </c>
      <c r="L71">
        <f t="shared" si="30"/>
        <v>8690</v>
      </c>
      <c r="M71">
        <f t="shared" si="31"/>
        <v>3760</v>
      </c>
      <c r="N71">
        <f t="shared" si="32"/>
        <v>7385</v>
      </c>
      <c r="O71">
        <f t="shared" si="33"/>
        <v>16602</v>
      </c>
      <c r="P71">
        <f t="shared" si="34"/>
        <v>78826</v>
      </c>
      <c r="Q71">
        <f t="shared" si="35"/>
        <v>80469</v>
      </c>
      <c r="R71">
        <f t="shared" si="36"/>
        <v>34025</v>
      </c>
      <c r="S71">
        <f t="shared" si="37"/>
        <v>11610</v>
      </c>
      <c r="U71">
        <v>105456</v>
      </c>
      <c r="V71">
        <v>12507</v>
      </c>
      <c r="W71">
        <v>38530</v>
      </c>
      <c r="X71">
        <v>4738</v>
      </c>
      <c r="Y71">
        <v>11954</v>
      </c>
      <c r="Z71">
        <v>23530</v>
      </c>
      <c r="AA71">
        <v>177443</v>
      </c>
      <c r="AB71">
        <v>59378</v>
      </c>
      <c r="AC71">
        <v>26304</v>
      </c>
      <c r="AD71">
        <v>8386</v>
      </c>
      <c r="AE71">
        <f t="shared" si="25"/>
        <v>83375</v>
      </c>
      <c r="AF71">
        <v>38256</v>
      </c>
      <c r="AG71">
        <v>22797</v>
      </c>
      <c r="AH71">
        <v>7881</v>
      </c>
      <c r="AI71">
        <f t="shared" si="26"/>
        <v>14916</v>
      </c>
      <c r="AJ71" t="s">
        <v>1107</v>
      </c>
      <c r="AK71">
        <v>3</v>
      </c>
      <c r="AL71">
        <v>3303</v>
      </c>
      <c r="AM71">
        <v>486</v>
      </c>
      <c r="AN71">
        <v>3745</v>
      </c>
      <c r="AO71">
        <v>1149</v>
      </c>
      <c r="AP71">
        <v>5779</v>
      </c>
      <c r="AQ71">
        <v>3144</v>
      </c>
      <c r="AR71">
        <v>1425</v>
      </c>
      <c r="AT71">
        <v>978</v>
      </c>
      <c r="AU71">
        <v>3938</v>
      </c>
      <c r="AV71">
        <v>3181</v>
      </c>
      <c r="AX71">
        <v>3817</v>
      </c>
      <c r="AY71">
        <v>5055</v>
      </c>
      <c r="AZ71">
        <v>28728</v>
      </c>
      <c r="BA71">
        <v>59</v>
      </c>
      <c r="BB71">
        <v>2847</v>
      </c>
      <c r="BC71">
        <v>47</v>
      </c>
      <c r="BD71">
        <v>15195</v>
      </c>
    </row>
    <row r="72" spans="1:56" x14ac:dyDescent="0.25">
      <c r="A72" t="s">
        <v>607</v>
      </c>
      <c r="B72" t="s">
        <v>146</v>
      </c>
      <c r="C72">
        <f t="shared" si="23"/>
        <v>90335</v>
      </c>
      <c r="D72">
        <v>93357</v>
      </c>
      <c r="E72">
        <v>3022</v>
      </c>
      <c r="F72">
        <f t="shared" si="24"/>
        <v>89607</v>
      </c>
      <c r="G72">
        <v>92629</v>
      </c>
      <c r="H72">
        <v>3022</v>
      </c>
      <c r="I72">
        <f t="shared" si="27"/>
        <v>4074</v>
      </c>
      <c r="J72">
        <f t="shared" si="28"/>
        <v>16755</v>
      </c>
      <c r="K72">
        <f t="shared" si="29"/>
        <v>7758</v>
      </c>
      <c r="L72">
        <f t="shared" si="30"/>
        <v>2492</v>
      </c>
      <c r="M72">
        <f t="shared" si="31"/>
        <v>786</v>
      </c>
      <c r="N72">
        <f t="shared" si="32"/>
        <v>2911</v>
      </c>
      <c r="O72">
        <f t="shared" si="33"/>
        <v>4809</v>
      </c>
      <c r="P72">
        <f t="shared" si="34"/>
        <v>24317</v>
      </c>
      <c r="Q72">
        <f t="shared" si="35"/>
        <v>17073</v>
      </c>
      <c r="R72">
        <f t="shared" si="36"/>
        <v>6178</v>
      </c>
      <c r="S72">
        <f t="shared" si="37"/>
        <v>2517</v>
      </c>
      <c r="U72">
        <v>16671</v>
      </c>
      <c r="V72">
        <v>2602</v>
      </c>
      <c r="W72">
        <v>5191</v>
      </c>
      <c r="X72">
        <v>879</v>
      </c>
      <c r="Y72">
        <v>3980</v>
      </c>
      <c r="Z72">
        <v>7486</v>
      </c>
      <c r="AA72">
        <v>43731</v>
      </c>
      <c r="AB72">
        <v>16968</v>
      </c>
      <c r="AC72">
        <v>5899</v>
      </c>
      <c r="AD72">
        <v>1516</v>
      </c>
      <c r="AE72">
        <f t="shared" si="25"/>
        <v>19348</v>
      </c>
      <c r="AF72">
        <v>7727</v>
      </c>
      <c r="AG72">
        <v>5090</v>
      </c>
      <c r="AH72">
        <v>620</v>
      </c>
      <c r="AI72">
        <f t="shared" si="26"/>
        <v>4470</v>
      </c>
      <c r="AJ72" t="s">
        <v>957</v>
      </c>
      <c r="AK72">
        <v>587</v>
      </c>
      <c r="AL72">
        <v>1366</v>
      </c>
      <c r="AM72">
        <v>747</v>
      </c>
      <c r="AN72">
        <v>802</v>
      </c>
      <c r="AO72">
        <v>392</v>
      </c>
      <c r="AP72">
        <v>2285</v>
      </c>
      <c r="AQ72">
        <v>509</v>
      </c>
      <c r="AR72">
        <v>560</v>
      </c>
      <c r="AS72">
        <v>38</v>
      </c>
      <c r="AT72">
        <v>55</v>
      </c>
      <c r="AU72">
        <v>1135</v>
      </c>
      <c r="AV72">
        <v>989</v>
      </c>
      <c r="AX72">
        <v>110</v>
      </c>
      <c r="AY72">
        <v>666</v>
      </c>
      <c r="AZ72">
        <v>8247</v>
      </c>
      <c r="BB72">
        <v>2275</v>
      </c>
      <c r="BD72">
        <v>66</v>
      </c>
    </row>
    <row r="73" spans="1:56" x14ac:dyDescent="0.25">
      <c r="A73" t="s">
        <v>600</v>
      </c>
      <c r="B73" t="s">
        <v>296</v>
      </c>
      <c r="C73">
        <f t="shared" si="23"/>
        <v>197728</v>
      </c>
      <c r="D73">
        <v>201454</v>
      </c>
      <c r="E73">
        <v>3726</v>
      </c>
      <c r="F73">
        <f t="shared" si="24"/>
        <v>193066</v>
      </c>
      <c r="G73">
        <v>196792</v>
      </c>
      <c r="H73">
        <v>3726</v>
      </c>
      <c r="I73">
        <f t="shared" si="27"/>
        <v>6599</v>
      </c>
      <c r="J73">
        <f t="shared" si="28"/>
        <v>33809</v>
      </c>
      <c r="K73">
        <f t="shared" si="29"/>
        <v>22143</v>
      </c>
      <c r="L73">
        <f t="shared" si="30"/>
        <v>4038</v>
      </c>
      <c r="M73">
        <f t="shared" si="31"/>
        <v>1190</v>
      </c>
      <c r="N73">
        <f t="shared" si="32"/>
        <v>6898</v>
      </c>
      <c r="O73">
        <f t="shared" si="33"/>
        <v>12151</v>
      </c>
      <c r="P73">
        <f t="shared" si="34"/>
        <v>41636</v>
      </c>
      <c r="Q73">
        <f t="shared" si="35"/>
        <v>47940</v>
      </c>
      <c r="R73">
        <f t="shared" si="36"/>
        <v>12079</v>
      </c>
      <c r="S73">
        <f t="shared" si="37"/>
        <v>3432</v>
      </c>
      <c r="U73">
        <v>42604</v>
      </c>
      <c r="V73">
        <v>5662</v>
      </c>
      <c r="W73">
        <v>7849</v>
      </c>
      <c r="X73">
        <v>1622</v>
      </c>
      <c r="Y73">
        <v>8436</v>
      </c>
      <c r="Z73">
        <v>15325</v>
      </c>
      <c r="AA73">
        <v>95170</v>
      </c>
      <c r="AB73">
        <v>33868</v>
      </c>
      <c r="AC73">
        <v>7122</v>
      </c>
      <c r="AD73">
        <v>3052</v>
      </c>
      <c r="AE73">
        <f t="shared" si="25"/>
        <v>51128</v>
      </c>
      <c r="AF73">
        <v>14731</v>
      </c>
      <c r="AG73">
        <v>10055</v>
      </c>
      <c r="AH73">
        <v>3624</v>
      </c>
      <c r="AI73">
        <f t="shared" si="26"/>
        <v>6431</v>
      </c>
      <c r="AJ73" t="s">
        <v>1081</v>
      </c>
      <c r="AK73">
        <v>1381</v>
      </c>
      <c r="AL73">
        <v>1618</v>
      </c>
      <c r="AM73">
        <v>1602</v>
      </c>
      <c r="AN73">
        <v>1050</v>
      </c>
      <c r="AO73">
        <v>847</v>
      </c>
      <c r="AP73">
        <v>2327</v>
      </c>
      <c r="AQ73">
        <v>1064</v>
      </c>
      <c r="AR73">
        <v>474</v>
      </c>
      <c r="AS73">
        <v>2</v>
      </c>
      <c r="AT73">
        <v>430</v>
      </c>
      <c r="AU73">
        <v>540</v>
      </c>
      <c r="AV73">
        <v>1394</v>
      </c>
      <c r="AX73">
        <v>1624</v>
      </c>
      <c r="AY73">
        <v>1161</v>
      </c>
      <c r="AZ73">
        <v>19300</v>
      </c>
      <c r="BA73">
        <v>2</v>
      </c>
      <c r="BB73">
        <v>3186</v>
      </c>
      <c r="BD73">
        <v>2406</v>
      </c>
    </row>
    <row r="74" spans="1:56" x14ac:dyDescent="0.25">
      <c r="A74" t="s">
        <v>599</v>
      </c>
      <c r="B74" t="s">
        <v>417</v>
      </c>
      <c r="C74">
        <f t="shared" si="23"/>
        <v>85446</v>
      </c>
      <c r="D74">
        <v>87101</v>
      </c>
      <c r="E74">
        <v>1655</v>
      </c>
      <c r="F74">
        <f t="shared" si="24"/>
        <v>81376</v>
      </c>
      <c r="G74">
        <v>83031</v>
      </c>
      <c r="H74">
        <v>1655</v>
      </c>
      <c r="I74">
        <f t="shared" si="27"/>
        <v>3092</v>
      </c>
      <c r="J74">
        <f t="shared" si="28"/>
        <v>13032</v>
      </c>
      <c r="K74">
        <f t="shared" si="29"/>
        <v>8096</v>
      </c>
      <c r="L74">
        <f t="shared" si="30"/>
        <v>1892</v>
      </c>
      <c r="M74">
        <f t="shared" si="31"/>
        <v>6444</v>
      </c>
      <c r="N74">
        <f t="shared" si="32"/>
        <v>2862</v>
      </c>
      <c r="O74">
        <f t="shared" si="33"/>
        <v>3750</v>
      </c>
      <c r="P74">
        <f t="shared" si="34"/>
        <v>14109</v>
      </c>
      <c r="Q74">
        <f t="shared" si="35"/>
        <v>19008</v>
      </c>
      <c r="R74">
        <f t="shared" si="36"/>
        <v>4638</v>
      </c>
      <c r="S74">
        <f t="shared" si="37"/>
        <v>1235</v>
      </c>
      <c r="U74">
        <v>16564</v>
      </c>
      <c r="V74">
        <v>2396</v>
      </c>
      <c r="W74">
        <v>5032</v>
      </c>
      <c r="X74">
        <v>6632</v>
      </c>
      <c r="Y74">
        <v>3582</v>
      </c>
      <c r="Z74">
        <v>4992</v>
      </c>
      <c r="AA74">
        <v>33812</v>
      </c>
      <c r="AB74">
        <v>8819</v>
      </c>
      <c r="AC74">
        <v>4567</v>
      </c>
      <c r="AD74">
        <v>846</v>
      </c>
      <c r="AE74">
        <f t="shared" si="25"/>
        <v>19580</v>
      </c>
      <c r="AF74">
        <v>5708</v>
      </c>
      <c r="AG74">
        <v>8383</v>
      </c>
      <c r="AH74">
        <v>5238</v>
      </c>
      <c r="AI74">
        <f t="shared" si="26"/>
        <v>3145</v>
      </c>
      <c r="AJ74" t="s">
        <v>1164</v>
      </c>
      <c r="AL74">
        <v>1910</v>
      </c>
      <c r="AM74">
        <v>334</v>
      </c>
      <c r="AN74">
        <v>736</v>
      </c>
      <c r="AO74">
        <v>582</v>
      </c>
      <c r="AP74">
        <v>660</v>
      </c>
      <c r="AQ74">
        <v>525</v>
      </c>
      <c r="AR74">
        <v>195</v>
      </c>
      <c r="AT74">
        <v>188</v>
      </c>
      <c r="AU74">
        <v>531</v>
      </c>
      <c r="AV74">
        <v>796</v>
      </c>
      <c r="AX74">
        <v>504</v>
      </c>
      <c r="AY74">
        <v>916</v>
      </c>
      <c r="AZ74">
        <v>7552</v>
      </c>
      <c r="BA74">
        <v>204</v>
      </c>
      <c r="BB74">
        <v>368</v>
      </c>
      <c r="BD74">
        <v>123</v>
      </c>
    </row>
    <row r="75" spans="1:56" x14ac:dyDescent="0.25">
      <c r="A75" t="s">
        <v>604</v>
      </c>
      <c r="B75" t="s">
        <v>188</v>
      </c>
      <c r="C75">
        <f t="shared" si="23"/>
        <v>334640</v>
      </c>
      <c r="D75">
        <v>342199</v>
      </c>
      <c r="E75">
        <v>7559</v>
      </c>
      <c r="F75">
        <f t="shared" si="24"/>
        <v>327867</v>
      </c>
      <c r="G75">
        <v>335426</v>
      </c>
      <c r="H75">
        <v>7559</v>
      </c>
      <c r="I75">
        <f t="shared" si="27"/>
        <v>11486</v>
      </c>
      <c r="J75">
        <f t="shared" si="28"/>
        <v>48890</v>
      </c>
      <c r="K75">
        <f t="shared" si="29"/>
        <v>32299</v>
      </c>
      <c r="L75">
        <f t="shared" si="30"/>
        <v>7508</v>
      </c>
      <c r="M75">
        <f t="shared" si="31"/>
        <v>10081</v>
      </c>
      <c r="N75">
        <f t="shared" si="32"/>
        <v>6095</v>
      </c>
      <c r="O75">
        <f t="shared" si="33"/>
        <v>28457</v>
      </c>
      <c r="P75">
        <f t="shared" si="34"/>
        <v>69713</v>
      </c>
      <c r="Q75">
        <f t="shared" si="35"/>
        <v>86906</v>
      </c>
      <c r="R75">
        <f t="shared" si="36"/>
        <v>20943</v>
      </c>
      <c r="S75">
        <f t="shared" si="37"/>
        <v>1212</v>
      </c>
      <c r="U75">
        <v>58741</v>
      </c>
      <c r="V75">
        <v>9738</v>
      </c>
      <c r="W75">
        <v>18452</v>
      </c>
      <c r="X75">
        <v>12442</v>
      </c>
      <c r="Y75">
        <v>10216</v>
      </c>
      <c r="Z75">
        <v>30433</v>
      </c>
      <c r="AA75">
        <v>166625</v>
      </c>
      <c r="AB75">
        <v>50798</v>
      </c>
      <c r="AC75">
        <v>16772</v>
      </c>
      <c r="AD75">
        <v>6003</v>
      </c>
      <c r="AE75">
        <f t="shared" si="25"/>
        <v>93052</v>
      </c>
      <c r="AF75">
        <v>24677</v>
      </c>
      <c r="AG75">
        <v>10875</v>
      </c>
      <c r="AH75">
        <v>5148</v>
      </c>
      <c r="AI75">
        <f t="shared" si="26"/>
        <v>5727</v>
      </c>
      <c r="AJ75" t="s">
        <v>984</v>
      </c>
      <c r="AK75">
        <v>86</v>
      </c>
      <c r="AL75">
        <v>4429</v>
      </c>
      <c r="AM75">
        <v>1226</v>
      </c>
      <c r="AN75">
        <v>2508</v>
      </c>
      <c r="AO75">
        <v>836</v>
      </c>
      <c r="AP75">
        <v>1140</v>
      </c>
      <c r="AQ75">
        <v>3307</v>
      </c>
      <c r="AR75">
        <v>814</v>
      </c>
      <c r="AS75">
        <v>71</v>
      </c>
      <c r="AT75">
        <v>2290</v>
      </c>
      <c r="AU75">
        <v>1950</v>
      </c>
      <c r="AV75">
        <v>3041</v>
      </c>
      <c r="AW75">
        <v>129</v>
      </c>
      <c r="AX75">
        <v>2101</v>
      </c>
      <c r="AY75">
        <v>3675</v>
      </c>
      <c r="AZ75">
        <v>22767</v>
      </c>
      <c r="BA75">
        <v>206</v>
      </c>
      <c r="BB75">
        <v>5940</v>
      </c>
      <c r="BD75">
        <v>3860</v>
      </c>
    </row>
    <row r="76" spans="1:56" x14ac:dyDescent="0.25">
      <c r="A76" t="s">
        <v>600</v>
      </c>
      <c r="B76" t="s">
        <v>297</v>
      </c>
      <c r="C76">
        <f t="shared" si="23"/>
        <v>82505</v>
      </c>
      <c r="D76">
        <v>82591</v>
      </c>
      <c r="E76">
        <v>86</v>
      </c>
      <c r="F76">
        <f t="shared" si="24"/>
        <v>98767</v>
      </c>
      <c r="G76">
        <v>98853</v>
      </c>
      <c r="H76">
        <v>86</v>
      </c>
      <c r="I76">
        <f t="shared" si="27"/>
        <v>4364</v>
      </c>
      <c r="J76">
        <f t="shared" si="28"/>
        <v>13721</v>
      </c>
      <c r="K76">
        <f t="shared" si="29"/>
        <v>10320</v>
      </c>
      <c r="L76">
        <f t="shared" si="30"/>
        <v>1758</v>
      </c>
      <c r="M76">
        <f t="shared" si="31"/>
        <v>268</v>
      </c>
      <c r="N76">
        <f t="shared" si="32"/>
        <v>2677</v>
      </c>
      <c r="O76">
        <f t="shared" si="33"/>
        <v>3357</v>
      </c>
      <c r="P76">
        <f t="shared" si="34"/>
        <v>11344</v>
      </c>
      <c r="Q76">
        <f t="shared" si="35"/>
        <v>12615</v>
      </c>
      <c r="R76">
        <f t="shared" si="36"/>
        <v>6990</v>
      </c>
      <c r="S76">
        <f t="shared" si="37"/>
        <v>2125</v>
      </c>
      <c r="U76">
        <v>14732</v>
      </c>
      <c r="V76">
        <v>2543</v>
      </c>
      <c r="W76">
        <v>6803</v>
      </c>
      <c r="X76">
        <v>468</v>
      </c>
      <c r="Y76">
        <v>3678</v>
      </c>
      <c r="Z76">
        <v>5167</v>
      </c>
      <c r="AA76">
        <v>26613</v>
      </c>
      <c r="AB76">
        <v>10368</v>
      </c>
      <c r="AC76">
        <v>1998</v>
      </c>
      <c r="AD76">
        <v>746</v>
      </c>
      <c r="AE76">
        <f t="shared" si="25"/>
        <v>13501</v>
      </c>
      <c r="AF76">
        <v>10472</v>
      </c>
      <c r="AG76">
        <v>12115</v>
      </c>
      <c r="AH76">
        <v>8922</v>
      </c>
      <c r="AI76">
        <f t="shared" si="26"/>
        <v>3193</v>
      </c>
      <c r="AJ76" t="s">
        <v>1072</v>
      </c>
      <c r="AK76">
        <v>30</v>
      </c>
      <c r="AL76">
        <v>1038</v>
      </c>
      <c r="AM76">
        <v>1271</v>
      </c>
      <c r="AN76">
        <v>2211</v>
      </c>
      <c r="AO76">
        <v>467</v>
      </c>
      <c r="AP76">
        <v>1343</v>
      </c>
      <c r="AQ76">
        <v>722</v>
      </c>
      <c r="AR76">
        <v>279</v>
      </c>
      <c r="AT76">
        <v>200</v>
      </c>
      <c r="AU76">
        <v>957</v>
      </c>
      <c r="AV76">
        <v>1716</v>
      </c>
      <c r="AW76">
        <v>9</v>
      </c>
      <c r="AX76">
        <v>776</v>
      </c>
      <c r="AY76">
        <v>767</v>
      </c>
      <c r="AZ76">
        <v>3645</v>
      </c>
      <c r="BA76">
        <v>126</v>
      </c>
      <c r="BB76">
        <v>760</v>
      </c>
      <c r="BC76">
        <v>15</v>
      </c>
      <c r="BD76">
        <v>1753</v>
      </c>
    </row>
    <row r="77" spans="1:56" x14ac:dyDescent="0.25">
      <c r="A77" t="s">
        <v>604</v>
      </c>
      <c r="B77" t="s">
        <v>189</v>
      </c>
      <c r="C77">
        <f t="shared" si="23"/>
        <v>61299</v>
      </c>
      <c r="D77">
        <v>62230</v>
      </c>
      <c r="E77">
        <v>931</v>
      </c>
      <c r="F77">
        <f t="shared" si="24"/>
        <v>70021</v>
      </c>
      <c r="G77">
        <v>70952</v>
      </c>
      <c r="H77">
        <v>931</v>
      </c>
      <c r="I77">
        <f t="shared" si="27"/>
        <v>2284</v>
      </c>
      <c r="J77">
        <f t="shared" si="28"/>
        <v>1057</v>
      </c>
      <c r="K77">
        <f t="shared" si="29"/>
        <v>9865</v>
      </c>
      <c r="L77">
        <f t="shared" si="30"/>
        <v>3477</v>
      </c>
      <c r="M77">
        <f t="shared" si="31"/>
        <v>1894</v>
      </c>
      <c r="N77">
        <f t="shared" si="32"/>
        <v>1376</v>
      </c>
      <c r="O77">
        <f t="shared" si="33"/>
        <v>6128</v>
      </c>
      <c r="P77">
        <f t="shared" si="34"/>
        <v>7113</v>
      </c>
      <c r="Q77">
        <f t="shared" si="35"/>
        <v>14947</v>
      </c>
      <c r="R77">
        <f t="shared" si="36"/>
        <v>4986</v>
      </c>
      <c r="S77">
        <f t="shared" si="37"/>
        <v>1800</v>
      </c>
      <c r="U77">
        <v>11501</v>
      </c>
      <c r="V77">
        <v>3477</v>
      </c>
      <c r="W77">
        <v>4242</v>
      </c>
      <c r="X77">
        <v>1898</v>
      </c>
      <c r="Y77">
        <v>1794</v>
      </c>
      <c r="Z77">
        <v>6285</v>
      </c>
      <c r="AA77">
        <v>22188</v>
      </c>
      <c r="AB77">
        <v>4119</v>
      </c>
      <c r="AC77">
        <v>2922</v>
      </c>
      <c r="AD77">
        <v>192</v>
      </c>
      <c r="AE77">
        <f t="shared" si="25"/>
        <v>14955</v>
      </c>
      <c r="AF77">
        <v>5677</v>
      </c>
      <c r="AG77">
        <v>5168</v>
      </c>
      <c r="AH77">
        <v>3368</v>
      </c>
      <c r="AI77">
        <f t="shared" si="26"/>
        <v>1800</v>
      </c>
      <c r="AJ77" t="s">
        <v>1272</v>
      </c>
      <c r="AM77">
        <v>691</v>
      </c>
      <c r="AO77">
        <v>151</v>
      </c>
      <c r="AP77">
        <v>6</v>
      </c>
      <c r="AQ77">
        <v>418</v>
      </c>
      <c r="AS77">
        <v>4</v>
      </c>
      <c r="AU77">
        <v>307</v>
      </c>
      <c r="AY77">
        <v>705</v>
      </c>
      <c r="AZ77">
        <v>931</v>
      </c>
      <c r="BA77">
        <v>8</v>
      </c>
      <c r="BD77">
        <v>120</v>
      </c>
    </row>
    <row r="78" spans="1:56" x14ac:dyDescent="0.25">
      <c r="A78" t="s">
        <v>601</v>
      </c>
      <c r="B78" t="s">
        <v>219</v>
      </c>
      <c r="C78">
        <f t="shared" si="23"/>
        <v>32476</v>
      </c>
      <c r="D78">
        <v>33126</v>
      </c>
      <c r="E78">
        <v>650</v>
      </c>
      <c r="F78">
        <f t="shared" si="24"/>
        <v>32204</v>
      </c>
      <c r="G78">
        <v>32204</v>
      </c>
      <c r="H78">
        <v>0</v>
      </c>
      <c r="I78">
        <f t="shared" si="27"/>
        <v>1275</v>
      </c>
      <c r="J78">
        <f t="shared" si="28"/>
        <v>7265</v>
      </c>
      <c r="K78">
        <f t="shared" si="29"/>
        <v>1538</v>
      </c>
      <c r="L78">
        <f t="shared" si="30"/>
        <v>809</v>
      </c>
      <c r="M78">
        <f t="shared" si="31"/>
        <v>319</v>
      </c>
      <c r="N78">
        <f t="shared" si="32"/>
        <v>858</v>
      </c>
      <c r="O78">
        <f t="shared" si="33"/>
        <v>2252</v>
      </c>
      <c r="P78">
        <f t="shared" si="34"/>
        <v>8438</v>
      </c>
      <c r="Q78">
        <f t="shared" si="35"/>
        <v>7152</v>
      </c>
      <c r="R78">
        <f t="shared" si="36"/>
        <v>2139</v>
      </c>
      <c r="S78">
        <f t="shared" si="37"/>
        <v>148</v>
      </c>
      <c r="U78">
        <v>6437</v>
      </c>
      <c r="V78">
        <v>1061</v>
      </c>
      <c r="W78">
        <v>1337</v>
      </c>
      <c r="X78">
        <v>443</v>
      </c>
      <c r="Y78">
        <v>989</v>
      </c>
      <c r="Z78">
        <v>2701</v>
      </c>
      <c r="AA78">
        <v>17232</v>
      </c>
      <c r="AB78">
        <v>6548</v>
      </c>
      <c r="AC78">
        <v>1798</v>
      </c>
      <c r="AD78">
        <v>982</v>
      </c>
      <c r="AE78">
        <f t="shared" si="25"/>
        <v>7904</v>
      </c>
      <c r="AF78">
        <v>2458</v>
      </c>
      <c r="AG78">
        <v>468</v>
      </c>
      <c r="AH78">
        <v>0</v>
      </c>
      <c r="AI78">
        <f t="shared" si="26"/>
        <v>468</v>
      </c>
      <c r="AJ78" t="s">
        <v>1009</v>
      </c>
      <c r="AK78">
        <v>0</v>
      </c>
      <c r="AL78">
        <v>320</v>
      </c>
      <c r="AN78">
        <v>319</v>
      </c>
      <c r="AP78">
        <v>449</v>
      </c>
      <c r="AR78">
        <v>131</v>
      </c>
      <c r="AT78">
        <v>124</v>
      </c>
      <c r="AV78">
        <v>404</v>
      </c>
      <c r="AX78">
        <v>252</v>
      </c>
      <c r="AY78">
        <v>1275</v>
      </c>
      <c r="AZ78">
        <v>3624</v>
      </c>
      <c r="BB78">
        <v>752</v>
      </c>
      <c r="BD78">
        <v>890</v>
      </c>
    </row>
    <row r="79" spans="1:56" x14ac:dyDescent="0.25">
      <c r="A79" t="s">
        <v>601</v>
      </c>
      <c r="B79" t="s">
        <v>220</v>
      </c>
      <c r="C79">
        <f t="shared" si="23"/>
        <v>221022</v>
      </c>
      <c r="D79">
        <v>226168</v>
      </c>
      <c r="E79">
        <v>5146</v>
      </c>
      <c r="F79">
        <f t="shared" si="24"/>
        <v>208768</v>
      </c>
      <c r="G79">
        <v>213914</v>
      </c>
      <c r="H79">
        <v>5146</v>
      </c>
      <c r="I79">
        <f t="shared" si="27"/>
        <v>8419</v>
      </c>
      <c r="J79">
        <f t="shared" si="28"/>
        <v>21851</v>
      </c>
      <c r="K79">
        <f t="shared" si="29"/>
        <v>15259</v>
      </c>
      <c r="L79">
        <f t="shared" si="30"/>
        <v>4101</v>
      </c>
      <c r="M79">
        <f t="shared" si="31"/>
        <v>9094</v>
      </c>
      <c r="N79">
        <f t="shared" si="32"/>
        <v>6613</v>
      </c>
      <c r="O79">
        <f t="shared" si="33"/>
        <v>15350</v>
      </c>
      <c r="P79">
        <f t="shared" si="34"/>
        <v>35643</v>
      </c>
      <c r="Q79">
        <f t="shared" si="35"/>
        <v>79933</v>
      </c>
      <c r="R79">
        <f t="shared" si="36"/>
        <v>11493</v>
      </c>
      <c r="S79">
        <f t="shared" si="37"/>
        <v>4195</v>
      </c>
      <c r="U79">
        <v>39518</v>
      </c>
      <c r="V79">
        <v>4115</v>
      </c>
      <c r="W79">
        <v>10504</v>
      </c>
      <c r="X79">
        <v>9094</v>
      </c>
      <c r="Y79">
        <v>8785</v>
      </c>
      <c r="Z79">
        <v>16412</v>
      </c>
      <c r="AA79">
        <v>115621</v>
      </c>
      <c r="AB79">
        <v>25462</v>
      </c>
      <c r="AC79">
        <v>7939</v>
      </c>
      <c r="AD79">
        <v>2242</v>
      </c>
      <c r="AE79">
        <f t="shared" si="25"/>
        <v>79978</v>
      </c>
      <c r="AF79">
        <v>12363</v>
      </c>
      <c r="AG79">
        <v>9756</v>
      </c>
      <c r="AH79">
        <v>5282</v>
      </c>
      <c r="AI79">
        <f t="shared" si="26"/>
        <v>4474</v>
      </c>
      <c r="AJ79" t="s">
        <v>1010</v>
      </c>
      <c r="AK79">
        <v>279</v>
      </c>
      <c r="AM79">
        <v>870</v>
      </c>
      <c r="AO79">
        <v>1002</v>
      </c>
      <c r="AP79">
        <v>60</v>
      </c>
      <c r="AQ79">
        <v>2172</v>
      </c>
      <c r="AU79">
        <v>1569</v>
      </c>
      <c r="AW79">
        <v>14</v>
      </c>
      <c r="AY79">
        <v>2468</v>
      </c>
      <c r="AZ79">
        <v>21791</v>
      </c>
      <c r="BA79">
        <v>45</v>
      </c>
    </row>
    <row r="80" spans="1:56" x14ac:dyDescent="0.25">
      <c r="A80" t="s">
        <v>599</v>
      </c>
      <c r="B80" t="s">
        <v>418</v>
      </c>
      <c r="C80">
        <f t="shared" si="23"/>
        <v>55873</v>
      </c>
      <c r="D80">
        <v>56219</v>
      </c>
      <c r="E80">
        <v>346</v>
      </c>
      <c r="F80">
        <f t="shared" si="24"/>
        <v>51009</v>
      </c>
      <c r="G80">
        <v>51355</v>
      </c>
      <c r="H80">
        <v>346</v>
      </c>
      <c r="I80">
        <f t="shared" si="27"/>
        <v>2636</v>
      </c>
      <c r="J80">
        <f t="shared" si="28"/>
        <v>14410</v>
      </c>
      <c r="K80">
        <f t="shared" si="29"/>
        <v>4999</v>
      </c>
      <c r="L80">
        <f t="shared" si="30"/>
        <v>1448</v>
      </c>
      <c r="M80">
        <f t="shared" si="31"/>
        <v>1167</v>
      </c>
      <c r="N80">
        <f t="shared" si="32"/>
        <v>1273</v>
      </c>
      <c r="O80">
        <f t="shared" si="33"/>
        <v>3586</v>
      </c>
      <c r="P80">
        <f t="shared" si="34"/>
        <v>6926</v>
      </c>
      <c r="Q80">
        <f t="shared" si="35"/>
        <v>9126</v>
      </c>
      <c r="R80">
        <f t="shared" si="36"/>
        <v>3534</v>
      </c>
      <c r="S80">
        <f t="shared" si="37"/>
        <v>585</v>
      </c>
      <c r="U80">
        <v>12096</v>
      </c>
      <c r="V80">
        <v>1823</v>
      </c>
      <c r="W80">
        <v>2542</v>
      </c>
      <c r="X80">
        <v>1331</v>
      </c>
      <c r="Y80">
        <v>1959</v>
      </c>
      <c r="Z80">
        <v>5329</v>
      </c>
      <c r="AA80">
        <v>18408</v>
      </c>
      <c r="AB80">
        <v>6291</v>
      </c>
      <c r="AC80">
        <v>1367</v>
      </c>
      <c r="AD80">
        <v>463</v>
      </c>
      <c r="AE80">
        <f t="shared" si="25"/>
        <v>10287</v>
      </c>
      <c r="AF80">
        <v>5644</v>
      </c>
      <c r="AG80">
        <v>7087</v>
      </c>
      <c r="AH80">
        <v>5289</v>
      </c>
      <c r="AI80">
        <f t="shared" si="26"/>
        <v>1798</v>
      </c>
      <c r="AJ80" t="s">
        <v>1166</v>
      </c>
      <c r="AK80">
        <v>6</v>
      </c>
      <c r="AL80">
        <v>1207</v>
      </c>
      <c r="AM80">
        <v>692</v>
      </c>
      <c r="AN80">
        <v>1418</v>
      </c>
      <c r="AO80">
        <v>494</v>
      </c>
      <c r="AP80">
        <v>1249</v>
      </c>
      <c r="AQ80">
        <v>334</v>
      </c>
      <c r="AR80">
        <v>352</v>
      </c>
      <c r="AS80">
        <v>18</v>
      </c>
      <c r="AT80">
        <v>146</v>
      </c>
      <c r="AU80">
        <v>749</v>
      </c>
      <c r="AV80">
        <v>553</v>
      </c>
      <c r="AW80">
        <v>1</v>
      </c>
      <c r="AX80">
        <v>374</v>
      </c>
      <c r="AY80">
        <v>317</v>
      </c>
      <c r="AZ80">
        <v>6780</v>
      </c>
      <c r="BA80">
        <v>25</v>
      </c>
      <c r="BB80">
        <v>1136</v>
      </c>
      <c r="BD80">
        <v>1195</v>
      </c>
    </row>
    <row r="81" spans="1:56" x14ac:dyDescent="0.25">
      <c r="A81" t="s">
        <v>603</v>
      </c>
      <c r="B81" t="s">
        <v>342</v>
      </c>
      <c r="C81">
        <f t="shared" si="23"/>
        <v>483221</v>
      </c>
      <c r="D81">
        <v>541059</v>
      </c>
      <c r="E81">
        <v>57838</v>
      </c>
      <c r="F81">
        <f t="shared" si="24"/>
        <v>570550</v>
      </c>
      <c r="G81">
        <v>628388</v>
      </c>
      <c r="H81">
        <v>57838</v>
      </c>
      <c r="I81">
        <f t="shared" si="27"/>
        <v>22164</v>
      </c>
      <c r="J81">
        <f t="shared" si="28"/>
        <v>53042</v>
      </c>
      <c r="K81">
        <f t="shared" si="29"/>
        <v>89143</v>
      </c>
      <c r="L81">
        <f t="shared" si="30"/>
        <v>14420</v>
      </c>
      <c r="M81">
        <f t="shared" si="31"/>
        <v>5280</v>
      </c>
      <c r="N81">
        <f t="shared" si="32"/>
        <v>19100</v>
      </c>
      <c r="O81">
        <f t="shared" si="33"/>
        <v>31168</v>
      </c>
      <c r="P81">
        <f t="shared" si="34"/>
        <v>102495</v>
      </c>
      <c r="Q81">
        <f t="shared" si="35"/>
        <v>129277</v>
      </c>
      <c r="R81">
        <f t="shared" si="36"/>
        <v>30082</v>
      </c>
      <c r="S81">
        <f t="shared" si="37"/>
        <v>8963</v>
      </c>
      <c r="U81">
        <v>124851</v>
      </c>
      <c r="V81">
        <v>15850</v>
      </c>
      <c r="W81">
        <v>27807</v>
      </c>
      <c r="X81">
        <v>6760</v>
      </c>
      <c r="Y81">
        <v>26280</v>
      </c>
      <c r="Z81">
        <v>41808</v>
      </c>
      <c r="AA81">
        <v>234091</v>
      </c>
      <c r="AB81">
        <v>67041</v>
      </c>
      <c r="AC81">
        <v>23333</v>
      </c>
      <c r="AD81">
        <v>12756</v>
      </c>
      <c r="AE81">
        <f t="shared" si="25"/>
        <v>130961</v>
      </c>
      <c r="AF81">
        <v>35974</v>
      </c>
      <c r="AG81">
        <v>27638</v>
      </c>
      <c r="AH81">
        <v>16306</v>
      </c>
      <c r="AI81">
        <f t="shared" si="26"/>
        <v>11332</v>
      </c>
      <c r="AJ81" t="s">
        <v>1108</v>
      </c>
      <c r="AL81">
        <v>2369</v>
      </c>
      <c r="AM81">
        <v>3060</v>
      </c>
      <c r="AN81">
        <v>2832</v>
      </c>
      <c r="AO81">
        <v>3284</v>
      </c>
      <c r="AP81">
        <v>7356</v>
      </c>
      <c r="AQ81">
        <v>5784</v>
      </c>
      <c r="AR81">
        <v>1396</v>
      </c>
      <c r="AS81">
        <v>1</v>
      </c>
      <c r="AT81">
        <v>1479</v>
      </c>
      <c r="AU81">
        <v>3411</v>
      </c>
      <c r="AV81">
        <v>4777</v>
      </c>
      <c r="AW81">
        <v>69</v>
      </c>
      <c r="AX81">
        <v>1361</v>
      </c>
      <c r="AY81">
        <v>6004</v>
      </c>
      <c r="AZ81">
        <v>29704</v>
      </c>
      <c r="BA81">
        <v>23</v>
      </c>
      <c r="BB81">
        <v>1661</v>
      </c>
      <c r="BC81">
        <v>528</v>
      </c>
      <c r="BD81">
        <v>107</v>
      </c>
    </row>
    <row r="82" spans="1:56" x14ac:dyDescent="0.25">
      <c r="A82" t="s">
        <v>600</v>
      </c>
      <c r="B82" t="s">
        <v>298</v>
      </c>
      <c r="C82">
        <f t="shared" si="23"/>
        <v>42340</v>
      </c>
      <c r="D82">
        <v>43125</v>
      </c>
      <c r="E82">
        <v>785</v>
      </c>
      <c r="F82">
        <f t="shared" si="24"/>
        <v>39627</v>
      </c>
      <c r="G82">
        <v>40412</v>
      </c>
      <c r="H82">
        <v>785</v>
      </c>
      <c r="I82">
        <f t="shared" si="27"/>
        <v>1826</v>
      </c>
      <c r="J82">
        <f t="shared" si="28"/>
        <v>1185</v>
      </c>
      <c r="K82">
        <f t="shared" si="29"/>
        <v>7748</v>
      </c>
      <c r="L82">
        <f t="shared" si="30"/>
        <v>1568</v>
      </c>
      <c r="M82">
        <f t="shared" si="31"/>
        <v>566</v>
      </c>
      <c r="N82">
        <f t="shared" si="32"/>
        <v>884</v>
      </c>
      <c r="O82">
        <f t="shared" si="33"/>
        <v>3408</v>
      </c>
      <c r="P82">
        <f t="shared" si="34"/>
        <v>4792</v>
      </c>
      <c r="Q82">
        <f t="shared" si="35"/>
        <v>8654</v>
      </c>
      <c r="R82">
        <f t="shared" si="36"/>
        <v>4873</v>
      </c>
      <c r="S82">
        <f t="shared" si="37"/>
        <v>1546</v>
      </c>
      <c r="U82">
        <v>8892</v>
      </c>
      <c r="V82">
        <v>1579</v>
      </c>
      <c r="W82">
        <v>2976</v>
      </c>
      <c r="X82">
        <v>566</v>
      </c>
      <c r="Y82">
        <v>1190</v>
      </c>
      <c r="Z82">
        <v>3613</v>
      </c>
      <c r="AA82">
        <v>13859</v>
      </c>
      <c r="AB82">
        <v>3498</v>
      </c>
      <c r="AC82">
        <v>1138</v>
      </c>
      <c r="AD82">
        <v>156</v>
      </c>
      <c r="AE82">
        <f t="shared" si="25"/>
        <v>9067</v>
      </c>
      <c r="AF82">
        <v>5175</v>
      </c>
      <c r="AG82">
        <v>5275</v>
      </c>
      <c r="AH82">
        <v>3725</v>
      </c>
      <c r="AI82">
        <f t="shared" si="26"/>
        <v>1550</v>
      </c>
      <c r="AJ82" t="s">
        <v>1104</v>
      </c>
      <c r="AK82">
        <v>4</v>
      </c>
      <c r="AM82">
        <v>302</v>
      </c>
      <c r="AO82">
        <v>203</v>
      </c>
      <c r="AP82">
        <v>2</v>
      </c>
      <c r="AQ82">
        <v>306</v>
      </c>
      <c r="AU82">
        <v>626</v>
      </c>
      <c r="AW82">
        <v>11</v>
      </c>
      <c r="AY82">
        <v>355</v>
      </c>
      <c r="AZ82">
        <v>789</v>
      </c>
      <c r="BA82">
        <v>19</v>
      </c>
      <c r="BB82">
        <v>394</v>
      </c>
    </row>
    <row r="83" spans="1:56" x14ac:dyDescent="0.25">
      <c r="A83" t="s">
        <v>599</v>
      </c>
      <c r="B83" t="s">
        <v>419</v>
      </c>
      <c r="C83">
        <f t="shared" si="23"/>
        <v>54110</v>
      </c>
      <c r="D83">
        <v>54810</v>
      </c>
      <c r="E83">
        <v>700</v>
      </c>
      <c r="F83">
        <f t="shared" si="24"/>
        <v>52563</v>
      </c>
      <c r="G83">
        <v>53263</v>
      </c>
      <c r="H83">
        <v>700</v>
      </c>
      <c r="I83">
        <f t="shared" si="27"/>
        <v>3781</v>
      </c>
      <c r="J83">
        <f t="shared" si="28"/>
        <v>11767</v>
      </c>
      <c r="K83">
        <f t="shared" si="29"/>
        <v>4851</v>
      </c>
      <c r="L83">
        <f t="shared" si="30"/>
        <v>1616</v>
      </c>
      <c r="M83">
        <f t="shared" si="31"/>
        <v>263</v>
      </c>
      <c r="N83">
        <f t="shared" si="32"/>
        <v>1145</v>
      </c>
      <c r="O83">
        <f t="shared" si="33"/>
        <v>3757</v>
      </c>
      <c r="P83">
        <f t="shared" si="34"/>
        <v>5262</v>
      </c>
      <c r="Q83">
        <f t="shared" si="35"/>
        <v>10835</v>
      </c>
      <c r="R83">
        <f t="shared" si="36"/>
        <v>5625</v>
      </c>
      <c r="S83">
        <f t="shared" si="37"/>
        <v>1920</v>
      </c>
      <c r="U83">
        <v>11097</v>
      </c>
      <c r="V83">
        <v>2096</v>
      </c>
      <c r="W83">
        <v>4897</v>
      </c>
      <c r="X83">
        <v>388</v>
      </c>
      <c r="Y83">
        <v>1779</v>
      </c>
      <c r="Z83">
        <v>5131</v>
      </c>
      <c r="AA83">
        <v>17971</v>
      </c>
      <c r="AB83">
        <v>4057</v>
      </c>
      <c r="AC83">
        <v>1583</v>
      </c>
      <c r="AD83">
        <v>497</v>
      </c>
      <c r="AE83">
        <f t="shared" si="25"/>
        <v>11834</v>
      </c>
      <c r="AF83">
        <v>7859</v>
      </c>
      <c r="AG83">
        <v>3592</v>
      </c>
      <c r="AH83">
        <v>403</v>
      </c>
      <c r="AI83">
        <f t="shared" si="26"/>
        <v>3189</v>
      </c>
      <c r="AJ83" t="s">
        <v>1258</v>
      </c>
      <c r="AK83">
        <v>6</v>
      </c>
      <c r="AL83">
        <v>1263</v>
      </c>
      <c r="AM83">
        <v>899</v>
      </c>
      <c r="AN83">
        <v>1335</v>
      </c>
      <c r="AO83">
        <v>563</v>
      </c>
      <c r="AP83">
        <v>811</v>
      </c>
      <c r="AQ83">
        <v>559</v>
      </c>
      <c r="AR83">
        <v>75</v>
      </c>
      <c r="AS83">
        <v>6</v>
      </c>
      <c r="AT83">
        <v>119</v>
      </c>
      <c r="AU83">
        <v>776</v>
      </c>
      <c r="AV83">
        <v>536</v>
      </c>
      <c r="AW83">
        <v>48</v>
      </c>
      <c r="AX83">
        <v>432</v>
      </c>
      <c r="AY83">
        <v>789</v>
      </c>
      <c r="AZ83">
        <v>5457</v>
      </c>
      <c r="BA83">
        <v>135</v>
      </c>
      <c r="BB83">
        <v>864</v>
      </c>
      <c r="BD83">
        <v>875</v>
      </c>
    </row>
    <row r="84" spans="1:56" x14ac:dyDescent="0.25">
      <c r="A84" t="s">
        <v>605</v>
      </c>
      <c r="B84" t="s">
        <v>495</v>
      </c>
      <c r="C84">
        <f t="shared" si="23"/>
        <v>106985</v>
      </c>
      <c r="D84">
        <v>107779</v>
      </c>
      <c r="E84">
        <v>794</v>
      </c>
      <c r="F84">
        <f t="shared" si="24"/>
        <v>115125</v>
      </c>
      <c r="G84">
        <v>115919</v>
      </c>
      <c r="H84">
        <v>794</v>
      </c>
      <c r="I84">
        <f t="shared" si="27"/>
        <v>3670</v>
      </c>
      <c r="J84">
        <f t="shared" si="28"/>
        <v>24111</v>
      </c>
      <c r="K84">
        <f t="shared" si="29"/>
        <v>9060</v>
      </c>
      <c r="L84">
        <f t="shared" si="30"/>
        <v>2033</v>
      </c>
      <c r="M84">
        <f t="shared" si="31"/>
        <v>1271</v>
      </c>
      <c r="N84">
        <f t="shared" si="32"/>
        <v>3937</v>
      </c>
      <c r="O84">
        <f t="shared" si="33"/>
        <v>12666</v>
      </c>
      <c r="P84">
        <f t="shared" si="34"/>
        <v>14102</v>
      </c>
      <c r="Q84">
        <f t="shared" si="35"/>
        <v>21344</v>
      </c>
      <c r="R84">
        <f t="shared" si="36"/>
        <v>6455</v>
      </c>
      <c r="S84">
        <f t="shared" si="37"/>
        <v>928</v>
      </c>
      <c r="U84">
        <v>20899</v>
      </c>
      <c r="V84">
        <v>2927</v>
      </c>
      <c r="W84">
        <v>7385</v>
      </c>
      <c r="X84">
        <v>2098</v>
      </c>
      <c r="Y84">
        <v>5396</v>
      </c>
      <c r="Z84">
        <v>14882</v>
      </c>
      <c r="AA84">
        <v>41098</v>
      </c>
      <c r="AB84">
        <v>13239</v>
      </c>
      <c r="AC84">
        <v>1708</v>
      </c>
      <c r="AD84">
        <v>1409</v>
      </c>
      <c r="AE84">
        <f t="shared" si="25"/>
        <v>24742</v>
      </c>
      <c r="AF84">
        <v>8187</v>
      </c>
      <c r="AG84">
        <v>4907</v>
      </c>
      <c r="AH84">
        <v>2101</v>
      </c>
      <c r="AI84">
        <f t="shared" si="26"/>
        <v>2806</v>
      </c>
      <c r="AJ84" t="s">
        <v>1041</v>
      </c>
      <c r="AK84">
        <v>47</v>
      </c>
      <c r="AL84">
        <v>1831</v>
      </c>
      <c r="AM84">
        <v>418</v>
      </c>
      <c r="AN84">
        <v>1314</v>
      </c>
      <c r="AO84">
        <v>986</v>
      </c>
      <c r="AP84">
        <v>1230</v>
      </c>
      <c r="AQ84">
        <v>1059</v>
      </c>
      <c r="AR84">
        <v>400</v>
      </c>
      <c r="AS84">
        <v>45</v>
      </c>
      <c r="AT84">
        <v>782</v>
      </c>
      <c r="AU84">
        <v>286</v>
      </c>
      <c r="AV84">
        <v>998</v>
      </c>
      <c r="AW84">
        <v>83</v>
      </c>
      <c r="AX84">
        <v>811</v>
      </c>
      <c r="AY84">
        <v>742</v>
      </c>
      <c r="AZ84">
        <v>11097</v>
      </c>
      <c r="BA84">
        <v>4</v>
      </c>
      <c r="BB84">
        <v>3394</v>
      </c>
      <c r="BD84">
        <v>2254</v>
      </c>
    </row>
    <row r="85" spans="1:56" x14ac:dyDescent="0.25">
      <c r="A85" t="s">
        <v>601</v>
      </c>
      <c r="B85" t="s">
        <v>221</v>
      </c>
      <c r="C85">
        <f t="shared" si="23"/>
        <v>41838</v>
      </c>
      <c r="D85">
        <v>44949</v>
      </c>
      <c r="E85">
        <v>3111</v>
      </c>
      <c r="F85">
        <f t="shared" si="24"/>
        <v>40080</v>
      </c>
      <c r="G85">
        <v>43191</v>
      </c>
      <c r="H85">
        <v>3111</v>
      </c>
      <c r="I85">
        <f t="shared" si="27"/>
        <v>704</v>
      </c>
      <c r="J85">
        <f t="shared" si="28"/>
        <v>838</v>
      </c>
      <c r="K85">
        <f t="shared" si="29"/>
        <v>12019</v>
      </c>
      <c r="L85">
        <f t="shared" si="30"/>
        <v>1249</v>
      </c>
      <c r="M85">
        <f t="shared" si="31"/>
        <v>364</v>
      </c>
      <c r="N85">
        <f t="shared" si="32"/>
        <v>1545</v>
      </c>
      <c r="O85">
        <f t="shared" si="33"/>
        <v>2757</v>
      </c>
      <c r="P85">
        <f t="shared" si="34"/>
        <v>8489</v>
      </c>
      <c r="Q85">
        <f t="shared" si="35"/>
        <v>9497</v>
      </c>
      <c r="R85">
        <f t="shared" si="36"/>
        <v>3971</v>
      </c>
      <c r="S85">
        <f t="shared" si="37"/>
        <v>1078</v>
      </c>
      <c r="U85">
        <v>11757</v>
      </c>
      <c r="V85">
        <v>1249</v>
      </c>
      <c r="W85">
        <v>2343</v>
      </c>
      <c r="X85">
        <v>369</v>
      </c>
      <c r="Y85">
        <v>2087</v>
      </c>
      <c r="Z85">
        <v>3125</v>
      </c>
      <c r="AA85">
        <v>18170</v>
      </c>
      <c r="AB85">
        <v>5574</v>
      </c>
      <c r="AC85">
        <v>2451</v>
      </c>
      <c r="AD85">
        <v>464</v>
      </c>
      <c r="AE85">
        <f t="shared" si="25"/>
        <v>9681</v>
      </c>
      <c r="AF85">
        <v>4457</v>
      </c>
      <c r="AG85">
        <v>1392</v>
      </c>
      <c r="AH85">
        <v>314</v>
      </c>
      <c r="AI85">
        <f t="shared" si="26"/>
        <v>1078</v>
      </c>
      <c r="AJ85" t="s">
        <v>1011</v>
      </c>
      <c r="AK85">
        <v>0</v>
      </c>
      <c r="AM85">
        <v>486</v>
      </c>
      <c r="AO85">
        <v>368</v>
      </c>
      <c r="AQ85">
        <v>542</v>
      </c>
      <c r="AS85">
        <v>5</v>
      </c>
      <c r="AU85">
        <v>219</v>
      </c>
      <c r="AY85">
        <v>-1100</v>
      </c>
      <c r="AZ85">
        <v>838</v>
      </c>
      <c r="BA85">
        <v>184</v>
      </c>
    </row>
    <row r="86" spans="1:56" x14ac:dyDescent="0.25">
      <c r="A86" t="s">
        <v>601</v>
      </c>
      <c r="B86" t="s">
        <v>222</v>
      </c>
      <c r="C86">
        <f t="shared" si="23"/>
        <v>58010</v>
      </c>
      <c r="D86">
        <v>58126</v>
      </c>
      <c r="E86">
        <v>116</v>
      </c>
      <c r="F86">
        <f t="shared" si="24"/>
        <v>58345</v>
      </c>
      <c r="G86">
        <v>58461</v>
      </c>
      <c r="H86">
        <v>116</v>
      </c>
      <c r="I86">
        <f t="shared" si="27"/>
        <v>2208</v>
      </c>
      <c r="J86">
        <f t="shared" si="28"/>
        <v>1021</v>
      </c>
      <c r="K86">
        <f t="shared" si="29"/>
        <v>10740</v>
      </c>
      <c r="L86">
        <f t="shared" si="30"/>
        <v>1136</v>
      </c>
      <c r="M86">
        <f t="shared" si="31"/>
        <v>2553</v>
      </c>
      <c r="N86">
        <f t="shared" si="32"/>
        <v>1920</v>
      </c>
      <c r="O86">
        <f t="shared" si="33"/>
        <v>3389</v>
      </c>
      <c r="P86">
        <f t="shared" si="34"/>
        <v>11553</v>
      </c>
      <c r="Q86">
        <f t="shared" si="35"/>
        <v>13671</v>
      </c>
      <c r="R86">
        <f t="shared" si="36"/>
        <v>4933</v>
      </c>
      <c r="S86">
        <f t="shared" si="37"/>
        <v>1618</v>
      </c>
      <c r="U86">
        <v>12295</v>
      </c>
      <c r="V86">
        <v>1153</v>
      </c>
      <c r="W86">
        <v>3094</v>
      </c>
      <c r="X86">
        <v>2554</v>
      </c>
      <c r="Y86">
        <v>2189</v>
      </c>
      <c r="Z86">
        <v>3842</v>
      </c>
      <c r="AA86">
        <v>25319</v>
      </c>
      <c r="AB86">
        <v>8054</v>
      </c>
      <c r="AC86">
        <v>1979</v>
      </c>
      <c r="AD86">
        <v>1520</v>
      </c>
      <c r="AE86">
        <f t="shared" si="25"/>
        <v>13766</v>
      </c>
      <c r="AF86">
        <v>5503</v>
      </c>
      <c r="AG86">
        <v>2177</v>
      </c>
      <c r="AH86">
        <v>559</v>
      </c>
      <c r="AI86">
        <f t="shared" si="26"/>
        <v>1618</v>
      </c>
      <c r="AJ86" t="s">
        <v>1012</v>
      </c>
      <c r="AK86">
        <v>0</v>
      </c>
      <c r="AM86">
        <v>570</v>
      </c>
      <c r="AO86">
        <v>453</v>
      </c>
      <c r="AQ86">
        <v>269</v>
      </c>
      <c r="AS86">
        <v>1</v>
      </c>
      <c r="AU86">
        <v>269</v>
      </c>
      <c r="AW86">
        <v>17</v>
      </c>
      <c r="AY86">
        <v>534</v>
      </c>
      <c r="AZ86">
        <v>1021</v>
      </c>
      <c r="BA86">
        <v>95</v>
      </c>
    </row>
    <row r="87" spans="1:56" x14ac:dyDescent="0.25">
      <c r="A87" t="s">
        <v>608</v>
      </c>
      <c r="B87" t="s">
        <v>465</v>
      </c>
      <c r="C87">
        <f t="shared" si="23"/>
        <v>77855</v>
      </c>
      <c r="D87">
        <v>79424</v>
      </c>
      <c r="E87">
        <v>1569</v>
      </c>
      <c r="F87">
        <f t="shared" si="24"/>
        <v>72320</v>
      </c>
      <c r="G87">
        <v>73889</v>
      </c>
      <c r="H87">
        <v>1569</v>
      </c>
      <c r="I87">
        <f t="shared" si="27"/>
        <v>3265</v>
      </c>
      <c r="J87">
        <f t="shared" si="28"/>
        <v>9718</v>
      </c>
      <c r="K87">
        <f t="shared" si="29"/>
        <v>10625</v>
      </c>
      <c r="L87">
        <f t="shared" si="30"/>
        <v>2138</v>
      </c>
      <c r="M87">
        <f t="shared" si="31"/>
        <v>2315</v>
      </c>
      <c r="N87">
        <f t="shared" si="32"/>
        <v>1388</v>
      </c>
      <c r="O87">
        <f t="shared" si="33"/>
        <v>6021</v>
      </c>
      <c r="P87">
        <f t="shared" si="34"/>
        <v>13410</v>
      </c>
      <c r="Q87">
        <f t="shared" si="35"/>
        <v>18936</v>
      </c>
      <c r="R87">
        <f t="shared" si="36"/>
        <v>5579</v>
      </c>
      <c r="S87">
        <f t="shared" si="37"/>
        <v>2558</v>
      </c>
      <c r="U87">
        <v>16695</v>
      </c>
      <c r="V87">
        <v>2337</v>
      </c>
      <c r="W87">
        <v>4885</v>
      </c>
      <c r="X87">
        <v>2730</v>
      </c>
      <c r="Y87">
        <v>2142</v>
      </c>
      <c r="Z87">
        <v>7283</v>
      </c>
      <c r="AA87">
        <v>32990</v>
      </c>
      <c r="AB87">
        <v>7640</v>
      </c>
      <c r="AC87">
        <v>4485</v>
      </c>
      <c r="AD87">
        <v>1418</v>
      </c>
      <c r="AE87">
        <f t="shared" si="25"/>
        <v>19447</v>
      </c>
      <c r="AF87">
        <v>6979</v>
      </c>
      <c r="AG87">
        <v>3383</v>
      </c>
      <c r="AH87">
        <v>224</v>
      </c>
      <c r="AI87">
        <f t="shared" si="26"/>
        <v>3159</v>
      </c>
      <c r="AJ87" t="s">
        <v>1256</v>
      </c>
      <c r="AK87">
        <v>10</v>
      </c>
      <c r="AL87">
        <v>591</v>
      </c>
      <c r="AM87">
        <v>857</v>
      </c>
      <c r="AN87">
        <v>543</v>
      </c>
      <c r="AO87">
        <v>581</v>
      </c>
      <c r="AP87">
        <v>681</v>
      </c>
      <c r="AQ87">
        <v>674</v>
      </c>
      <c r="AR87">
        <v>80</v>
      </c>
      <c r="AT87">
        <v>415</v>
      </c>
      <c r="AU87">
        <v>816</v>
      </c>
      <c r="AV87">
        <v>822</v>
      </c>
      <c r="AW87">
        <v>30</v>
      </c>
      <c r="AX87">
        <v>169</v>
      </c>
      <c r="AY87">
        <v>76</v>
      </c>
      <c r="AZ87">
        <v>5994</v>
      </c>
      <c r="BA87">
        <v>221</v>
      </c>
      <c r="BB87">
        <v>290</v>
      </c>
      <c r="BD87">
        <v>133</v>
      </c>
    </row>
    <row r="88" spans="1:56" x14ac:dyDescent="0.25">
      <c r="A88" t="s">
        <v>600</v>
      </c>
      <c r="B88" t="s">
        <v>299</v>
      </c>
      <c r="C88">
        <f t="shared" si="23"/>
        <v>86121</v>
      </c>
      <c r="D88">
        <v>92559</v>
      </c>
      <c r="E88">
        <v>6438</v>
      </c>
      <c r="F88">
        <f t="shared" si="24"/>
        <v>84965</v>
      </c>
      <c r="G88">
        <v>91403</v>
      </c>
      <c r="H88">
        <v>6438</v>
      </c>
      <c r="I88">
        <f t="shared" si="27"/>
        <v>7152</v>
      </c>
      <c r="J88">
        <f t="shared" si="28"/>
        <v>20849</v>
      </c>
      <c r="K88">
        <f t="shared" si="29"/>
        <v>10672</v>
      </c>
      <c r="L88">
        <f t="shared" si="30"/>
        <v>3067</v>
      </c>
      <c r="M88">
        <f t="shared" si="31"/>
        <v>319</v>
      </c>
      <c r="N88">
        <f t="shared" si="32"/>
        <v>1551</v>
      </c>
      <c r="O88">
        <f t="shared" si="33"/>
        <v>5245</v>
      </c>
      <c r="P88">
        <f t="shared" si="34"/>
        <v>7264</v>
      </c>
      <c r="Q88">
        <f t="shared" si="35"/>
        <v>11633</v>
      </c>
      <c r="R88">
        <f t="shared" si="36"/>
        <v>8520</v>
      </c>
      <c r="S88">
        <f t="shared" si="37"/>
        <v>1473</v>
      </c>
      <c r="U88">
        <v>22893</v>
      </c>
      <c r="V88">
        <v>3718</v>
      </c>
      <c r="W88">
        <v>7138</v>
      </c>
      <c r="X88">
        <v>533</v>
      </c>
      <c r="Y88">
        <v>2683</v>
      </c>
      <c r="Z88">
        <v>8985</v>
      </c>
      <c r="AA88">
        <v>22035</v>
      </c>
      <c r="AB88">
        <v>5368</v>
      </c>
      <c r="AC88">
        <v>2523</v>
      </c>
      <c r="AD88">
        <v>534</v>
      </c>
      <c r="AE88">
        <f t="shared" si="25"/>
        <v>13610</v>
      </c>
      <c r="AF88">
        <v>11404</v>
      </c>
      <c r="AG88">
        <v>13170</v>
      </c>
      <c r="AH88">
        <v>9941</v>
      </c>
      <c r="AI88">
        <f t="shared" si="26"/>
        <v>3229</v>
      </c>
      <c r="AJ88" t="s">
        <v>1073</v>
      </c>
      <c r="AK88">
        <v>323</v>
      </c>
      <c r="AL88">
        <v>1433</v>
      </c>
      <c r="AM88">
        <v>1450</v>
      </c>
      <c r="AN88">
        <v>1434</v>
      </c>
      <c r="AO88">
        <v>1657</v>
      </c>
      <c r="AP88">
        <v>2083</v>
      </c>
      <c r="AQ88">
        <v>910</v>
      </c>
      <c r="AR88">
        <v>222</v>
      </c>
      <c r="AS88">
        <v>11</v>
      </c>
      <c r="AT88">
        <v>203</v>
      </c>
      <c r="AU88">
        <v>1612</v>
      </c>
      <c r="AV88">
        <v>653</v>
      </c>
      <c r="AW88">
        <v>116</v>
      </c>
      <c r="AX88">
        <v>535</v>
      </c>
      <c r="AY88">
        <v>793</v>
      </c>
      <c r="AZ88">
        <v>11428</v>
      </c>
      <c r="BA88">
        <v>280</v>
      </c>
      <c r="BB88">
        <v>1697</v>
      </c>
      <c r="BD88">
        <v>1161</v>
      </c>
    </row>
    <row r="89" spans="1:56" x14ac:dyDescent="0.25">
      <c r="A89" t="s">
        <v>601</v>
      </c>
      <c r="B89" t="s">
        <v>223</v>
      </c>
      <c r="C89">
        <f t="shared" si="23"/>
        <v>374656</v>
      </c>
      <c r="D89">
        <v>416493</v>
      </c>
      <c r="E89">
        <v>41837</v>
      </c>
      <c r="F89">
        <f t="shared" si="24"/>
        <v>341673</v>
      </c>
      <c r="G89">
        <v>383510</v>
      </c>
      <c r="H89">
        <v>41837</v>
      </c>
      <c r="I89">
        <f t="shared" si="27"/>
        <v>12899</v>
      </c>
      <c r="J89">
        <f t="shared" si="28"/>
        <v>51289</v>
      </c>
      <c r="K89">
        <f t="shared" si="29"/>
        <v>58000</v>
      </c>
      <c r="L89">
        <f t="shared" si="30"/>
        <v>7120</v>
      </c>
      <c r="M89">
        <f t="shared" si="31"/>
        <v>17935</v>
      </c>
      <c r="N89">
        <f t="shared" si="32"/>
        <v>11275</v>
      </c>
      <c r="O89">
        <f t="shared" si="33"/>
        <v>19370</v>
      </c>
      <c r="P89">
        <f t="shared" si="34"/>
        <v>44720</v>
      </c>
      <c r="Q89">
        <f t="shared" si="35"/>
        <v>82792</v>
      </c>
      <c r="R89">
        <f t="shared" si="36"/>
        <v>27172</v>
      </c>
      <c r="S89">
        <f t="shared" si="37"/>
        <v>25513</v>
      </c>
      <c r="U89">
        <v>88596</v>
      </c>
      <c r="V89">
        <v>10242</v>
      </c>
      <c r="W89">
        <v>15842</v>
      </c>
      <c r="X89">
        <v>19309</v>
      </c>
      <c r="Y89">
        <v>14540</v>
      </c>
      <c r="Z89">
        <v>25781</v>
      </c>
      <c r="AA89">
        <v>136460</v>
      </c>
      <c r="AB89">
        <v>32239</v>
      </c>
      <c r="AC89">
        <v>14539</v>
      </c>
      <c r="AD89">
        <v>798</v>
      </c>
      <c r="AE89">
        <f t="shared" si="25"/>
        <v>88884</v>
      </c>
      <c r="AF89">
        <v>29822</v>
      </c>
      <c r="AG89">
        <v>75901</v>
      </c>
      <c r="AH89">
        <v>46911</v>
      </c>
      <c r="AI89">
        <f t="shared" si="26"/>
        <v>28990</v>
      </c>
      <c r="AJ89" t="s">
        <v>1013</v>
      </c>
      <c r="AK89">
        <v>869</v>
      </c>
      <c r="AL89">
        <v>2608</v>
      </c>
      <c r="AM89">
        <v>904</v>
      </c>
      <c r="AN89">
        <v>1746</v>
      </c>
      <c r="AO89">
        <v>2547</v>
      </c>
      <c r="AP89">
        <v>3864</v>
      </c>
      <c r="AQ89">
        <v>2051</v>
      </c>
      <c r="AR89">
        <v>1214</v>
      </c>
      <c r="AS89">
        <v>183</v>
      </c>
      <c r="AT89">
        <v>1191</v>
      </c>
      <c r="AU89">
        <v>1774</v>
      </c>
      <c r="AV89">
        <v>2571</v>
      </c>
      <c r="AW89">
        <v>70</v>
      </c>
      <c r="AX89">
        <v>3052</v>
      </c>
      <c r="AY89">
        <v>4361</v>
      </c>
      <c r="AZ89">
        <v>26235</v>
      </c>
      <c r="BA89">
        <v>137</v>
      </c>
      <c r="BB89">
        <v>5955</v>
      </c>
      <c r="BC89">
        <v>3</v>
      </c>
      <c r="BD89">
        <v>2853</v>
      </c>
    </row>
    <row r="90" spans="1:56" x14ac:dyDescent="0.25">
      <c r="A90" t="s">
        <v>606</v>
      </c>
      <c r="B90" t="s">
        <v>268</v>
      </c>
      <c r="C90">
        <f t="shared" si="23"/>
        <v>21078</v>
      </c>
      <c r="D90">
        <v>21309</v>
      </c>
      <c r="E90">
        <v>231</v>
      </c>
      <c r="F90">
        <f t="shared" si="24"/>
        <v>21666</v>
      </c>
      <c r="G90">
        <v>21897</v>
      </c>
      <c r="H90">
        <v>231</v>
      </c>
      <c r="I90">
        <f t="shared" si="27"/>
        <v>789</v>
      </c>
      <c r="J90">
        <f t="shared" si="28"/>
        <v>1049</v>
      </c>
      <c r="K90">
        <f t="shared" si="29"/>
        <v>5124</v>
      </c>
      <c r="L90">
        <f t="shared" si="30"/>
        <v>784</v>
      </c>
      <c r="M90">
        <f t="shared" si="31"/>
        <v>975</v>
      </c>
      <c r="N90">
        <f t="shared" si="32"/>
        <v>388</v>
      </c>
      <c r="O90">
        <f t="shared" si="33"/>
        <v>1767</v>
      </c>
      <c r="P90">
        <f t="shared" si="34"/>
        <v>2186</v>
      </c>
      <c r="Q90">
        <f t="shared" si="35"/>
        <v>4610</v>
      </c>
      <c r="R90">
        <f t="shared" si="36"/>
        <v>2033</v>
      </c>
      <c r="S90">
        <f t="shared" si="37"/>
        <v>664</v>
      </c>
      <c r="U90">
        <v>6159</v>
      </c>
      <c r="V90">
        <v>814</v>
      </c>
      <c r="W90">
        <v>859</v>
      </c>
      <c r="X90">
        <v>975</v>
      </c>
      <c r="Y90">
        <v>388</v>
      </c>
      <c r="Z90">
        <v>2267</v>
      </c>
      <c r="AA90">
        <v>6796</v>
      </c>
      <c r="AB90">
        <v>1831</v>
      </c>
      <c r="AC90">
        <v>273</v>
      </c>
      <c r="AD90">
        <v>82</v>
      </c>
      <c r="AE90">
        <f t="shared" si="25"/>
        <v>4610</v>
      </c>
      <c r="AF90">
        <v>2188</v>
      </c>
      <c r="AG90">
        <v>863</v>
      </c>
      <c r="AH90">
        <v>199</v>
      </c>
      <c r="AI90">
        <f t="shared" si="26"/>
        <v>664</v>
      </c>
      <c r="AJ90" t="s">
        <v>1047</v>
      </c>
      <c r="AM90">
        <v>155</v>
      </c>
      <c r="AO90">
        <v>164</v>
      </c>
      <c r="AP90">
        <v>336</v>
      </c>
      <c r="AU90">
        <v>118</v>
      </c>
      <c r="AW90">
        <v>30</v>
      </c>
      <c r="AY90">
        <v>322</v>
      </c>
      <c r="AZ90">
        <v>713</v>
      </c>
    </row>
    <row r="91" spans="1:56" x14ac:dyDescent="0.25">
      <c r="A91" t="s">
        <v>599</v>
      </c>
      <c r="B91" t="s">
        <v>420</v>
      </c>
      <c r="C91">
        <f t="shared" si="23"/>
        <v>41658</v>
      </c>
      <c r="D91">
        <v>44352</v>
      </c>
      <c r="E91">
        <v>2694</v>
      </c>
      <c r="F91">
        <f t="shared" si="24"/>
        <v>42286</v>
      </c>
      <c r="G91">
        <v>44980</v>
      </c>
      <c r="H91">
        <v>2694</v>
      </c>
      <c r="I91">
        <f t="shared" si="27"/>
        <v>2030</v>
      </c>
      <c r="J91">
        <f t="shared" si="28"/>
        <v>6350</v>
      </c>
      <c r="K91">
        <f t="shared" si="29"/>
        <v>6517</v>
      </c>
      <c r="L91">
        <f t="shared" si="30"/>
        <v>1456</v>
      </c>
      <c r="M91">
        <f t="shared" si="31"/>
        <v>446</v>
      </c>
      <c r="N91">
        <f t="shared" si="32"/>
        <v>963</v>
      </c>
      <c r="O91">
        <f t="shared" si="33"/>
        <v>2333</v>
      </c>
      <c r="P91">
        <f t="shared" si="34"/>
        <v>6113</v>
      </c>
      <c r="Q91">
        <f t="shared" si="35"/>
        <v>8586</v>
      </c>
      <c r="R91">
        <f t="shared" si="36"/>
        <v>4309</v>
      </c>
      <c r="S91">
        <f t="shared" si="37"/>
        <v>1220</v>
      </c>
      <c r="U91">
        <v>10330</v>
      </c>
      <c r="V91">
        <v>1568</v>
      </c>
      <c r="W91">
        <v>2576</v>
      </c>
      <c r="X91">
        <v>573</v>
      </c>
      <c r="Y91">
        <v>1631</v>
      </c>
      <c r="Z91">
        <v>3009</v>
      </c>
      <c r="AA91">
        <v>15613</v>
      </c>
      <c r="AB91">
        <v>2942</v>
      </c>
      <c r="AC91">
        <v>3060</v>
      </c>
      <c r="AD91">
        <v>136</v>
      </c>
      <c r="AE91">
        <f t="shared" si="25"/>
        <v>9475</v>
      </c>
      <c r="AF91">
        <v>5171</v>
      </c>
      <c r="AG91">
        <v>3881</v>
      </c>
      <c r="AH91">
        <v>2147</v>
      </c>
      <c r="AI91">
        <f t="shared" si="26"/>
        <v>1734</v>
      </c>
      <c r="AJ91" t="s">
        <v>1167</v>
      </c>
      <c r="AK91">
        <v>82</v>
      </c>
      <c r="AL91">
        <v>432</v>
      </c>
      <c r="AM91">
        <v>596</v>
      </c>
      <c r="AN91">
        <v>266</v>
      </c>
      <c r="AO91">
        <v>181</v>
      </c>
      <c r="AP91">
        <v>495</v>
      </c>
      <c r="AQ91">
        <v>516</v>
      </c>
      <c r="AR91">
        <v>152</v>
      </c>
      <c r="AT91">
        <v>127</v>
      </c>
      <c r="AU91">
        <v>142</v>
      </c>
      <c r="AV91">
        <v>552</v>
      </c>
      <c r="AW91">
        <v>27</v>
      </c>
      <c r="AX91">
        <v>85</v>
      </c>
      <c r="AY91">
        <v>269</v>
      </c>
      <c r="AZ91">
        <v>3544</v>
      </c>
      <c r="BA91">
        <v>217</v>
      </c>
      <c r="BB91">
        <v>672</v>
      </c>
      <c r="BD91">
        <v>25</v>
      </c>
    </row>
    <row r="92" spans="1:56" x14ac:dyDescent="0.25">
      <c r="A92" t="s">
        <v>608</v>
      </c>
      <c r="B92" t="s">
        <v>466</v>
      </c>
      <c r="C92">
        <f t="shared" si="23"/>
        <v>54135</v>
      </c>
      <c r="D92">
        <v>54365</v>
      </c>
      <c r="E92">
        <v>230</v>
      </c>
      <c r="F92">
        <f t="shared" si="24"/>
        <v>51841</v>
      </c>
      <c r="G92">
        <v>52071</v>
      </c>
      <c r="H92">
        <v>230</v>
      </c>
      <c r="I92">
        <f t="shared" si="27"/>
        <v>3209</v>
      </c>
      <c r="J92">
        <f t="shared" si="28"/>
        <v>13277</v>
      </c>
      <c r="K92">
        <f t="shared" si="29"/>
        <v>6168</v>
      </c>
      <c r="L92">
        <f t="shared" si="30"/>
        <v>1539</v>
      </c>
      <c r="M92">
        <f t="shared" si="31"/>
        <v>768</v>
      </c>
      <c r="N92">
        <f t="shared" si="32"/>
        <v>1014</v>
      </c>
      <c r="O92">
        <f t="shared" si="33"/>
        <v>2894</v>
      </c>
      <c r="P92">
        <f t="shared" si="34"/>
        <v>7867</v>
      </c>
      <c r="Q92">
        <f t="shared" si="35"/>
        <v>9437</v>
      </c>
      <c r="R92">
        <f t="shared" si="36"/>
        <v>4358</v>
      </c>
      <c r="S92">
        <f t="shared" si="37"/>
        <v>730</v>
      </c>
      <c r="U92">
        <v>12146</v>
      </c>
      <c r="V92">
        <v>1577</v>
      </c>
      <c r="W92">
        <v>3033</v>
      </c>
      <c r="X92">
        <v>1225</v>
      </c>
      <c r="Y92">
        <v>1733</v>
      </c>
      <c r="Z92">
        <v>4362</v>
      </c>
      <c r="AA92">
        <v>19144</v>
      </c>
      <c r="AB92">
        <v>4686</v>
      </c>
      <c r="AC92">
        <v>3192</v>
      </c>
      <c r="AD92">
        <v>0</v>
      </c>
      <c r="AE92">
        <f t="shared" si="25"/>
        <v>11266</v>
      </c>
      <c r="AF92">
        <v>6945</v>
      </c>
      <c r="AG92">
        <v>4200</v>
      </c>
      <c r="AH92">
        <v>1135</v>
      </c>
      <c r="AI92">
        <f t="shared" si="26"/>
        <v>3065</v>
      </c>
      <c r="AJ92" t="s">
        <v>1286</v>
      </c>
      <c r="AK92">
        <v>386</v>
      </c>
      <c r="AL92">
        <v>1949</v>
      </c>
      <c r="AM92">
        <v>1678</v>
      </c>
      <c r="AN92">
        <v>909</v>
      </c>
      <c r="AO92">
        <v>378</v>
      </c>
      <c r="AP92">
        <v>1090</v>
      </c>
      <c r="AQ92">
        <v>629</v>
      </c>
      <c r="AR92">
        <v>90</v>
      </c>
      <c r="AS92">
        <v>12</v>
      </c>
      <c r="AT92">
        <v>445</v>
      </c>
      <c r="AU92">
        <v>396</v>
      </c>
      <c r="AV92">
        <v>668</v>
      </c>
      <c r="AW92">
        <v>38</v>
      </c>
      <c r="AY92">
        <v>-471</v>
      </c>
      <c r="AZ92">
        <v>6449</v>
      </c>
      <c r="BA92">
        <v>152</v>
      </c>
      <c r="BB92">
        <v>1677</v>
      </c>
      <c r="BC92">
        <v>11</v>
      </c>
    </row>
    <row r="93" spans="1:56" x14ac:dyDescent="0.25">
      <c r="A93" t="s">
        <v>599</v>
      </c>
      <c r="B93" t="s">
        <v>421</v>
      </c>
      <c r="C93">
        <f t="shared" ref="C93:C112" si="38">SUM(D93,-E93)</f>
        <v>868997</v>
      </c>
      <c r="D93">
        <v>886968</v>
      </c>
      <c r="E93">
        <v>17971</v>
      </c>
      <c r="F93">
        <f t="shared" ref="F93:F112" si="39">SUM(G93,-H93)</f>
        <v>876023</v>
      </c>
      <c r="G93">
        <v>893994</v>
      </c>
      <c r="H93">
        <v>17971</v>
      </c>
      <c r="I93">
        <f t="shared" si="27"/>
        <v>27003</v>
      </c>
      <c r="J93">
        <f t="shared" si="28"/>
        <v>149897</v>
      </c>
      <c r="K93">
        <f t="shared" si="29"/>
        <v>48136</v>
      </c>
      <c r="L93">
        <f t="shared" si="30"/>
        <v>18470</v>
      </c>
      <c r="M93">
        <f t="shared" si="31"/>
        <v>12443</v>
      </c>
      <c r="N93">
        <f t="shared" si="32"/>
        <v>25251</v>
      </c>
      <c r="O93">
        <f t="shared" si="33"/>
        <v>53412</v>
      </c>
      <c r="P93">
        <f t="shared" si="34"/>
        <v>169765</v>
      </c>
      <c r="Q93">
        <f t="shared" si="35"/>
        <v>217041</v>
      </c>
      <c r="R93">
        <f t="shared" si="36"/>
        <v>52166</v>
      </c>
      <c r="S93">
        <f t="shared" si="37"/>
        <v>24279</v>
      </c>
      <c r="U93">
        <v>119479</v>
      </c>
      <c r="V93">
        <v>28391</v>
      </c>
      <c r="W93">
        <v>43781</v>
      </c>
      <c r="X93">
        <v>14935</v>
      </c>
      <c r="Y93">
        <v>32866</v>
      </c>
      <c r="Z93">
        <v>77316</v>
      </c>
      <c r="AA93">
        <v>414259</v>
      </c>
      <c r="AB93">
        <v>127474</v>
      </c>
      <c r="AC93">
        <v>36306</v>
      </c>
      <c r="AD93">
        <v>16739</v>
      </c>
      <c r="AE93">
        <f t="shared" ref="AE93:AE112" si="40">SUM(AA93,-AB93,-AC93,-AD93)</f>
        <v>233740</v>
      </c>
      <c r="AF93">
        <v>57552</v>
      </c>
      <c r="AG93">
        <v>98389</v>
      </c>
      <c r="AH93">
        <v>53941</v>
      </c>
      <c r="AI93">
        <f t="shared" ref="AI93:AI112" si="41">SUM(AG93,-AH93)</f>
        <v>44448</v>
      </c>
      <c r="AJ93" t="s">
        <v>1168</v>
      </c>
      <c r="AK93">
        <v>662</v>
      </c>
      <c r="AL93">
        <v>19507</v>
      </c>
      <c r="AM93">
        <v>1970</v>
      </c>
      <c r="AN93">
        <v>3416</v>
      </c>
      <c r="AO93">
        <v>7778</v>
      </c>
      <c r="AP93">
        <v>16126</v>
      </c>
      <c r="AQ93">
        <v>5972</v>
      </c>
      <c r="AR93">
        <v>1643</v>
      </c>
      <c r="AS93">
        <v>66</v>
      </c>
      <c r="AT93">
        <v>2426</v>
      </c>
      <c r="AU93">
        <v>3161</v>
      </c>
      <c r="AV93">
        <v>5456</v>
      </c>
      <c r="AW93">
        <v>331</v>
      </c>
      <c r="AX93">
        <v>9590</v>
      </c>
      <c r="AY93">
        <v>6601</v>
      </c>
      <c r="AZ93">
        <v>64742</v>
      </c>
      <c r="BA93">
        <v>462</v>
      </c>
      <c r="BB93">
        <v>16237</v>
      </c>
      <c r="BD93">
        <v>10754</v>
      </c>
    </row>
    <row r="94" spans="1:56" x14ac:dyDescent="0.25">
      <c r="A94" t="s">
        <v>601</v>
      </c>
      <c r="B94" t="s">
        <v>224</v>
      </c>
      <c r="C94">
        <f t="shared" si="38"/>
        <v>51132</v>
      </c>
      <c r="D94">
        <v>53882</v>
      </c>
      <c r="E94">
        <v>2750</v>
      </c>
      <c r="F94">
        <f t="shared" si="39"/>
        <v>48287</v>
      </c>
      <c r="G94">
        <v>51037</v>
      </c>
      <c r="H94">
        <v>2750</v>
      </c>
      <c r="I94">
        <f t="shared" si="27"/>
        <v>3873</v>
      </c>
      <c r="J94">
        <f t="shared" si="28"/>
        <v>12206</v>
      </c>
      <c r="K94">
        <f t="shared" si="29"/>
        <v>5377</v>
      </c>
      <c r="L94">
        <f t="shared" si="30"/>
        <v>1325</v>
      </c>
      <c r="M94">
        <f t="shared" si="31"/>
        <v>494</v>
      </c>
      <c r="N94">
        <f t="shared" si="32"/>
        <v>1497</v>
      </c>
      <c r="O94">
        <f t="shared" si="33"/>
        <v>2821</v>
      </c>
      <c r="P94">
        <f t="shared" si="34"/>
        <v>7798</v>
      </c>
      <c r="Q94">
        <f t="shared" si="35"/>
        <v>12295</v>
      </c>
      <c r="R94">
        <f t="shared" si="36"/>
        <v>4098</v>
      </c>
      <c r="S94">
        <f t="shared" si="37"/>
        <v>315</v>
      </c>
      <c r="U94">
        <v>12148</v>
      </c>
      <c r="V94">
        <v>1777</v>
      </c>
      <c r="W94">
        <v>3432</v>
      </c>
      <c r="X94">
        <v>836</v>
      </c>
      <c r="Y94">
        <v>2412</v>
      </c>
      <c r="Z94">
        <v>4044</v>
      </c>
      <c r="AA94">
        <v>22025</v>
      </c>
      <c r="AB94">
        <v>5033</v>
      </c>
      <c r="AC94">
        <v>3129</v>
      </c>
      <c r="AD94">
        <v>420</v>
      </c>
      <c r="AE94">
        <f t="shared" si="40"/>
        <v>13443</v>
      </c>
      <c r="AF94">
        <v>5436</v>
      </c>
      <c r="AG94">
        <v>1772</v>
      </c>
      <c r="AH94">
        <v>335</v>
      </c>
      <c r="AI94">
        <f t="shared" si="41"/>
        <v>1437</v>
      </c>
      <c r="AJ94" t="s">
        <v>1014</v>
      </c>
      <c r="AK94">
        <v>103</v>
      </c>
      <c r="AL94">
        <v>1019</v>
      </c>
      <c r="AM94">
        <v>578</v>
      </c>
      <c r="AN94">
        <v>760</v>
      </c>
      <c r="AO94">
        <v>319</v>
      </c>
      <c r="AP94">
        <v>904</v>
      </c>
      <c r="AQ94">
        <v>854</v>
      </c>
      <c r="AR94">
        <v>61</v>
      </c>
      <c r="AS94">
        <v>12</v>
      </c>
      <c r="AT94">
        <v>330</v>
      </c>
      <c r="AU94">
        <v>804</v>
      </c>
      <c r="AV94">
        <v>1180</v>
      </c>
      <c r="AW94">
        <v>9</v>
      </c>
      <c r="AX94">
        <v>443</v>
      </c>
      <c r="AY94">
        <v>1016</v>
      </c>
      <c r="AZ94">
        <v>5755</v>
      </c>
      <c r="BA94">
        <v>178</v>
      </c>
      <c r="BB94">
        <v>970</v>
      </c>
      <c r="BD94">
        <v>784</v>
      </c>
    </row>
    <row r="95" spans="1:56" x14ac:dyDescent="0.25">
      <c r="A95" t="s">
        <v>598</v>
      </c>
      <c r="B95" t="s">
        <v>133</v>
      </c>
      <c r="C95">
        <f t="shared" si="38"/>
        <v>416382</v>
      </c>
      <c r="D95">
        <v>417956</v>
      </c>
      <c r="E95">
        <v>1574</v>
      </c>
      <c r="F95">
        <f t="shared" si="39"/>
        <v>405676</v>
      </c>
      <c r="G95">
        <v>407250</v>
      </c>
      <c r="H95">
        <v>1574</v>
      </c>
      <c r="I95">
        <f t="shared" si="27"/>
        <v>18993</v>
      </c>
      <c r="J95">
        <f t="shared" si="28"/>
        <v>76954</v>
      </c>
      <c r="K95">
        <f t="shared" si="29"/>
        <v>28082</v>
      </c>
      <c r="L95">
        <f t="shared" si="30"/>
        <v>7761</v>
      </c>
      <c r="M95">
        <f t="shared" si="31"/>
        <v>5231</v>
      </c>
      <c r="N95">
        <f t="shared" si="32"/>
        <v>19181</v>
      </c>
      <c r="O95">
        <f t="shared" si="33"/>
        <v>19578</v>
      </c>
      <c r="P95">
        <f t="shared" si="34"/>
        <v>98224</v>
      </c>
      <c r="Q95">
        <f t="shared" si="35"/>
        <v>93524</v>
      </c>
      <c r="R95">
        <f t="shared" si="36"/>
        <v>30770</v>
      </c>
      <c r="S95">
        <f t="shared" si="37"/>
        <v>1499</v>
      </c>
      <c r="U95">
        <v>62365</v>
      </c>
      <c r="V95">
        <v>9425</v>
      </c>
      <c r="W95">
        <v>18968</v>
      </c>
      <c r="X95">
        <v>8145</v>
      </c>
      <c r="Y95">
        <v>45340</v>
      </c>
      <c r="Z95">
        <v>23837</v>
      </c>
      <c r="AA95">
        <v>200385</v>
      </c>
      <c r="AB95">
        <v>65399</v>
      </c>
      <c r="AC95">
        <v>26969</v>
      </c>
      <c r="AD95">
        <v>10402</v>
      </c>
      <c r="AE95">
        <f t="shared" si="40"/>
        <v>97615</v>
      </c>
      <c r="AF95">
        <v>36326</v>
      </c>
      <c r="AG95">
        <v>13165</v>
      </c>
      <c r="AH95">
        <v>7299</v>
      </c>
      <c r="AI95">
        <f t="shared" si="41"/>
        <v>5866</v>
      </c>
      <c r="AJ95" t="s">
        <v>978</v>
      </c>
      <c r="AK95">
        <v>319</v>
      </c>
      <c r="AL95">
        <v>4048</v>
      </c>
      <c r="AM95">
        <v>2933</v>
      </c>
      <c r="AN95">
        <v>2623</v>
      </c>
      <c r="AO95">
        <v>1941</v>
      </c>
      <c r="AP95">
        <v>2318</v>
      </c>
      <c r="AQ95">
        <v>3126</v>
      </c>
      <c r="AR95">
        <v>23033</v>
      </c>
      <c r="AS95">
        <v>761</v>
      </c>
      <c r="AT95">
        <v>2153</v>
      </c>
      <c r="AU95">
        <v>5397</v>
      </c>
      <c r="AV95">
        <v>2711</v>
      </c>
      <c r="AW95">
        <v>320</v>
      </c>
      <c r="AX95">
        <v>1344</v>
      </c>
      <c r="AY95">
        <v>4110</v>
      </c>
      <c r="AZ95">
        <v>30173</v>
      </c>
      <c r="BA95">
        <v>86</v>
      </c>
      <c r="BB95">
        <v>4005</v>
      </c>
      <c r="BD95">
        <v>4546</v>
      </c>
    </row>
    <row r="96" spans="1:56" x14ac:dyDescent="0.25">
      <c r="A96" t="s">
        <v>600</v>
      </c>
      <c r="B96" t="s">
        <v>300</v>
      </c>
      <c r="C96">
        <f t="shared" si="38"/>
        <v>52582</v>
      </c>
      <c r="D96">
        <v>53564</v>
      </c>
      <c r="E96">
        <v>982</v>
      </c>
      <c r="F96">
        <f t="shared" si="39"/>
        <v>47605</v>
      </c>
      <c r="G96">
        <v>48587</v>
      </c>
      <c r="H96">
        <v>982</v>
      </c>
      <c r="I96">
        <f t="shared" si="27"/>
        <v>1490</v>
      </c>
      <c r="J96">
        <f t="shared" si="28"/>
        <v>853</v>
      </c>
      <c r="K96">
        <f t="shared" si="29"/>
        <v>9847</v>
      </c>
      <c r="L96">
        <f t="shared" si="30"/>
        <v>1674</v>
      </c>
      <c r="M96">
        <f t="shared" si="31"/>
        <v>1249</v>
      </c>
      <c r="N96">
        <f t="shared" si="32"/>
        <v>1307</v>
      </c>
      <c r="O96">
        <f t="shared" si="33"/>
        <v>4947</v>
      </c>
      <c r="P96">
        <f t="shared" si="34"/>
        <v>10803</v>
      </c>
      <c r="Q96">
        <f t="shared" si="35"/>
        <v>10306</v>
      </c>
      <c r="R96">
        <f t="shared" si="36"/>
        <v>4877</v>
      </c>
      <c r="S96">
        <f t="shared" si="37"/>
        <v>1765</v>
      </c>
      <c r="U96">
        <v>10716</v>
      </c>
      <c r="V96">
        <v>1717</v>
      </c>
      <c r="W96">
        <v>5005</v>
      </c>
      <c r="X96">
        <v>1249</v>
      </c>
      <c r="Y96">
        <v>1653</v>
      </c>
      <c r="Z96">
        <v>5137</v>
      </c>
      <c r="AA96">
        <v>21123</v>
      </c>
      <c r="AB96">
        <v>7122</v>
      </c>
      <c r="AC96">
        <v>2993</v>
      </c>
      <c r="AD96">
        <v>699</v>
      </c>
      <c r="AE96">
        <f t="shared" si="40"/>
        <v>10309</v>
      </c>
      <c r="AF96">
        <v>5112</v>
      </c>
      <c r="AG96">
        <v>1852</v>
      </c>
      <c r="AH96">
        <v>84</v>
      </c>
      <c r="AI96">
        <f t="shared" si="41"/>
        <v>1768</v>
      </c>
      <c r="AJ96" t="s">
        <v>1074</v>
      </c>
      <c r="AK96">
        <v>3</v>
      </c>
      <c r="AM96">
        <v>235</v>
      </c>
      <c r="AO96">
        <v>190</v>
      </c>
      <c r="AQ96">
        <v>346</v>
      </c>
      <c r="AU96">
        <v>643</v>
      </c>
      <c r="AW96">
        <v>43</v>
      </c>
      <c r="AY96">
        <v>16</v>
      </c>
      <c r="AZ96">
        <v>853</v>
      </c>
      <c r="BA96">
        <v>3</v>
      </c>
      <c r="BC96">
        <v>11</v>
      </c>
    </row>
    <row r="97" spans="1:56" x14ac:dyDescent="0.25">
      <c r="A97" t="s">
        <v>604</v>
      </c>
      <c r="B97" t="s">
        <v>190</v>
      </c>
      <c r="C97">
        <f t="shared" si="38"/>
        <v>693842</v>
      </c>
      <c r="D97">
        <v>728466</v>
      </c>
      <c r="E97">
        <v>34624</v>
      </c>
      <c r="F97">
        <f t="shared" si="39"/>
        <v>696327</v>
      </c>
      <c r="G97">
        <v>730951</v>
      </c>
      <c r="H97">
        <v>34624</v>
      </c>
      <c r="I97">
        <f t="shared" si="27"/>
        <v>25501</v>
      </c>
      <c r="J97">
        <f t="shared" si="28"/>
        <v>117962</v>
      </c>
      <c r="K97">
        <f t="shared" si="29"/>
        <v>101302</v>
      </c>
      <c r="L97">
        <f t="shared" si="30"/>
        <v>15502</v>
      </c>
      <c r="M97">
        <f t="shared" si="31"/>
        <v>9459</v>
      </c>
      <c r="N97">
        <f t="shared" si="32"/>
        <v>20005</v>
      </c>
      <c r="O97">
        <f t="shared" si="33"/>
        <v>34173</v>
      </c>
      <c r="P97">
        <f t="shared" si="34"/>
        <v>135087</v>
      </c>
      <c r="Q97">
        <f t="shared" si="35"/>
        <v>173818</v>
      </c>
      <c r="R97">
        <f t="shared" si="36"/>
        <v>40593</v>
      </c>
      <c r="S97">
        <f t="shared" si="37"/>
        <v>9094</v>
      </c>
      <c r="U97">
        <v>153309</v>
      </c>
      <c r="V97">
        <v>17482</v>
      </c>
      <c r="W97">
        <v>33234</v>
      </c>
      <c r="X97">
        <v>10954</v>
      </c>
      <c r="Y97">
        <v>27829</v>
      </c>
      <c r="Z97">
        <v>38066</v>
      </c>
      <c r="AA97">
        <v>366052</v>
      </c>
      <c r="AB97">
        <v>119148</v>
      </c>
      <c r="AC97">
        <v>47590</v>
      </c>
      <c r="AD97">
        <v>15837</v>
      </c>
      <c r="AE97">
        <f t="shared" si="40"/>
        <v>183477</v>
      </c>
      <c r="AF97">
        <v>46335</v>
      </c>
      <c r="AG97">
        <v>35205</v>
      </c>
      <c r="AH97">
        <v>20556</v>
      </c>
      <c r="AI97">
        <f t="shared" si="41"/>
        <v>14649</v>
      </c>
      <c r="AJ97" t="s">
        <v>985</v>
      </c>
      <c r="AK97">
        <v>59</v>
      </c>
      <c r="AL97">
        <v>5496</v>
      </c>
      <c r="AM97">
        <v>4133</v>
      </c>
      <c r="AN97">
        <v>1609</v>
      </c>
      <c r="AO97">
        <v>245</v>
      </c>
      <c r="AP97">
        <v>3648</v>
      </c>
      <c r="AQ97">
        <v>6275</v>
      </c>
      <c r="AR97">
        <v>1549</v>
      </c>
      <c r="AS97">
        <v>3</v>
      </c>
      <c r="AT97">
        <v>1492</v>
      </c>
      <c r="AU97">
        <v>6533</v>
      </c>
      <c r="AV97">
        <v>1287</v>
      </c>
      <c r="AW97">
        <v>7</v>
      </c>
      <c r="AX97">
        <v>1973</v>
      </c>
      <c r="AY97">
        <v>8201</v>
      </c>
      <c r="AZ97">
        <v>43806</v>
      </c>
      <c r="BA97">
        <v>7</v>
      </c>
      <c r="BB97">
        <v>9652</v>
      </c>
      <c r="BC97">
        <v>38</v>
      </c>
      <c r="BD97">
        <v>47450</v>
      </c>
    </row>
    <row r="98" spans="1:56" x14ac:dyDescent="0.25">
      <c r="A98" t="s">
        <v>601</v>
      </c>
      <c r="B98" t="s">
        <v>225</v>
      </c>
      <c r="C98">
        <f t="shared" si="38"/>
        <v>77468</v>
      </c>
      <c r="D98">
        <v>90112</v>
      </c>
      <c r="E98">
        <v>12644</v>
      </c>
      <c r="F98">
        <f t="shared" si="39"/>
        <v>85126</v>
      </c>
      <c r="G98">
        <v>97770</v>
      </c>
      <c r="H98">
        <v>12644</v>
      </c>
      <c r="I98">
        <f t="shared" si="27"/>
        <v>3592</v>
      </c>
      <c r="J98">
        <f t="shared" si="28"/>
        <v>14093</v>
      </c>
      <c r="K98">
        <f t="shared" si="29"/>
        <v>12036</v>
      </c>
      <c r="L98">
        <f t="shared" si="30"/>
        <v>2276</v>
      </c>
      <c r="M98">
        <f t="shared" si="31"/>
        <v>438</v>
      </c>
      <c r="N98">
        <f t="shared" si="32"/>
        <v>2646</v>
      </c>
      <c r="O98">
        <f t="shared" si="33"/>
        <v>5690</v>
      </c>
      <c r="P98">
        <f t="shared" si="34"/>
        <v>16818</v>
      </c>
      <c r="Q98">
        <f t="shared" si="35"/>
        <v>17498</v>
      </c>
      <c r="R98">
        <f t="shared" si="36"/>
        <v>7606</v>
      </c>
      <c r="S98">
        <f t="shared" si="37"/>
        <v>2358</v>
      </c>
      <c r="U98">
        <v>26545</v>
      </c>
      <c r="V98">
        <v>2606</v>
      </c>
      <c r="W98">
        <v>4180</v>
      </c>
      <c r="X98">
        <v>441</v>
      </c>
      <c r="Y98">
        <v>3657</v>
      </c>
      <c r="Z98">
        <v>5726</v>
      </c>
      <c r="AA98">
        <v>34459</v>
      </c>
      <c r="AB98">
        <v>10363</v>
      </c>
      <c r="AC98">
        <v>5580</v>
      </c>
      <c r="AD98">
        <v>875</v>
      </c>
      <c r="AE98">
        <f t="shared" si="40"/>
        <v>17641</v>
      </c>
      <c r="AF98">
        <v>8496</v>
      </c>
      <c r="AG98">
        <v>4002</v>
      </c>
      <c r="AH98">
        <v>1258</v>
      </c>
      <c r="AI98">
        <f t="shared" si="41"/>
        <v>2744</v>
      </c>
      <c r="AJ98" t="s">
        <v>1015</v>
      </c>
      <c r="AK98">
        <v>36</v>
      </c>
      <c r="AL98">
        <v>350</v>
      </c>
      <c r="AM98">
        <v>742</v>
      </c>
      <c r="AN98">
        <v>148</v>
      </c>
      <c r="AO98">
        <v>96</v>
      </c>
      <c r="AP98">
        <v>-60</v>
      </c>
      <c r="AQ98">
        <v>1011</v>
      </c>
      <c r="AS98">
        <v>3</v>
      </c>
      <c r="AU98">
        <v>377</v>
      </c>
      <c r="AW98">
        <v>80</v>
      </c>
      <c r="AX98">
        <v>250</v>
      </c>
      <c r="AY98">
        <v>1132</v>
      </c>
      <c r="AZ98">
        <v>13377</v>
      </c>
      <c r="BA98">
        <v>115</v>
      </c>
      <c r="BB98">
        <v>28</v>
      </c>
    </row>
    <row r="99" spans="1:56" x14ac:dyDescent="0.25">
      <c r="A99" t="s">
        <v>601</v>
      </c>
      <c r="B99" t="s">
        <v>226</v>
      </c>
      <c r="C99">
        <f t="shared" si="38"/>
        <v>72989</v>
      </c>
      <c r="D99">
        <v>93793</v>
      </c>
      <c r="E99">
        <v>20804</v>
      </c>
      <c r="F99">
        <f t="shared" si="39"/>
        <v>61649</v>
      </c>
      <c r="G99">
        <v>82453</v>
      </c>
      <c r="H99">
        <v>20804</v>
      </c>
      <c r="I99">
        <f t="shared" si="27"/>
        <v>2708</v>
      </c>
      <c r="J99">
        <f t="shared" si="28"/>
        <v>10352</v>
      </c>
      <c r="K99">
        <f t="shared" si="29"/>
        <v>33819</v>
      </c>
      <c r="L99">
        <f t="shared" si="30"/>
        <v>1544</v>
      </c>
      <c r="M99">
        <f t="shared" si="31"/>
        <v>504</v>
      </c>
      <c r="N99">
        <f t="shared" si="32"/>
        <v>1476</v>
      </c>
      <c r="O99">
        <f t="shared" si="33"/>
        <v>4413</v>
      </c>
      <c r="P99">
        <f t="shared" si="34"/>
        <v>12175</v>
      </c>
      <c r="Q99">
        <f t="shared" si="35"/>
        <v>17926</v>
      </c>
      <c r="R99">
        <f t="shared" si="36"/>
        <v>6549</v>
      </c>
      <c r="S99">
        <f t="shared" si="37"/>
        <v>568</v>
      </c>
      <c r="U99">
        <v>38252</v>
      </c>
      <c r="V99">
        <v>1980</v>
      </c>
      <c r="W99">
        <v>3039</v>
      </c>
      <c r="X99">
        <v>878</v>
      </c>
      <c r="Y99">
        <v>2369</v>
      </c>
      <c r="Z99">
        <v>6467</v>
      </c>
      <c r="AA99">
        <v>30826</v>
      </c>
      <c r="AB99">
        <v>8348</v>
      </c>
      <c r="AC99">
        <v>3106</v>
      </c>
      <c r="AD99">
        <v>750</v>
      </c>
      <c r="AE99">
        <f t="shared" si="40"/>
        <v>18622</v>
      </c>
      <c r="AF99">
        <v>7585</v>
      </c>
      <c r="AG99">
        <v>2397</v>
      </c>
      <c r="AH99">
        <v>149</v>
      </c>
      <c r="AI99">
        <f t="shared" si="41"/>
        <v>2248</v>
      </c>
      <c r="AJ99" t="s">
        <v>1016</v>
      </c>
      <c r="AK99">
        <v>10</v>
      </c>
      <c r="AL99">
        <v>1670</v>
      </c>
      <c r="AM99">
        <v>369</v>
      </c>
      <c r="AN99">
        <v>667</v>
      </c>
      <c r="AO99">
        <v>298</v>
      </c>
      <c r="AP99">
        <v>1756</v>
      </c>
      <c r="AQ99">
        <v>821</v>
      </c>
      <c r="AR99">
        <v>72</v>
      </c>
      <c r="AS99">
        <v>2</v>
      </c>
      <c r="AT99">
        <v>372</v>
      </c>
      <c r="AU99">
        <v>529</v>
      </c>
      <c r="AV99">
        <v>900</v>
      </c>
      <c r="AW99">
        <v>9</v>
      </c>
      <c r="AX99">
        <v>427</v>
      </c>
      <c r="AY99">
        <v>591</v>
      </c>
      <c r="AZ99">
        <v>3842</v>
      </c>
      <c r="BA99">
        <v>78</v>
      </c>
      <c r="BB99">
        <v>618</v>
      </c>
      <c r="BC99">
        <v>1</v>
      </c>
      <c r="BD99">
        <v>28</v>
      </c>
    </row>
    <row r="100" spans="1:56" x14ac:dyDescent="0.25">
      <c r="A100" t="s">
        <v>599</v>
      </c>
      <c r="B100" t="s">
        <v>422</v>
      </c>
      <c r="C100">
        <f t="shared" si="38"/>
        <v>111137</v>
      </c>
      <c r="D100">
        <v>113766</v>
      </c>
      <c r="E100">
        <v>2629</v>
      </c>
      <c r="F100">
        <f t="shared" si="39"/>
        <v>109095</v>
      </c>
      <c r="G100">
        <v>111724</v>
      </c>
      <c r="H100">
        <v>2629</v>
      </c>
      <c r="I100">
        <f t="shared" si="27"/>
        <v>5576</v>
      </c>
      <c r="J100">
        <f t="shared" si="28"/>
        <v>22304</v>
      </c>
      <c r="K100">
        <f t="shared" si="29"/>
        <v>8019</v>
      </c>
      <c r="L100">
        <f t="shared" si="30"/>
        <v>2632</v>
      </c>
      <c r="M100">
        <f t="shared" si="31"/>
        <v>150</v>
      </c>
      <c r="N100">
        <f t="shared" si="32"/>
        <v>3824</v>
      </c>
      <c r="O100">
        <f t="shared" si="33"/>
        <v>8306</v>
      </c>
      <c r="P100">
        <f t="shared" si="34"/>
        <v>21022</v>
      </c>
      <c r="Q100">
        <f t="shared" si="35"/>
        <v>20872</v>
      </c>
      <c r="R100">
        <f t="shared" si="36"/>
        <v>8625</v>
      </c>
      <c r="S100">
        <f t="shared" si="37"/>
        <v>761</v>
      </c>
      <c r="U100">
        <v>21837</v>
      </c>
      <c r="V100">
        <v>3549</v>
      </c>
      <c r="W100">
        <v>7497</v>
      </c>
      <c r="X100">
        <v>427</v>
      </c>
      <c r="Y100">
        <v>5749</v>
      </c>
      <c r="Z100">
        <v>10677</v>
      </c>
      <c r="AA100">
        <v>44909</v>
      </c>
      <c r="AB100">
        <v>13663</v>
      </c>
      <c r="AC100">
        <v>6166</v>
      </c>
      <c r="AD100">
        <v>1462</v>
      </c>
      <c r="AE100">
        <f t="shared" si="40"/>
        <v>23618</v>
      </c>
      <c r="AF100">
        <v>11036</v>
      </c>
      <c r="AG100">
        <v>8085</v>
      </c>
      <c r="AH100">
        <v>5648</v>
      </c>
      <c r="AI100">
        <f t="shared" si="41"/>
        <v>2437</v>
      </c>
      <c r="AJ100" t="s">
        <v>1169</v>
      </c>
      <c r="AL100">
        <v>1676</v>
      </c>
      <c r="AM100">
        <v>1313</v>
      </c>
      <c r="AN100">
        <v>1098</v>
      </c>
      <c r="AO100">
        <v>731</v>
      </c>
      <c r="AP100">
        <v>1640</v>
      </c>
      <c r="AQ100">
        <v>1529</v>
      </c>
      <c r="AR100">
        <v>396</v>
      </c>
      <c r="AT100">
        <v>277</v>
      </c>
      <c r="AU100">
        <v>642</v>
      </c>
      <c r="AV100">
        <v>828</v>
      </c>
      <c r="AW100">
        <v>107</v>
      </c>
      <c r="AX100">
        <v>810</v>
      </c>
      <c r="AY100">
        <v>828</v>
      </c>
      <c r="AZ100">
        <v>12990</v>
      </c>
      <c r="BA100">
        <v>426</v>
      </c>
      <c r="BB100">
        <v>2320</v>
      </c>
      <c r="BD100">
        <v>269</v>
      </c>
    </row>
    <row r="101" spans="1:56" x14ac:dyDescent="0.25">
      <c r="A101" t="s">
        <v>599</v>
      </c>
      <c r="B101" t="s">
        <v>423</v>
      </c>
      <c r="C101">
        <f t="shared" si="38"/>
        <v>48981</v>
      </c>
      <c r="D101">
        <v>50717</v>
      </c>
      <c r="E101">
        <v>1736</v>
      </c>
      <c r="F101">
        <f t="shared" si="39"/>
        <v>47164</v>
      </c>
      <c r="G101">
        <v>48900</v>
      </c>
      <c r="H101">
        <v>1736</v>
      </c>
      <c r="I101">
        <f t="shared" si="27"/>
        <v>2768</v>
      </c>
      <c r="J101">
        <f t="shared" si="28"/>
        <v>11547</v>
      </c>
      <c r="K101">
        <f t="shared" si="29"/>
        <v>5270</v>
      </c>
      <c r="L101">
        <f t="shared" si="30"/>
        <v>1440</v>
      </c>
      <c r="M101">
        <f t="shared" si="31"/>
        <v>373</v>
      </c>
      <c r="N101">
        <f t="shared" si="32"/>
        <v>1175</v>
      </c>
      <c r="O101">
        <f t="shared" si="33"/>
        <v>2985</v>
      </c>
      <c r="P101">
        <f t="shared" si="34"/>
        <v>8082</v>
      </c>
      <c r="Q101">
        <f t="shared" si="35"/>
        <v>10133</v>
      </c>
      <c r="R101">
        <f t="shared" si="36"/>
        <v>4115</v>
      </c>
      <c r="S101">
        <f t="shared" si="37"/>
        <v>669</v>
      </c>
      <c r="U101">
        <v>10916</v>
      </c>
      <c r="V101">
        <v>2335</v>
      </c>
      <c r="W101">
        <v>2538</v>
      </c>
      <c r="X101">
        <v>522</v>
      </c>
      <c r="Y101">
        <v>2024</v>
      </c>
      <c r="Z101">
        <v>4233</v>
      </c>
      <c r="AA101">
        <v>19907</v>
      </c>
      <c r="AB101">
        <v>6216</v>
      </c>
      <c r="AC101">
        <v>2137</v>
      </c>
      <c r="AD101">
        <v>615</v>
      </c>
      <c r="AE101">
        <f t="shared" si="40"/>
        <v>10939</v>
      </c>
      <c r="AF101">
        <v>5944</v>
      </c>
      <c r="AG101">
        <v>2298</v>
      </c>
      <c r="AH101">
        <v>95</v>
      </c>
      <c r="AI101">
        <f t="shared" si="41"/>
        <v>2203</v>
      </c>
      <c r="AJ101" t="s">
        <v>1170</v>
      </c>
      <c r="AK101">
        <v>27</v>
      </c>
      <c r="AL101">
        <v>1507</v>
      </c>
      <c r="AM101">
        <v>992</v>
      </c>
      <c r="AN101">
        <v>837</v>
      </c>
      <c r="AO101">
        <v>307</v>
      </c>
      <c r="AP101">
        <v>941</v>
      </c>
      <c r="AQ101">
        <v>717</v>
      </c>
      <c r="AR101">
        <v>132</v>
      </c>
      <c r="AT101">
        <v>149</v>
      </c>
      <c r="AU101">
        <v>121</v>
      </c>
      <c r="AV101">
        <v>352</v>
      </c>
      <c r="AW101">
        <v>61</v>
      </c>
      <c r="AX101">
        <v>834</v>
      </c>
      <c r="AY101">
        <v>533</v>
      </c>
      <c r="AZ101">
        <v>5113</v>
      </c>
      <c r="BA101">
        <v>10</v>
      </c>
      <c r="BB101">
        <v>796</v>
      </c>
      <c r="BD101">
        <v>886</v>
      </c>
    </row>
    <row r="102" spans="1:56" x14ac:dyDescent="0.25">
      <c r="A102" t="s">
        <v>601</v>
      </c>
      <c r="B102" t="s">
        <v>424</v>
      </c>
      <c r="C102">
        <f t="shared" si="38"/>
        <v>102397</v>
      </c>
      <c r="D102">
        <v>103574</v>
      </c>
      <c r="E102">
        <v>1177</v>
      </c>
      <c r="F102">
        <f t="shared" si="39"/>
        <v>98797</v>
      </c>
      <c r="G102">
        <v>99974</v>
      </c>
      <c r="H102">
        <v>1177</v>
      </c>
      <c r="I102">
        <f t="shared" si="27"/>
        <v>4930</v>
      </c>
      <c r="J102">
        <f t="shared" si="28"/>
        <v>14644</v>
      </c>
      <c r="K102">
        <f t="shared" si="29"/>
        <v>11104</v>
      </c>
      <c r="L102">
        <f t="shared" si="30"/>
        <v>2113</v>
      </c>
      <c r="M102">
        <f t="shared" si="31"/>
        <v>571</v>
      </c>
      <c r="N102">
        <f t="shared" si="32"/>
        <v>2743</v>
      </c>
      <c r="O102">
        <f t="shared" si="33"/>
        <v>5717</v>
      </c>
      <c r="P102">
        <f t="shared" si="34"/>
        <v>15761</v>
      </c>
      <c r="Q102">
        <f t="shared" si="35"/>
        <v>19627</v>
      </c>
      <c r="R102">
        <f t="shared" si="36"/>
        <v>7738</v>
      </c>
      <c r="S102">
        <f t="shared" si="37"/>
        <v>297</v>
      </c>
      <c r="U102">
        <v>17319</v>
      </c>
      <c r="V102">
        <v>2939</v>
      </c>
      <c r="W102">
        <v>4285</v>
      </c>
      <c r="X102">
        <v>974</v>
      </c>
      <c r="Y102">
        <v>5648</v>
      </c>
      <c r="Z102">
        <v>7731</v>
      </c>
      <c r="AA102">
        <v>38734</v>
      </c>
      <c r="AB102">
        <v>13235</v>
      </c>
      <c r="AC102">
        <v>1290</v>
      </c>
      <c r="AD102">
        <v>1669</v>
      </c>
      <c r="AE102">
        <f t="shared" si="40"/>
        <v>22540</v>
      </c>
      <c r="AF102">
        <v>8892</v>
      </c>
      <c r="AG102">
        <v>17052</v>
      </c>
      <c r="AH102">
        <v>15509</v>
      </c>
      <c r="AI102">
        <f t="shared" si="41"/>
        <v>1543</v>
      </c>
      <c r="AJ102" t="s">
        <v>1270</v>
      </c>
      <c r="AK102">
        <v>27</v>
      </c>
      <c r="AL102">
        <v>1219</v>
      </c>
      <c r="AM102">
        <v>541</v>
      </c>
      <c r="AN102">
        <v>613</v>
      </c>
      <c r="AO102">
        <v>535</v>
      </c>
      <c r="AP102">
        <v>1479</v>
      </c>
      <c r="AQ102">
        <v>2531</v>
      </c>
      <c r="AR102">
        <v>374</v>
      </c>
      <c r="AS102">
        <v>96</v>
      </c>
      <c r="AT102">
        <v>307</v>
      </c>
      <c r="AU102">
        <v>710</v>
      </c>
      <c r="AV102">
        <v>755</v>
      </c>
      <c r="AW102">
        <v>36</v>
      </c>
      <c r="AX102">
        <v>790</v>
      </c>
      <c r="AY102">
        <v>265</v>
      </c>
      <c r="AZ102">
        <v>5950</v>
      </c>
      <c r="BA102">
        <v>189</v>
      </c>
      <c r="BB102">
        <v>2724</v>
      </c>
      <c r="BD102">
        <v>433</v>
      </c>
    </row>
    <row r="103" spans="1:56" x14ac:dyDescent="0.25">
      <c r="A103" t="s">
        <v>599</v>
      </c>
      <c r="B103" t="s">
        <v>425</v>
      </c>
      <c r="C103">
        <f t="shared" si="38"/>
        <v>73163</v>
      </c>
      <c r="D103">
        <v>74450</v>
      </c>
      <c r="E103">
        <v>1287</v>
      </c>
      <c r="F103">
        <f t="shared" si="39"/>
        <v>71012</v>
      </c>
      <c r="G103">
        <v>72299</v>
      </c>
      <c r="H103">
        <v>1287</v>
      </c>
      <c r="I103">
        <f t="shared" si="27"/>
        <v>3250</v>
      </c>
      <c r="J103">
        <f t="shared" si="28"/>
        <v>12640</v>
      </c>
      <c r="K103">
        <f t="shared" si="29"/>
        <v>5131</v>
      </c>
      <c r="L103">
        <f t="shared" si="30"/>
        <v>1849</v>
      </c>
      <c r="M103">
        <f t="shared" si="31"/>
        <v>2095</v>
      </c>
      <c r="N103">
        <f t="shared" si="32"/>
        <v>2658</v>
      </c>
      <c r="O103">
        <f t="shared" si="33"/>
        <v>4322</v>
      </c>
      <c r="P103">
        <f t="shared" si="34"/>
        <v>11453</v>
      </c>
      <c r="Q103">
        <f t="shared" si="35"/>
        <v>16537</v>
      </c>
      <c r="R103">
        <f t="shared" si="36"/>
        <v>6279</v>
      </c>
      <c r="S103">
        <f t="shared" si="37"/>
        <v>1996</v>
      </c>
      <c r="U103">
        <v>12170</v>
      </c>
      <c r="V103">
        <v>2265</v>
      </c>
      <c r="W103">
        <v>4197</v>
      </c>
      <c r="X103">
        <v>2548</v>
      </c>
      <c r="Y103">
        <v>3774</v>
      </c>
      <c r="Z103">
        <v>6278</v>
      </c>
      <c r="AA103">
        <v>29355</v>
      </c>
      <c r="AB103">
        <v>6867</v>
      </c>
      <c r="AC103">
        <v>4143</v>
      </c>
      <c r="AD103">
        <v>484</v>
      </c>
      <c r="AE103">
        <f t="shared" si="40"/>
        <v>17861</v>
      </c>
      <c r="AF103">
        <v>7228</v>
      </c>
      <c r="AG103">
        <v>6635</v>
      </c>
      <c r="AH103">
        <v>3109</v>
      </c>
      <c r="AI103">
        <f t="shared" si="41"/>
        <v>3526</v>
      </c>
      <c r="AJ103" t="s">
        <v>1233</v>
      </c>
      <c r="AK103">
        <v>183</v>
      </c>
      <c r="AL103">
        <v>1347</v>
      </c>
      <c r="AM103">
        <v>287</v>
      </c>
      <c r="AN103">
        <v>662</v>
      </c>
      <c r="AO103">
        <v>687</v>
      </c>
      <c r="AP103">
        <v>1269</v>
      </c>
      <c r="AQ103">
        <v>990</v>
      </c>
      <c r="AR103">
        <v>126</v>
      </c>
      <c r="AS103">
        <v>4</v>
      </c>
      <c r="AT103">
        <v>449</v>
      </c>
      <c r="AU103">
        <v>331</v>
      </c>
      <c r="AV103">
        <v>735</v>
      </c>
      <c r="AW103">
        <v>30</v>
      </c>
      <c r="AX103">
        <v>386</v>
      </c>
      <c r="AY103">
        <v>613</v>
      </c>
      <c r="AZ103">
        <v>6426</v>
      </c>
      <c r="BA103">
        <v>125</v>
      </c>
      <c r="BB103">
        <v>1199</v>
      </c>
      <c r="BD103">
        <v>41</v>
      </c>
    </row>
    <row r="104" spans="1:56" x14ac:dyDescent="0.25">
      <c r="A104" t="s">
        <v>599</v>
      </c>
      <c r="B104" t="s">
        <v>467</v>
      </c>
      <c r="C104">
        <f t="shared" si="38"/>
        <v>47617</v>
      </c>
      <c r="D104">
        <v>47617</v>
      </c>
      <c r="E104">
        <v>0</v>
      </c>
      <c r="F104">
        <f t="shared" si="39"/>
        <v>46103</v>
      </c>
      <c r="G104">
        <v>46103</v>
      </c>
      <c r="H104">
        <v>0</v>
      </c>
      <c r="I104">
        <f t="shared" si="27"/>
        <v>1583</v>
      </c>
      <c r="J104">
        <f t="shared" si="28"/>
        <v>9219</v>
      </c>
      <c r="K104">
        <f t="shared" si="29"/>
        <v>4884</v>
      </c>
      <c r="L104">
        <f t="shared" si="30"/>
        <v>1326</v>
      </c>
      <c r="M104">
        <f t="shared" si="31"/>
        <v>796</v>
      </c>
      <c r="N104">
        <f t="shared" si="32"/>
        <v>827</v>
      </c>
      <c r="O104">
        <f t="shared" si="33"/>
        <v>3101</v>
      </c>
      <c r="P104">
        <f t="shared" si="34"/>
        <v>11399</v>
      </c>
      <c r="Q104">
        <f t="shared" si="35"/>
        <v>8568</v>
      </c>
      <c r="R104">
        <f t="shared" si="36"/>
        <v>3238</v>
      </c>
      <c r="S104">
        <f t="shared" si="37"/>
        <v>600</v>
      </c>
      <c r="U104">
        <v>9846</v>
      </c>
      <c r="V104">
        <v>1644</v>
      </c>
      <c r="W104">
        <v>1445</v>
      </c>
      <c r="X104">
        <v>1027</v>
      </c>
      <c r="Y104">
        <v>1399</v>
      </c>
      <c r="Z104">
        <v>3875</v>
      </c>
      <c r="AA104">
        <v>21943</v>
      </c>
      <c r="AB104">
        <v>5127</v>
      </c>
      <c r="AC104">
        <v>6045</v>
      </c>
      <c r="AD104">
        <v>790</v>
      </c>
      <c r="AE104">
        <f t="shared" si="40"/>
        <v>9981</v>
      </c>
      <c r="AF104">
        <v>4062</v>
      </c>
      <c r="AG104">
        <v>2376</v>
      </c>
      <c r="AH104">
        <v>1043</v>
      </c>
      <c r="AI104">
        <f t="shared" si="41"/>
        <v>1333</v>
      </c>
      <c r="AJ104" t="s">
        <v>1207</v>
      </c>
      <c r="AL104">
        <v>733</v>
      </c>
      <c r="AM104">
        <v>415</v>
      </c>
      <c r="AN104">
        <v>409</v>
      </c>
      <c r="AO104">
        <v>107</v>
      </c>
      <c r="AP104">
        <v>667</v>
      </c>
      <c r="AQ104">
        <v>471</v>
      </c>
      <c r="AR104">
        <v>101</v>
      </c>
      <c r="AT104">
        <v>231</v>
      </c>
      <c r="AU104">
        <v>73</v>
      </c>
      <c r="AV104">
        <v>339</v>
      </c>
      <c r="AX104">
        <v>318</v>
      </c>
      <c r="AY104">
        <v>404</v>
      </c>
      <c r="AZ104">
        <v>4558</v>
      </c>
      <c r="BA104">
        <v>113</v>
      </c>
      <c r="BB104">
        <v>1300</v>
      </c>
      <c r="BD104">
        <v>563</v>
      </c>
    </row>
    <row r="105" spans="1:56" x14ac:dyDescent="0.25">
      <c r="A105" t="s">
        <v>608</v>
      </c>
      <c r="B105" t="s">
        <v>426</v>
      </c>
      <c r="C105">
        <f t="shared" si="38"/>
        <v>66002</v>
      </c>
      <c r="D105">
        <v>68046</v>
      </c>
      <c r="E105">
        <v>2044</v>
      </c>
      <c r="F105">
        <f t="shared" si="39"/>
        <v>59960</v>
      </c>
      <c r="G105">
        <v>62004</v>
      </c>
      <c r="H105">
        <v>2044</v>
      </c>
      <c r="I105">
        <f t="shared" si="27"/>
        <v>2675</v>
      </c>
      <c r="J105">
        <f t="shared" si="28"/>
        <v>936</v>
      </c>
      <c r="K105">
        <f t="shared" si="29"/>
        <v>11177</v>
      </c>
      <c r="L105">
        <f t="shared" si="30"/>
        <v>2414</v>
      </c>
      <c r="M105">
        <f t="shared" si="31"/>
        <v>3793</v>
      </c>
      <c r="N105">
        <f t="shared" si="32"/>
        <v>1707</v>
      </c>
      <c r="O105">
        <f t="shared" si="33"/>
        <v>4786</v>
      </c>
      <c r="P105">
        <f t="shared" si="34"/>
        <v>11268</v>
      </c>
      <c r="Q105">
        <f t="shared" si="35"/>
        <v>14367</v>
      </c>
      <c r="R105">
        <f t="shared" si="36"/>
        <v>4426</v>
      </c>
      <c r="S105">
        <f t="shared" si="37"/>
        <v>2445</v>
      </c>
      <c r="U105">
        <v>12501</v>
      </c>
      <c r="V105">
        <v>2443</v>
      </c>
      <c r="W105">
        <v>2502</v>
      </c>
      <c r="X105">
        <v>3793</v>
      </c>
      <c r="Y105">
        <v>2474</v>
      </c>
      <c r="Z105">
        <v>5733</v>
      </c>
      <c r="AA105">
        <v>25725</v>
      </c>
      <c r="AB105">
        <v>8494</v>
      </c>
      <c r="AC105">
        <v>1678</v>
      </c>
      <c r="AD105">
        <v>1096</v>
      </c>
      <c r="AE105">
        <f t="shared" si="40"/>
        <v>14457</v>
      </c>
      <c r="AF105">
        <v>4676</v>
      </c>
      <c r="AG105">
        <v>8199</v>
      </c>
      <c r="AH105">
        <v>5699</v>
      </c>
      <c r="AI105">
        <f t="shared" si="41"/>
        <v>2500</v>
      </c>
      <c r="AJ105" t="s">
        <v>1171</v>
      </c>
      <c r="AK105">
        <v>55</v>
      </c>
      <c r="AM105">
        <v>250</v>
      </c>
      <c r="AO105">
        <v>947</v>
      </c>
      <c r="AQ105">
        <v>767</v>
      </c>
      <c r="AU105">
        <v>149</v>
      </c>
      <c r="AW105">
        <v>29</v>
      </c>
      <c r="AY105">
        <v>388</v>
      </c>
      <c r="AZ105">
        <v>936</v>
      </c>
      <c r="BA105">
        <v>90</v>
      </c>
    </row>
    <row r="106" spans="1:56" x14ac:dyDescent="0.25">
      <c r="A106" t="s">
        <v>603</v>
      </c>
      <c r="B106" t="s">
        <v>344</v>
      </c>
      <c r="C106">
        <f t="shared" si="38"/>
        <v>119909</v>
      </c>
      <c r="D106">
        <v>120158</v>
      </c>
      <c r="E106">
        <v>249</v>
      </c>
      <c r="F106">
        <f t="shared" si="39"/>
        <v>117624</v>
      </c>
      <c r="G106">
        <v>117873</v>
      </c>
      <c r="H106">
        <v>249</v>
      </c>
      <c r="I106">
        <f t="shared" si="27"/>
        <v>6129</v>
      </c>
      <c r="J106">
        <f t="shared" si="28"/>
        <v>33777</v>
      </c>
      <c r="K106">
        <f t="shared" si="29"/>
        <v>8935</v>
      </c>
      <c r="L106">
        <f t="shared" si="30"/>
        <v>2097</v>
      </c>
      <c r="M106">
        <f t="shared" si="31"/>
        <v>2377</v>
      </c>
      <c r="N106">
        <f t="shared" si="32"/>
        <v>3153</v>
      </c>
      <c r="O106">
        <f t="shared" si="33"/>
        <v>8166</v>
      </c>
      <c r="P106">
        <f t="shared" si="34"/>
        <v>10447</v>
      </c>
      <c r="Q106">
        <f t="shared" si="35"/>
        <v>21860</v>
      </c>
      <c r="R106">
        <f t="shared" si="36"/>
        <v>11444</v>
      </c>
      <c r="S106">
        <f t="shared" si="37"/>
        <v>1167</v>
      </c>
      <c r="U106">
        <v>22606</v>
      </c>
      <c r="V106">
        <v>2943</v>
      </c>
      <c r="W106">
        <v>8927</v>
      </c>
      <c r="X106">
        <v>3019</v>
      </c>
      <c r="Y106">
        <v>5130</v>
      </c>
      <c r="Z106">
        <v>12649</v>
      </c>
      <c r="AA106">
        <v>42759</v>
      </c>
      <c r="AB106">
        <v>9476</v>
      </c>
      <c r="AC106">
        <v>6835</v>
      </c>
      <c r="AD106">
        <v>1216</v>
      </c>
      <c r="AE106">
        <f t="shared" si="40"/>
        <v>25232</v>
      </c>
      <c r="AF106">
        <v>14670</v>
      </c>
      <c r="AG106">
        <v>7455</v>
      </c>
      <c r="AH106">
        <v>4216</v>
      </c>
      <c r="AI106">
        <f t="shared" si="41"/>
        <v>3239</v>
      </c>
      <c r="AJ106" t="s">
        <v>1290</v>
      </c>
      <c r="AK106">
        <v>65</v>
      </c>
      <c r="AL106">
        <v>2007</v>
      </c>
      <c r="AM106">
        <v>1314</v>
      </c>
      <c r="AN106">
        <v>1912</v>
      </c>
      <c r="AO106">
        <v>1359</v>
      </c>
      <c r="AP106">
        <v>3124</v>
      </c>
      <c r="AQ106">
        <v>1504</v>
      </c>
      <c r="AR106">
        <v>473</v>
      </c>
      <c r="AS106">
        <v>78</v>
      </c>
      <c r="AT106">
        <v>564</v>
      </c>
      <c r="AU106">
        <v>676</v>
      </c>
      <c r="AV106">
        <v>1861</v>
      </c>
      <c r="AW106">
        <v>56</v>
      </c>
      <c r="AX106">
        <v>790</v>
      </c>
      <c r="AY106">
        <v>860</v>
      </c>
      <c r="AZ106">
        <v>12811</v>
      </c>
      <c r="BA106">
        <v>216</v>
      </c>
      <c r="BB106">
        <v>3156</v>
      </c>
      <c r="BC106">
        <v>1</v>
      </c>
      <c r="BD106">
        <v>7079</v>
      </c>
    </row>
    <row r="107" spans="1:56" x14ac:dyDescent="0.25">
      <c r="A107" t="s">
        <v>610</v>
      </c>
      <c r="B107" t="s">
        <v>390</v>
      </c>
      <c r="C107">
        <f t="shared" si="38"/>
        <v>127901</v>
      </c>
      <c r="D107">
        <v>128475</v>
      </c>
      <c r="E107">
        <v>574</v>
      </c>
      <c r="F107">
        <f t="shared" si="39"/>
        <v>122456</v>
      </c>
      <c r="G107">
        <v>123030</v>
      </c>
      <c r="H107">
        <v>574</v>
      </c>
      <c r="I107">
        <f t="shared" si="27"/>
        <v>5614</v>
      </c>
      <c r="J107">
        <f t="shared" si="28"/>
        <v>18218</v>
      </c>
      <c r="K107">
        <f t="shared" si="29"/>
        <v>10372</v>
      </c>
      <c r="L107">
        <f t="shared" si="30"/>
        <v>2856</v>
      </c>
      <c r="M107">
        <f t="shared" si="31"/>
        <v>579</v>
      </c>
      <c r="N107">
        <f t="shared" si="32"/>
        <v>4604</v>
      </c>
      <c r="O107">
        <f t="shared" si="33"/>
        <v>7056</v>
      </c>
      <c r="P107">
        <f t="shared" si="34"/>
        <v>23523</v>
      </c>
      <c r="Q107">
        <f t="shared" si="35"/>
        <v>25455</v>
      </c>
      <c r="R107">
        <f t="shared" si="36"/>
        <v>7556</v>
      </c>
      <c r="S107">
        <f t="shared" si="37"/>
        <v>803</v>
      </c>
      <c r="U107">
        <v>19665</v>
      </c>
      <c r="V107">
        <v>3566</v>
      </c>
      <c r="W107">
        <v>9743</v>
      </c>
      <c r="X107">
        <v>939</v>
      </c>
      <c r="Y107">
        <v>7670</v>
      </c>
      <c r="Z107">
        <v>9023</v>
      </c>
      <c r="AA107">
        <v>50120</v>
      </c>
      <c r="AB107">
        <v>16026</v>
      </c>
      <c r="AC107">
        <v>6085</v>
      </c>
      <c r="AD107">
        <v>1745</v>
      </c>
      <c r="AE107">
        <f t="shared" si="40"/>
        <v>26264</v>
      </c>
      <c r="AF107">
        <v>9789</v>
      </c>
      <c r="AG107">
        <v>17960</v>
      </c>
      <c r="AH107">
        <v>15546</v>
      </c>
      <c r="AI107">
        <f t="shared" si="41"/>
        <v>2414</v>
      </c>
      <c r="AJ107" t="s">
        <v>1144</v>
      </c>
      <c r="AL107">
        <v>1611</v>
      </c>
      <c r="AM107">
        <v>504</v>
      </c>
      <c r="AN107">
        <v>1729</v>
      </c>
      <c r="AO107">
        <v>530</v>
      </c>
      <c r="AP107">
        <v>1437</v>
      </c>
      <c r="AQ107">
        <v>1942</v>
      </c>
      <c r="AR107">
        <v>1124</v>
      </c>
      <c r="AS107">
        <v>2</v>
      </c>
      <c r="AT107">
        <v>358</v>
      </c>
      <c r="AU107">
        <v>1709</v>
      </c>
      <c r="AV107">
        <v>1741</v>
      </c>
      <c r="AW107">
        <v>39</v>
      </c>
      <c r="AX107">
        <v>671</v>
      </c>
      <c r="AY107">
        <v>813</v>
      </c>
      <c r="AZ107">
        <v>8480</v>
      </c>
      <c r="BA107">
        <v>75</v>
      </c>
      <c r="BB107">
        <v>734</v>
      </c>
      <c r="BD107">
        <v>333</v>
      </c>
    </row>
    <row r="108" spans="1:56" x14ac:dyDescent="0.25">
      <c r="A108" t="s">
        <v>599</v>
      </c>
      <c r="B108" t="s">
        <v>427</v>
      </c>
      <c r="C108">
        <f t="shared" si="38"/>
        <v>63648</v>
      </c>
      <c r="D108">
        <v>64094</v>
      </c>
      <c r="E108">
        <v>446</v>
      </c>
      <c r="F108">
        <f t="shared" si="39"/>
        <v>57362</v>
      </c>
      <c r="G108">
        <v>57808</v>
      </c>
      <c r="H108">
        <v>446</v>
      </c>
      <c r="I108">
        <f t="shared" si="27"/>
        <v>3307</v>
      </c>
      <c r="J108">
        <f t="shared" si="28"/>
        <v>10561</v>
      </c>
      <c r="K108">
        <f t="shared" si="29"/>
        <v>4363</v>
      </c>
      <c r="L108">
        <f t="shared" si="30"/>
        <v>1314</v>
      </c>
      <c r="M108">
        <f t="shared" si="31"/>
        <v>420</v>
      </c>
      <c r="N108">
        <f t="shared" si="32"/>
        <v>1999</v>
      </c>
      <c r="O108">
        <f t="shared" si="33"/>
        <v>4045</v>
      </c>
      <c r="P108">
        <f t="shared" si="34"/>
        <v>8232</v>
      </c>
      <c r="Q108">
        <f t="shared" si="35"/>
        <v>11729</v>
      </c>
      <c r="R108">
        <f t="shared" si="36"/>
        <v>4520</v>
      </c>
      <c r="S108">
        <f t="shared" si="37"/>
        <v>621</v>
      </c>
      <c r="U108">
        <v>9740</v>
      </c>
      <c r="V108">
        <v>1714</v>
      </c>
      <c r="W108">
        <v>3638</v>
      </c>
      <c r="X108">
        <v>482</v>
      </c>
      <c r="Y108">
        <v>2642</v>
      </c>
      <c r="Z108">
        <v>5214</v>
      </c>
      <c r="AA108">
        <v>22185</v>
      </c>
      <c r="AB108">
        <v>5807</v>
      </c>
      <c r="AC108">
        <v>2480</v>
      </c>
      <c r="AD108">
        <v>713</v>
      </c>
      <c r="AE108">
        <f t="shared" si="40"/>
        <v>13185</v>
      </c>
      <c r="AF108">
        <v>5861</v>
      </c>
      <c r="AG108">
        <v>12618</v>
      </c>
      <c r="AH108">
        <v>10674</v>
      </c>
      <c r="AI108">
        <f t="shared" si="41"/>
        <v>1944</v>
      </c>
      <c r="AJ108" t="s">
        <v>1172</v>
      </c>
      <c r="AK108">
        <v>11</v>
      </c>
      <c r="AL108">
        <v>1312</v>
      </c>
      <c r="AM108">
        <v>564</v>
      </c>
      <c r="AN108">
        <v>777</v>
      </c>
      <c r="AO108">
        <v>890</v>
      </c>
      <c r="AP108">
        <v>279</v>
      </c>
      <c r="AQ108">
        <v>525</v>
      </c>
      <c r="AR108">
        <v>118</v>
      </c>
      <c r="AS108">
        <v>1</v>
      </c>
      <c r="AT108">
        <v>61</v>
      </c>
      <c r="AU108">
        <v>823</v>
      </c>
      <c r="AV108">
        <v>506</v>
      </c>
      <c r="AW108">
        <v>28</v>
      </c>
      <c r="AX108">
        <v>372</v>
      </c>
      <c r="AY108">
        <v>167</v>
      </c>
      <c r="AZ108">
        <v>5210</v>
      </c>
      <c r="BA108">
        <v>298</v>
      </c>
      <c r="BB108">
        <v>1158</v>
      </c>
      <c r="BD108">
        <v>768</v>
      </c>
    </row>
    <row r="109" spans="1:56" x14ac:dyDescent="0.25">
      <c r="A109" t="s">
        <v>600</v>
      </c>
      <c r="B109" t="s">
        <v>563</v>
      </c>
      <c r="C109">
        <f t="shared" si="38"/>
        <v>132794</v>
      </c>
      <c r="D109">
        <v>135365</v>
      </c>
      <c r="E109">
        <v>2571</v>
      </c>
      <c r="F109">
        <f t="shared" si="39"/>
        <v>132839</v>
      </c>
      <c r="G109">
        <v>135410</v>
      </c>
      <c r="H109">
        <v>2571</v>
      </c>
      <c r="I109">
        <f t="shared" si="27"/>
        <v>7582</v>
      </c>
      <c r="J109">
        <f t="shared" si="28"/>
        <v>28278</v>
      </c>
      <c r="K109">
        <f t="shared" si="29"/>
        <v>12671</v>
      </c>
      <c r="L109">
        <f t="shared" si="30"/>
        <v>4706</v>
      </c>
      <c r="M109">
        <f t="shared" si="31"/>
        <v>1284</v>
      </c>
      <c r="N109">
        <f t="shared" si="32"/>
        <v>4575</v>
      </c>
      <c r="O109">
        <f t="shared" si="33"/>
        <v>9014</v>
      </c>
      <c r="P109">
        <f t="shared" si="34"/>
        <v>17703</v>
      </c>
      <c r="Q109">
        <f t="shared" si="35"/>
        <v>25986</v>
      </c>
      <c r="R109">
        <f t="shared" si="36"/>
        <v>12515</v>
      </c>
      <c r="S109">
        <f t="shared" si="37"/>
        <v>2140</v>
      </c>
      <c r="U109">
        <v>26996</v>
      </c>
      <c r="V109">
        <v>5481</v>
      </c>
      <c r="W109">
        <v>8598</v>
      </c>
      <c r="X109">
        <v>1523</v>
      </c>
      <c r="Y109">
        <v>6507</v>
      </c>
      <c r="Z109">
        <v>13576</v>
      </c>
      <c r="AA109">
        <v>49300</v>
      </c>
      <c r="AB109">
        <v>16875</v>
      </c>
      <c r="AC109">
        <v>1906</v>
      </c>
      <c r="AD109">
        <v>1736</v>
      </c>
      <c r="AE109">
        <f t="shared" si="40"/>
        <v>28783</v>
      </c>
      <c r="AF109">
        <v>15151</v>
      </c>
      <c r="AG109">
        <v>8233</v>
      </c>
      <c r="AH109">
        <v>4110</v>
      </c>
      <c r="AI109">
        <f t="shared" si="41"/>
        <v>4123</v>
      </c>
      <c r="AJ109" t="s">
        <v>1295</v>
      </c>
      <c r="AK109">
        <v>28</v>
      </c>
      <c r="AL109">
        <v>1955</v>
      </c>
      <c r="AM109">
        <v>1397</v>
      </c>
      <c r="AN109">
        <v>1239</v>
      </c>
      <c r="AO109">
        <v>1676</v>
      </c>
      <c r="AP109">
        <v>2886</v>
      </c>
      <c r="AQ109">
        <v>1774</v>
      </c>
      <c r="AR109">
        <v>158</v>
      </c>
      <c r="AT109">
        <v>239</v>
      </c>
      <c r="AU109">
        <v>1305</v>
      </c>
      <c r="AV109">
        <v>2492</v>
      </c>
      <c r="AW109">
        <v>139</v>
      </c>
      <c r="AX109">
        <v>636</v>
      </c>
      <c r="AY109">
        <v>1262</v>
      </c>
      <c r="AZ109">
        <v>13063</v>
      </c>
      <c r="BA109">
        <v>1</v>
      </c>
      <c r="BB109">
        <v>2796</v>
      </c>
      <c r="BD109">
        <v>2814</v>
      </c>
    </row>
    <row r="110" spans="1:56" x14ac:dyDescent="0.25">
      <c r="A110" t="s">
        <v>603</v>
      </c>
      <c r="B110" t="s">
        <v>345</v>
      </c>
      <c r="C110">
        <f t="shared" si="38"/>
        <v>124743</v>
      </c>
      <c r="D110">
        <v>128870</v>
      </c>
      <c r="E110">
        <v>4127</v>
      </c>
      <c r="F110">
        <f t="shared" si="39"/>
        <v>117741</v>
      </c>
      <c r="G110">
        <v>121868</v>
      </c>
      <c r="H110">
        <v>4127</v>
      </c>
      <c r="I110">
        <f t="shared" si="27"/>
        <v>6060</v>
      </c>
      <c r="J110">
        <f t="shared" si="28"/>
        <v>21656</v>
      </c>
      <c r="K110">
        <f t="shared" si="29"/>
        <v>9983</v>
      </c>
      <c r="L110">
        <f t="shared" si="30"/>
        <v>3677</v>
      </c>
      <c r="M110">
        <f t="shared" si="31"/>
        <v>12811</v>
      </c>
      <c r="N110">
        <f t="shared" si="32"/>
        <v>6004</v>
      </c>
      <c r="O110">
        <f t="shared" si="33"/>
        <v>7542</v>
      </c>
      <c r="P110">
        <f t="shared" si="34"/>
        <v>23440</v>
      </c>
      <c r="Q110">
        <f t="shared" si="35"/>
        <v>19065</v>
      </c>
      <c r="R110">
        <f t="shared" si="36"/>
        <v>8520</v>
      </c>
      <c r="S110">
        <f t="shared" si="37"/>
        <v>1242</v>
      </c>
      <c r="U110">
        <v>21022</v>
      </c>
      <c r="V110">
        <v>4978</v>
      </c>
      <c r="W110">
        <v>9167</v>
      </c>
      <c r="X110">
        <v>13350</v>
      </c>
      <c r="Y110">
        <v>8397</v>
      </c>
      <c r="Z110">
        <v>10998</v>
      </c>
      <c r="AA110">
        <v>44209</v>
      </c>
      <c r="AB110">
        <v>15063</v>
      </c>
      <c r="AC110">
        <v>6189</v>
      </c>
      <c r="AD110">
        <v>2240</v>
      </c>
      <c r="AE110">
        <f t="shared" si="40"/>
        <v>20717</v>
      </c>
      <c r="AF110">
        <v>10136</v>
      </c>
      <c r="AG110">
        <v>6613</v>
      </c>
      <c r="AH110">
        <v>3434</v>
      </c>
      <c r="AI110">
        <f t="shared" si="41"/>
        <v>3179</v>
      </c>
      <c r="AJ110" t="s">
        <v>1109</v>
      </c>
      <c r="AK110">
        <v>76</v>
      </c>
      <c r="AL110">
        <v>1861</v>
      </c>
      <c r="AM110">
        <v>706</v>
      </c>
      <c r="AN110">
        <v>910</v>
      </c>
      <c r="AO110">
        <v>1257</v>
      </c>
      <c r="AP110">
        <v>2199</v>
      </c>
      <c r="AQ110">
        <v>1906</v>
      </c>
      <c r="AR110">
        <v>487</v>
      </c>
      <c r="AS110">
        <v>18</v>
      </c>
      <c r="AT110">
        <v>521</v>
      </c>
      <c r="AU110">
        <v>1116</v>
      </c>
      <c r="AV110">
        <v>2615</v>
      </c>
      <c r="AW110">
        <v>33</v>
      </c>
      <c r="AX110">
        <v>1268</v>
      </c>
      <c r="AY110">
        <v>895</v>
      </c>
      <c r="AZ110">
        <v>10144</v>
      </c>
      <c r="BA110">
        <v>53</v>
      </c>
      <c r="BB110">
        <v>1599</v>
      </c>
      <c r="BD110">
        <v>52</v>
      </c>
    </row>
    <row r="111" spans="1:56" x14ac:dyDescent="0.25">
      <c r="A111" t="s">
        <v>603</v>
      </c>
      <c r="B111" t="s">
        <v>346</v>
      </c>
      <c r="C111">
        <f t="shared" si="38"/>
        <v>256550</v>
      </c>
      <c r="D111">
        <v>260550</v>
      </c>
      <c r="E111">
        <v>4000</v>
      </c>
      <c r="F111">
        <f t="shared" si="39"/>
        <v>248613</v>
      </c>
      <c r="G111">
        <v>252613</v>
      </c>
      <c r="H111">
        <v>4000</v>
      </c>
      <c r="I111">
        <f t="shared" si="27"/>
        <v>16868</v>
      </c>
      <c r="J111">
        <f t="shared" si="28"/>
        <v>36009</v>
      </c>
      <c r="K111">
        <f t="shared" si="29"/>
        <v>18995</v>
      </c>
      <c r="L111">
        <f t="shared" si="30"/>
        <v>6265</v>
      </c>
      <c r="M111">
        <f t="shared" si="31"/>
        <v>2494</v>
      </c>
      <c r="N111">
        <f t="shared" si="32"/>
        <v>9879</v>
      </c>
      <c r="O111">
        <f t="shared" si="33"/>
        <v>18235</v>
      </c>
      <c r="P111">
        <f t="shared" si="34"/>
        <v>41647</v>
      </c>
      <c r="Q111">
        <f t="shared" si="35"/>
        <v>62686</v>
      </c>
      <c r="R111">
        <f t="shared" si="36"/>
        <v>22656</v>
      </c>
      <c r="S111">
        <f t="shared" si="37"/>
        <v>2867</v>
      </c>
      <c r="U111">
        <v>40060</v>
      </c>
      <c r="V111">
        <v>8959</v>
      </c>
      <c r="W111">
        <v>16600</v>
      </c>
      <c r="X111">
        <v>3206</v>
      </c>
      <c r="Y111">
        <v>14473</v>
      </c>
      <c r="Z111">
        <v>21490</v>
      </c>
      <c r="AA111">
        <v>113618</v>
      </c>
      <c r="AB111">
        <v>31953</v>
      </c>
      <c r="AC111">
        <v>11001</v>
      </c>
      <c r="AD111">
        <v>3008</v>
      </c>
      <c r="AE111">
        <f t="shared" si="40"/>
        <v>67656</v>
      </c>
      <c r="AF111">
        <v>26981</v>
      </c>
      <c r="AG111">
        <v>15163</v>
      </c>
      <c r="AH111">
        <v>10429</v>
      </c>
      <c r="AI111">
        <f t="shared" si="41"/>
        <v>4734</v>
      </c>
      <c r="AJ111" t="s">
        <v>1110</v>
      </c>
      <c r="AK111">
        <v>185</v>
      </c>
      <c r="AL111">
        <v>1682</v>
      </c>
      <c r="AM111">
        <v>3704</v>
      </c>
      <c r="AN111">
        <v>621</v>
      </c>
      <c r="AO111">
        <v>2419</v>
      </c>
      <c r="AP111">
        <v>836</v>
      </c>
      <c r="AQ111">
        <v>3119</v>
      </c>
      <c r="AR111">
        <v>1475</v>
      </c>
      <c r="AS111">
        <v>33</v>
      </c>
      <c r="AT111">
        <v>679</v>
      </c>
      <c r="AU111">
        <v>3885</v>
      </c>
      <c r="AV111">
        <v>1195</v>
      </c>
      <c r="AW111">
        <v>167</v>
      </c>
      <c r="AX111">
        <v>2527</v>
      </c>
      <c r="AY111">
        <v>3324</v>
      </c>
      <c r="AZ111">
        <v>17741</v>
      </c>
      <c r="BA111">
        <v>32</v>
      </c>
      <c r="BB111">
        <v>4938</v>
      </c>
      <c r="BD111">
        <v>4315</v>
      </c>
    </row>
    <row r="112" spans="1:56" x14ac:dyDescent="0.25">
      <c r="A112" t="s">
        <v>599</v>
      </c>
      <c r="B112" t="s">
        <v>428</v>
      </c>
      <c r="C112">
        <f t="shared" si="38"/>
        <v>26797</v>
      </c>
      <c r="D112">
        <v>26820</v>
      </c>
      <c r="E112">
        <v>23</v>
      </c>
      <c r="F112">
        <f t="shared" si="39"/>
        <v>27581</v>
      </c>
      <c r="G112">
        <v>27604</v>
      </c>
      <c r="H112">
        <v>23</v>
      </c>
      <c r="I112">
        <f t="shared" si="27"/>
        <v>1605</v>
      </c>
      <c r="J112">
        <f t="shared" si="28"/>
        <v>749</v>
      </c>
      <c r="K112">
        <f t="shared" si="29"/>
        <v>2841</v>
      </c>
      <c r="L112">
        <f t="shared" si="30"/>
        <v>1008</v>
      </c>
      <c r="M112">
        <f t="shared" si="31"/>
        <v>766</v>
      </c>
      <c r="N112">
        <f t="shared" si="32"/>
        <v>850</v>
      </c>
      <c r="O112">
        <f t="shared" si="33"/>
        <v>2102</v>
      </c>
      <c r="P112">
        <f t="shared" si="34"/>
        <v>5159</v>
      </c>
      <c r="Q112">
        <f t="shared" si="35"/>
        <v>7046</v>
      </c>
      <c r="R112">
        <f t="shared" si="36"/>
        <v>2093</v>
      </c>
      <c r="S112">
        <f t="shared" si="37"/>
        <v>963</v>
      </c>
      <c r="U112">
        <v>3632</v>
      </c>
      <c r="V112">
        <v>1008</v>
      </c>
      <c r="W112">
        <v>1525</v>
      </c>
      <c r="X112">
        <v>968</v>
      </c>
      <c r="Y112">
        <v>1442</v>
      </c>
      <c r="Z112">
        <v>2253</v>
      </c>
      <c r="AA112">
        <v>12355</v>
      </c>
      <c r="AB112">
        <v>3233</v>
      </c>
      <c r="AC112">
        <v>1669</v>
      </c>
      <c r="AD112">
        <v>286</v>
      </c>
      <c r="AE112">
        <f t="shared" si="40"/>
        <v>7167</v>
      </c>
      <c r="AF112">
        <v>2307</v>
      </c>
      <c r="AG112">
        <v>1330</v>
      </c>
      <c r="AH112">
        <v>363</v>
      </c>
      <c r="AI112">
        <f t="shared" si="41"/>
        <v>967</v>
      </c>
      <c r="AJ112" t="s">
        <v>1173</v>
      </c>
      <c r="AK112">
        <v>4</v>
      </c>
      <c r="AM112">
        <v>214</v>
      </c>
      <c r="AO112">
        <v>151</v>
      </c>
      <c r="AQ112">
        <v>592</v>
      </c>
      <c r="AS112">
        <v>88</v>
      </c>
      <c r="AT112">
        <v>114</v>
      </c>
      <c r="AU112">
        <v>250</v>
      </c>
      <c r="AY112">
        <v>185</v>
      </c>
      <c r="AZ112">
        <v>606</v>
      </c>
      <c r="BA112">
        <v>121</v>
      </c>
      <c r="BD112">
        <v>29</v>
      </c>
    </row>
    <row r="113" spans="1:56" x14ac:dyDescent="0.25">
      <c r="A113" t="s">
        <v>607</v>
      </c>
      <c r="B113" t="s">
        <v>148</v>
      </c>
      <c r="C113" s="312">
        <v>1066146</v>
      </c>
      <c r="D113">
        <v>0</v>
      </c>
      <c r="E113">
        <v>0</v>
      </c>
      <c r="F113">
        <v>1066146</v>
      </c>
      <c r="G113">
        <v>1066146</v>
      </c>
      <c r="H113">
        <v>0</v>
      </c>
      <c r="I113">
        <f t="shared" si="27"/>
        <v>0</v>
      </c>
      <c r="J113">
        <f t="shared" si="28"/>
        <v>0</v>
      </c>
      <c r="K113">
        <f t="shared" si="29"/>
        <v>0</v>
      </c>
      <c r="L113">
        <f t="shared" si="30"/>
        <v>0</v>
      </c>
      <c r="M113">
        <f t="shared" si="31"/>
        <v>0</v>
      </c>
      <c r="N113">
        <f t="shared" si="32"/>
        <v>0</v>
      </c>
      <c r="O113">
        <f t="shared" si="33"/>
        <v>0</v>
      </c>
      <c r="P113">
        <f t="shared" si="34"/>
        <v>0</v>
      </c>
      <c r="Q113">
        <f t="shared" si="35"/>
        <v>0</v>
      </c>
      <c r="R113">
        <f t="shared" si="36"/>
        <v>0</v>
      </c>
      <c r="S113">
        <f t="shared" si="37"/>
        <v>0</v>
      </c>
      <c r="U113" t="s">
        <v>843</v>
      </c>
      <c r="V113" t="s">
        <v>843</v>
      </c>
      <c r="W113" t="s">
        <v>843</v>
      </c>
      <c r="X113" t="s">
        <v>843</v>
      </c>
      <c r="Y113" t="s">
        <v>843</v>
      </c>
      <c r="Z113" t="s">
        <v>843</v>
      </c>
      <c r="AA113" t="s">
        <v>843</v>
      </c>
      <c r="AB113" t="s">
        <v>844</v>
      </c>
      <c r="AC113" t="s">
        <v>844</v>
      </c>
      <c r="AD113" t="s">
        <v>844</v>
      </c>
      <c r="AF113" t="s">
        <v>843</v>
      </c>
      <c r="AG113" t="s">
        <v>843</v>
      </c>
      <c r="AH113" t="s">
        <v>844</v>
      </c>
      <c r="AJ113" t="s">
        <v>958</v>
      </c>
      <c r="AK113">
        <v>0</v>
      </c>
      <c r="AL113">
        <v>0</v>
      </c>
      <c r="AM113">
        <v>0</v>
      </c>
      <c r="AN113">
        <v>0</v>
      </c>
      <c r="AO113">
        <v>0</v>
      </c>
      <c r="AP113">
        <v>0</v>
      </c>
      <c r="AQ113">
        <v>0</v>
      </c>
      <c r="AR113">
        <v>0</v>
      </c>
      <c r="AS113">
        <v>0</v>
      </c>
      <c r="AT113">
        <v>0</v>
      </c>
      <c r="AU113">
        <v>0</v>
      </c>
      <c r="AV113">
        <v>0</v>
      </c>
      <c r="AW113">
        <v>0</v>
      </c>
      <c r="AX113">
        <v>0</v>
      </c>
      <c r="AY113">
        <v>0</v>
      </c>
      <c r="AZ113">
        <v>0</v>
      </c>
      <c r="BA113">
        <v>0</v>
      </c>
      <c r="BB113">
        <v>0</v>
      </c>
      <c r="BD113">
        <v>0</v>
      </c>
    </row>
    <row r="114" spans="1:56" x14ac:dyDescent="0.25">
      <c r="A114" t="s">
        <v>608</v>
      </c>
      <c r="B114" t="s">
        <v>468</v>
      </c>
      <c r="C114">
        <f>SUM(D114,-E114)</f>
        <v>34471</v>
      </c>
      <c r="D114">
        <v>34771</v>
      </c>
      <c r="E114">
        <v>300</v>
      </c>
      <c r="F114">
        <f>SUM(G114,-H114)</f>
        <v>34144</v>
      </c>
      <c r="G114">
        <v>34444</v>
      </c>
      <c r="H114">
        <v>300</v>
      </c>
      <c r="I114">
        <f t="shared" si="27"/>
        <v>1537</v>
      </c>
      <c r="J114">
        <f t="shared" si="28"/>
        <v>7546</v>
      </c>
      <c r="K114">
        <f t="shared" si="29"/>
        <v>4041</v>
      </c>
      <c r="L114">
        <f t="shared" si="30"/>
        <v>1108</v>
      </c>
      <c r="M114">
        <f t="shared" si="31"/>
        <v>327</v>
      </c>
      <c r="N114">
        <f t="shared" si="32"/>
        <v>1523</v>
      </c>
      <c r="O114">
        <f t="shared" si="33"/>
        <v>2037</v>
      </c>
      <c r="P114">
        <f t="shared" si="34"/>
        <v>6120</v>
      </c>
      <c r="Q114">
        <f t="shared" si="35"/>
        <v>6384</v>
      </c>
      <c r="R114">
        <f t="shared" si="36"/>
        <v>2475</v>
      </c>
      <c r="S114">
        <f t="shared" si="37"/>
        <v>159</v>
      </c>
      <c r="U114">
        <v>9024</v>
      </c>
      <c r="V114">
        <v>1360</v>
      </c>
      <c r="W114">
        <v>2085</v>
      </c>
      <c r="X114">
        <v>554</v>
      </c>
      <c r="Y114">
        <v>1762</v>
      </c>
      <c r="Z114">
        <v>2461</v>
      </c>
      <c r="AA114">
        <v>13211</v>
      </c>
      <c r="AB114">
        <v>3352</v>
      </c>
      <c r="AC114">
        <v>2471</v>
      </c>
      <c r="AD114">
        <v>335</v>
      </c>
      <c r="AE114">
        <f>SUM(AA114,-AB114,-AC114,-AD114)</f>
        <v>7053</v>
      </c>
      <c r="AF114">
        <v>3335</v>
      </c>
      <c r="AG114">
        <v>979</v>
      </c>
      <c r="AH114">
        <v>98</v>
      </c>
      <c r="AI114">
        <f>SUM(AG114,-AH114)</f>
        <v>881</v>
      </c>
      <c r="AJ114" t="s">
        <v>1263</v>
      </c>
      <c r="AL114">
        <v>722</v>
      </c>
      <c r="AM114">
        <v>542</v>
      </c>
      <c r="AN114">
        <v>318</v>
      </c>
      <c r="AO114">
        <v>88</v>
      </c>
      <c r="AP114">
        <v>336</v>
      </c>
      <c r="AQ114">
        <v>201</v>
      </c>
      <c r="AR114">
        <v>38</v>
      </c>
      <c r="AS114">
        <v>13</v>
      </c>
      <c r="AT114">
        <v>214</v>
      </c>
      <c r="AU114">
        <v>272</v>
      </c>
      <c r="AV114">
        <v>397</v>
      </c>
      <c r="AW114">
        <v>39</v>
      </c>
      <c r="AX114">
        <v>213</v>
      </c>
      <c r="AY114">
        <v>325</v>
      </c>
      <c r="AZ114">
        <v>4658</v>
      </c>
      <c r="BA114">
        <v>57</v>
      </c>
      <c r="BB114">
        <v>612</v>
      </c>
      <c r="BD114">
        <v>38</v>
      </c>
    </row>
    <row r="115" spans="1:56" x14ac:dyDescent="0.25">
      <c r="A115" t="s">
        <v>604</v>
      </c>
      <c r="B115" t="s">
        <v>191</v>
      </c>
      <c r="C115">
        <f>SUM(D115,-E115)</f>
        <v>56064</v>
      </c>
      <c r="D115">
        <v>56461</v>
      </c>
      <c r="E115">
        <v>397</v>
      </c>
      <c r="F115">
        <f>SUM(G115,-H115)</f>
        <v>54571</v>
      </c>
      <c r="G115">
        <v>54968</v>
      </c>
      <c r="H115">
        <v>397</v>
      </c>
      <c r="I115">
        <f t="shared" si="27"/>
        <v>3942</v>
      </c>
      <c r="J115">
        <f t="shared" si="28"/>
        <v>12364</v>
      </c>
      <c r="K115">
        <f t="shared" si="29"/>
        <v>4955</v>
      </c>
      <c r="L115">
        <f t="shared" si="30"/>
        <v>1784</v>
      </c>
      <c r="M115">
        <f t="shared" si="31"/>
        <v>327</v>
      </c>
      <c r="N115">
        <f t="shared" si="32"/>
        <v>1092</v>
      </c>
      <c r="O115">
        <f t="shared" si="33"/>
        <v>1518</v>
      </c>
      <c r="P115">
        <f t="shared" si="34"/>
        <v>11885</v>
      </c>
      <c r="Q115">
        <f t="shared" si="35"/>
        <v>10792</v>
      </c>
      <c r="R115">
        <f t="shared" si="36"/>
        <v>4564</v>
      </c>
      <c r="S115">
        <f t="shared" si="37"/>
        <v>749</v>
      </c>
      <c r="U115">
        <v>11330</v>
      </c>
      <c r="V115">
        <v>2454</v>
      </c>
      <c r="W115">
        <v>3819</v>
      </c>
      <c r="X115">
        <v>430</v>
      </c>
      <c r="Y115">
        <v>1880</v>
      </c>
      <c r="Z115">
        <v>4421</v>
      </c>
      <c r="AA115">
        <v>24121</v>
      </c>
      <c r="AB115">
        <v>8122</v>
      </c>
      <c r="AC115">
        <v>3387</v>
      </c>
      <c r="AD115">
        <v>442</v>
      </c>
      <c r="AE115">
        <f>SUM(AA115,-AB115,-AC115,-AD115)</f>
        <v>12170</v>
      </c>
      <c r="AF115">
        <v>5665</v>
      </c>
      <c r="AG115">
        <v>2341</v>
      </c>
      <c r="AH115">
        <v>192</v>
      </c>
      <c r="AI115">
        <f>SUM(AG115,-AH115)</f>
        <v>2149</v>
      </c>
      <c r="AJ115" t="s">
        <v>986</v>
      </c>
      <c r="AK115">
        <v>115</v>
      </c>
      <c r="AL115">
        <v>1285</v>
      </c>
      <c r="AM115">
        <v>775</v>
      </c>
      <c r="AN115">
        <v>326</v>
      </c>
      <c r="AO115">
        <v>262</v>
      </c>
      <c r="AP115">
        <v>2641</v>
      </c>
      <c r="AQ115">
        <v>606</v>
      </c>
      <c r="AR115">
        <v>182</v>
      </c>
      <c r="AT115">
        <v>103</v>
      </c>
      <c r="AU115">
        <v>1261</v>
      </c>
      <c r="AV115">
        <v>261</v>
      </c>
      <c r="AX115">
        <v>670</v>
      </c>
      <c r="AY115">
        <v>824</v>
      </c>
      <c r="AZ115">
        <v>5551</v>
      </c>
      <c r="BA115">
        <v>99</v>
      </c>
      <c r="BB115">
        <v>1279</v>
      </c>
      <c r="BD115">
        <v>66</v>
      </c>
    </row>
    <row r="116" spans="1:56" x14ac:dyDescent="0.25">
      <c r="A116" t="s">
        <v>599</v>
      </c>
      <c r="B116" t="s">
        <v>429</v>
      </c>
      <c r="C116">
        <f>SUM(D116,-E116)</f>
        <v>33086</v>
      </c>
      <c r="D116">
        <v>34297</v>
      </c>
      <c r="E116">
        <v>1211</v>
      </c>
      <c r="F116">
        <f>SUM(G116,-H116)</f>
        <v>34246</v>
      </c>
      <c r="G116">
        <v>35457</v>
      </c>
      <c r="H116">
        <v>1211</v>
      </c>
      <c r="I116">
        <f t="shared" si="27"/>
        <v>901</v>
      </c>
      <c r="J116">
        <f t="shared" si="28"/>
        <v>6549</v>
      </c>
      <c r="K116">
        <f t="shared" si="29"/>
        <v>4042</v>
      </c>
      <c r="L116">
        <f t="shared" si="30"/>
        <v>1021</v>
      </c>
      <c r="M116">
        <f t="shared" si="31"/>
        <v>-215</v>
      </c>
      <c r="N116">
        <f t="shared" si="32"/>
        <v>767</v>
      </c>
      <c r="O116">
        <f t="shared" si="33"/>
        <v>1332</v>
      </c>
      <c r="P116">
        <f t="shared" si="34"/>
        <v>3922</v>
      </c>
      <c r="Q116">
        <f t="shared" si="35"/>
        <v>6705</v>
      </c>
      <c r="R116">
        <f t="shared" si="36"/>
        <v>2734</v>
      </c>
      <c r="S116">
        <f t="shared" si="37"/>
        <v>700</v>
      </c>
      <c r="U116">
        <v>7541</v>
      </c>
      <c r="V116">
        <v>1140</v>
      </c>
      <c r="W116">
        <v>1576</v>
      </c>
      <c r="X116">
        <v>237</v>
      </c>
      <c r="Y116">
        <v>960</v>
      </c>
      <c r="Z116">
        <v>1875</v>
      </c>
      <c r="AA116">
        <v>10962</v>
      </c>
      <c r="AB116">
        <v>2100</v>
      </c>
      <c r="AC116">
        <v>1640</v>
      </c>
      <c r="AD116">
        <v>182</v>
      </c>
      <c r="AE116">
        <f>SUM(AA116,-AB116,-AC116,-AD116)</f>
        <v>7040</v>
      </c>
      <c r="AF116">
        <v>3333</v>
      </c>
      <c r="AG116">
        <v>6673</v>
      </c>
      <c r="AH116">
        <v>4786</v>
      </c>
      <c r="AI116">
        <f>SUM(AG116,-AH116)</f>
        <v>1887</v>
      </c>
      <c r="AJ116" t="s">
        <v>1174</v>
      </c>
      <c r="AK116">
        <v>10</v>
      </c>
      <c r="AL116">
        <v>1177</v>
      </c>
      <c r="AM116">
        <v>334</v>
      </c>
      <c r="AN116">
        <v>265</v>
      </c>
      <c r="AO116">
        <v>187</v>
      </c>
      <c r="AP116">
        <v>356</v>
      </c>
      <c r="AQ116">
        <v>168</v>
      </c>
      <c r="AR116">
        <v>25</v>
      </c>
      <c r="AS116">
        <v>3</v>
      </c>
      <c r="AT116">
        <v>449</v>
      </c>
      <c r="AU116">
        <v>117</v>
      </c>
      <c r="AV116">
        <v>406</v>
      </c>
      <c r="AX116">
        <v>119</v>
      </c>
      <c r="AY116">
        <v>69</v>
      </c>
      <c r="AZ116">
        <v>3430</v>
      </c>
      <c r="BA116">
        <v>13</v>
      </c>
      <c r="BB116">
        <v>322</v>
      </c>
    </row>
    <row r="117" spans="1:56" x14ac:dyDescent="0.25">
      <c r="A117" t="s">
        <v>600</v>
      </c>
      <c r="B117" t="s">
        <v>301</v>
      </c>
      <c r="C117">
        <f>SUM(D117,-E117)</f>
        <v>529678</v>
      </c>
      <c r="D117">
        <v>543365</v>
      </c>
      <c r="E117">
        <v>13687</v>
      </c>
      <c r="F117">
        <f>SUM(G117,-H117)</f>
        <v>499530</v>
      </c>
      <c r="G117">
        <v>513217</v>
      </c>
      <c r="H117">
        <v>13687</v>
      </c>
      <c r="I117">
        <f t="shared" si="27"/>
        <v>29037</v>
      </c>
      <c r="J117">
        <f t="shared" si="28"/>
        <v>91273</v>
      </c>
      <c r="K117">
        <f t="shared" si="29"/>
        <v>42658</v>
      </c>
      <c r="L117">
        <f t="shared" si="30"/>
        <v>14353</v>
      </c>
      <c r="M117">
        <f t="shared" si="31"/>
        <v>2548</v>
      </c>
      <c r="N117">
        <f t="shared" si="32"/>
        <v>14564</v>
      </c>
      <c r="O117">
        <f t="shared" si="33"/>
        <v>41345</v>
      </c>
      <c r="P117">
        <f t="shared" si="34"/>
        <v>97599</v>
      </c>
      <c r="Q117">
        <f t="shared" si="35"/>
        <v>120337</v>
      </c>
      <c r="R117">
        <f t="shared" si="36"/>
        <v>41317</v>
      </c>
      <c r="S117">
        <f t="shared" si="37"/>
        <v>11244</v>
      </c>
      <c r="U117">
        <v>92808</v>
      </c>
      <c r="V117">
        <v>20753</v>
      </c>
      <c r="W117">
        <v>45963</v>
      </c>
      <c r="X117">
        <v>3017</v>
      </c>
      <c r="Y117">
        <v>21746</v>
      </c>
      <c r="Z117">
        <v>47672</v>
      </c>
      <c r="AA117">
        <v>233645</v>
      </c>
      <c r="AB117">
        <v>75826</v>
      </c>
      <c r="AC117">
        <v>23721</v>
      </c>
      <c r="AD117">
        <v>5728</v>
      </c>
      <c r="AE117">
        <f>SUM(AA117,-AB117,-AC117,-AD117)</f>
        <v>128370</v>
      </c>
      <c r="AF117">
        <v>48640</v>
      </c>
      <c r="AG117">
        <v>29121</v>
      </c>
      <c r="AH117">
        <v>4671</v>
      </c>
      <c r="AI117">
        <f>SUM(AG117,-AH117)</f>
        <v>24450</v>
      </c>
      <c r="AJ117" t="s">
        <v>1075</v>
      </c>
      <c r="AK117">
        <v>4405</v>
      </c>
      <c r="AL117">
        <v>8801</v>
      </c>
      <c r="AM117">
        <v>3730</v>
      </c>
      <c r="AN117">
        <v>3593</v>
      </c>
      <c r="AO117">
        <v>3550</v>
      </c>
      <c r="AP117">
        <v>2777</v>
      </c>
      <c r="AQ117">
        <v>5488</v>
      </c>
      <c r="AR117">
        <v>1694</v>
      </c>
      <c r="AS117">
        <v>4</v>
      </c>
      <c r="AT117">
        <v>465</v>
      </c>
      <c r="AU117">
        <v>8323</v>
      </c>
      <c r="AV117">
        <v>5221</v>
      </c>
      <c r="AW117">
        <v>10</v>
      </c>
      <c r="AX117">
        <v>6390</v>
      </c>
      <c r="AY117">
        <v>3487</v>
      </c>
      <c r="AZ117">
        <v>46663</v>
      </c>
      <c r="BA117">
        <v>40</v>
      </c>
      <c r="BB117">
        <v>7993</v>
      </c>
      <c r="BD117">
        <v>7676</v>
      </c>
    </row>
    <row r="118" spans="1:56" x14ac:dyDescent="0.25">
      <c r="A118" t="s">
        <v>600</v>
      </c>
      <c r="B118" t="s">
        <v>302</v>
      </c>
      <c r="C118" s="312">
        <v>446199</v>
      </c>
      <c r="D118">
        <v>0</v>
      </c>
      <c r="E118">
        <v>0</v>
      </c>
      <c r="F118">
        <v>446199</v>
      </c>
      <c r="G118">
        <v>446199</v>
      </c>
      <c r="H118">
        <v>0</v>
      </c>
      <c r="I118">
        <f t="shared" si="27"/>
        <v>0</v>
      </c>
      <c r="J118">
        <f t="shared" si="28"/>
        <v>0</v>
      </c>
      <c r="K118">
        <f t="shared" si="29"/>
        <v>0</v>
      </c>
      <c r="L118">
        <f t="shared" si="30"/>
        <v>0</v>
      </c>
      <c r="M118">
        <f t="shared" si="31"/>
        <v>0</v>
      </c>
      <c r="N118">
        <f t="shared" si="32"/>
        <v>0</v>
      </c>
      <c r="O118">
        <f t="shared" si="33"/>
        <v>0</v>
      </c>
      <c r="P118">
        <f t="shared" si="34"/>
        <v>0</v>
      </c>
      <c r="Q118">
        <f t="shared" si="35"/>
        <v>0</v>
      </c>
      <c r="R118">
        <f t="shared" si="36"/>
        <v>0</v>
      </c>
      <c r="S118">
        <f t="shared" si="37"/>
        <v>0</v>
      </c>
      <c r="U118" t="s">
        <v>843</v>
      </c>
      <c r="V118" t="s">
        <v>843</v>
      </c>
      <c r="W118" t="s">
        <v>843</v>
      </c>
      <c r="X118" t="s">
        <v>843</v>
      </c>
      <c r="Y118" t="s">
        <v>843</v>
      </c>
      <c r="Z118" t="s">
        <v>843</v>
      </c>
      <c r="AA118" t="s">
        <v>843</v>
      </c>
      <c r="AB118" t="s">
        <v>844</v>
      </c>
      <c r="AC118" t="s">
        <v>844</v>
      </c>
      <c r="AD118" t="s">
        <v>844</v>
      </c>
      <c r="AF118" t="s">
        <v>843</v>
      </c>
      <c r="AG118" t="s">
        <v>843</v>
      </c>
      <c r="AH118" t="s">
        <v>844</v>
      </c>
      <c r="AJ118" t="s">
        <v>1076</v>
      </c>
      <c r="AK118">
        <v>0</v>
      </c>
      <c r="AL118">
        <v>0</v>
      </c>
      <c r="AM118">
        <v>0</v>
      </c>
      <c r="AN118">
        <v>0</v>
      </c>
      <c r="AO118">
        <v>0</v>
      </c>
      <c r="AP118">
        <v>0</v>
      </c>
      <c r="AQ118">
        <v>0</v>
      </c>
      <c r="AR118">
        <v>0</v>
      </c>
      <c r="AS118">
        <v>0</v>
      </c>
      <c r="AT118">
        <v>0</v>
      </c>
      <c r="AU118">
        <v>0</v>
      </c>
      <c r="AV118">
        <v>0</v>
      </c>
      <c r="AW118">
        <v>0</v>
      </c>
      <c r="AX118">
        <v>0</v>
      </c>
      <c r="AY118">
        <v>0</v>
      </c>
      <c r="AZ118">
        <v>0</v>
      </c>
      <c r="BA118">
        <v>0</v>
      </c>
      <c r="BB118">
        <v>0</v>
      </c>
      <c r="BD118">
        <v>0</v>
      </c>
    </row>
    <row r="119" spans="1:56" x14ac:dyDescent="0.25">
      <c r="A119" t="s">
        <v>599</v>
      </c>
      <c r="B119" t="s">
        <v>430</v>
      </c>
      <c r="C119">
        <f t="shared" ref="C119:C137" si="42">SUM(D119,-E119)</f>
        <v>73989</v>
      </c>
      <c r="D119">
        <v>75361</v>
      </c>
      <c r="E119">
        <v>1372</v>
      </c>
      <c r="F119">
        <f t="shared" ref="F119:F137" si="43">SUM(G119,-H119)</f>
        <v>71723</v>
      </c>
      <c r="G119">
        <v>73095</v>
      </c>
      <c r="H119">
        <v>1372</v>
      </c>
      <c r="I119">
        <f t="shared" si="27"/>
        <v>2806</v>
      </c>
      <c r="J119">
        <f t="shared" si="28"/>
        <v>13815</v>
      </c>
      <c r="K119">
        <f t="shared" si="29"/>
        <v>6500</v>
      </c>
      <c r="L119">
        <f t="shared" si="30"/>
        <v>1907</v>
      </c>
      <c r="M119">
        <f t="shared" si="31"/>
        <v>833</v>
      </c>
      <c r="N119">
        <f t="shared" si="32"/>
        <v>1938</v>
      </c>
      <c r="O119">
        <f t="shared" si="33"/>
        <v>3139</v>
      </c>
      <c r="P119">
        <f t="shared" si="34"/>
        <v>15322</v>
      </c>
      <c r="Q119">
        <f t="shared" si="35"/>
        <v>14307</v>
      </c>
      <c r="R119">
        <f t="shared" si="36"/>
        <v>6329</v>
      </c>
      <c r="S119">
        <f t="shared" si="37"/>
        <v>835</v>
      </c>
      <c r="U119">
        <v>13287</v>
      </c>
      <c r="V119">
        <v>2715</v>
      </c>
      <c r="W119">
        <v>4175</v>
      </c>
      <c r="X119">
        <v>1105</v>
      </c>
      <c r="Y119">
        <v>2833</v>
      </c>
      <c r="Z119">
        <v>4299</v>
      </c>
      <c r="AA119">
        <v>31367</v>
      </c>
      <c r="AB119">
        <v>8917</v>
      </c>
      <c r="AC119">
        <v>5815</v>
      </c>
      <c r="AD119">
        <v>691</v>
      </c>
      <c r="AE119">
        <f t="shared" ref="AE119:AE137" si="44">SUM(AA119,-AB119,-AC119,-AD119)</f>
        <v>15944</v>
      </c>
      <c r="AF119">
        <v>7478</v>
      </c>
      <c r="AG119">
        <v>8102</v>
      </c>
      <c r="AH119">
        <v>5424</v>
      </c>
      <c r="AI119">
        <f t="shared" ref="AI119:AI137" si="45">SUM(AG119,-AH119)</f>
        <v>2678</v>
      </c>
      <c r="AJ119" t="s">
        <v>1234</v>
      </c>
      <c r="AK119">
        <v>4</v>
      </c>
      <c r="AL119">
        <v>1839</v>
      </c>
      <c r="AM119">
        <v>553</v>
      </c>
      <c r="AN119">
        <v>596</v>
      </c>
      <c r="AO119">
        <v>303</v>
      </c>
      <c r="AP119">
        <v>857</v>
      </c>
      <c r="AQ119">
        <v>657</v>
      </c>
      <c r="AR119">
        <v>238</v>
      </c>
      <c r="AS119">
        <v>8</v>
      </c>
      <c r="AT119">
        <v>264</v>
      </c>
      <c r="AU119">
        <v>857</v>
      </c>
      <c r="AV119">
        <v>1112</v>
      </c>
      <c r="AW119">
        <v>33</v>
      </c>
      <c r="AX119">
        <v>775</v>
      </c>
      <c r="AY119">
        <v>359</v>
      </c>
      <c r="AZ119">
        <v>6428</v>
      </c>
      <c r="BA119">
        <v>32</v>
      </c>
      <c r="BB119">
        <v>1605</v>
      </c>
      <c r="BD119">
        <v>101</v>
      </c>
    </row>
    <row r="120" spans="1:56" x14ac:dyDescent="0.25">
      <c r="A120" t="s">
        <v>604</v>
      </c>
      <c r="B120" t="s">
        <v>192</v>
      </c>
      <c r="C120">
        <f t="shared" si="42"/>
        <v>165587</v>
      </c>
      <c r="D120">
        <v>165587</v>
      </c>
      <c r="E120">
        <v>0</v>
      </c>
      <c r="F120">
        <f t="shared" si="43"/>
        <v>163573</v>
      </c>
      <c r="G120">
        <v>163573</v>
      </c>
      <c r="H120">
        <v>0</v>
      </c>
      <c r="I120">
        <f t="shared" si="27"/>
        <v>7947</v>
      </c>
      <c r="J120">
        <f t="shared" si="28"/>
        <v>12051</v>
      </c>
      <c r="K120">
        <f t="shared" si="29"/>
        <v>20644</v>
      </c>
      <c r="L120">
        <f t="shared" si="30"/>
        <v>4986</v>
      </c>
      <c r="M120">
        <f t="shared" si="31"/>
        <v>3072</v>
      </c>
      <c r="N120">
        <f t="shared" si="32"/>
        <v>5348</v>
      </c>
      <c r="O120">
        <f t="shared" si="33"/>
        <v>12805</v>
      </c>
      <c r="P120">
        <f t="shared" si="34"/>
        <v>24126</v>
      </c>
      <c r="Q120">
        <f t="shared" si="35"/>
        <v>34263</v>
      </c>
      <c r="R120">
        <f t="shared" si="36"/>
        <v>14431</v>
      </c>
      <c r="S120">
        <f t="shared" si="37"/>
        <v>4260</v>
      </c>
      <c r="U120">
        <v>23437</v>
      </c>
      <c r="V120">
        <v>5063</v>
      </c>
      <c r="W120">
        <v>12164</v>
      </c>
      <c r="X120">
        <v>3080</v>
      </c>
      <c r="Y120">
        <v>7281</v>
      </c>
      <c r="Z120">
        <v>14813</v>
      </c>
      <c r="AA120">
        <v>68283</v>
      </c>
      <c r="AB120">
        <v>20291</v>
      </c>
      <c r="AC120">
        <v>11317</v>
      </c>
      <c r="AD120">
        <v>2322</v>
      </c>
      <c r="AE120">
        <f t="shared" si="44"/>
        <v>34353</v>
      </c>
      <c r="AF120">
        <v>16044</v>
      </c>
      <c r="AG120">
        <v>15422</v>
      </c>
      <c r="AH120">
        <v>11162</v>
      </c>
      <c r="AI120">
        <f t="shared" si="45"/>
        <v>4260</v>
      </c>
      <c r="AJ120" t="s">
        <v>987</v>
      </c>
      <c r="AK120">
        <v>0</v>
      </c>
      <c r="AM120">
        <v>1613</v>
      </c>
      <c r="AO120">
        <v>1631</v>
      </c>
      <c r="AP120">
        <v>377</v>
      </c>
      <c r="AQ120">
        <v>1933</v>
      </c>
      <c r="AS120">
        <v>8</v>
      </c>
      <c r="AU120">
        <v>1672</v>
      </c>
      <c r="AW120">
        <v>77</v>
      </c>
      <c r="AY120">
        <v>887</v>
      </c>
      <c r="AZ120">
        <v>1906</v>
      </c>
      <c r="BA120">
        <v>90</v>
      </c>
      <c r="BC120">
        <v>36</v>
      </c>
      <c r="BD120">
        <v>9768</v>
      </c>
    </row>
    <row r="121" spans="1:56" x14ac:dyDescent="0.25">
      <c r="A121" t="s">
        <v>601</v>
      </c>
      <c r="B121" t="s">
        <v>228</v>
      </c>
      <c r="C121">
        <f t="shared" si="42"/>
        <v>178245</v>
      </c>
      <c r="D121">
        <v>181682</v>
      </c>
      <c r="E121">
        <v>3437</v>
      </c>
      <c r="F121">
        <f t="shared" si="43"/>
        <v>135576</v>
      </c>
      <c r="G121">
        <v>139013</v>
      </c>
      <c r="H121">
        <v>3437</v>
      </c>
      <c r="I121">
        <f t="shared" si="27"/>
        <v>4162</v>
      </c>
      <c r="J121">
        <f t="shared" si="28"/>
        <v>17338</v>
      </c>
      <c r="K121">
        <f t="shared" si="29"/>
        <v>24042</v>
      </c>
      <c r="L121">
        <f t="shared" si="30"/>
        <v>3299</v>
      </c>
      <c r="M121">
        <f t="shared" si="31"/>
        <v>27865</v>
      </c>
      <c r="N121">
        <f t="shared" si="32"/>
        <v>6340</v>
      </c>
      <c r="O121">
        <f t="shared" si="33"/>
        <v>7737</v>
      </c>
      <c r="P121">
        <f t="shared" si="34"/>
        <v>24773</v>
      </c>
      <c r="Q121">
        <f t="shared" si="35"/>
        <v>49977</v>
      </c>
      <c r="R121">
        <f t="shared" si="36"/>
        <v>9534</v>
      </c>
      <c r="S121">
        <f t="shared" si="37"/>
        <v>1182</v>
      </c>
      <c r="U121">
        <v>31404</v>
      </c>
      <c r="V121">
        <v>4096</v>
      </c>
      <c r="W121">
        <v>8129</v>
      </c>
      <c r="X121">
        <v>29119</v>
      </c>
      <c r="Y121">
        <v>7498</v>
      </c>
      <c r="Z121">
        <v>11294</v>
      </c>
      <c r="AA121">
        <v>75435</v>
      </c>
      <c r="AB121">
        <v>18019</v>
      </c>
      <c r="AC121">
        <v>6651</v>
      </c>
      <c r="AD121">
        <v>103</v>
      </c>
      <c r="AE121">
        <f t="shared" si="44"/>
        <v>50662</v>
      </c>
      <c r="AF121">
        <v>11229</v>
      </c>
      <c r="AG121">
        <v>3478</v>
      </c>
      <c r="AH121">
        <v>0</v>
      </c>
      <c r="AI121">
        <f t="shared" si="45"/>
        <v>3478</v>
      </c>
      <c r="AJ121" t="s">
        <v>1017</v>
      </c>
      <c r="AK121">
        <v>32</v>
      </c>
      <c r="AL121">
        <v>2264</v>
      </c>
      <c r="AM121">
        <v>290</v>
      </c>
      <c r="AN121">
        <v>1405</v>
      </c>
      <c r="AO121">
        <v>1055</v>
      </c>
      <c r="AP121">
        <v>2502</v>
      </c>
      <c r="AQ121">
        <v>854</v>
      </c>
      <c r="AR121">
        <v>304</v>
      </c>
      <c r="AT121">
        <v>1254</v>
      </c>
      <c r="AU121">
        <v>615</v>
      </c>
      <c r="AV121">
        <v>2081</v>
      </c>
      <c r="AW121">
        <v>34</v>
      </c>
      <c r="AX121">
        <v>763</v>
      </c>
      <c r="AY121">
        <v>1020</v>
      </c>
      <c r="AZ121">
        <v>6342</v>
      </c>
      <c r="BA121">
        <v>262</v>
      </c>
      <c r="BB121">
        <v>423</v>
      </c>
    </row>
    <row r="122" spans="1:56" x14ac:dyDescent="0.25">
      <c r="A122" t="s">
        <v>603</v>
      </c>
      <c r="B122" t="s">
        <v>347</v>
      </c>
      <c r="C122">
        <f t="shared" si="42"/>
        <v>36183</v>
      </c>
      <c r="D122">
        <v>37359</v>
      </c>
      <c r="E122">
        <v>1176</v>
      </c>
      <c r="F122">
        <f t="shared" si="43"/>
        <v>35677</v>
      </c>
      <c r="G122">
        <v>36853</v>
      </c>
      <c r="H122">
        <v>1176</v>
      </c>
      <c r="I122">
        <f t="shared" si="27"/>
        <v>1632</v>
      </c>
      <c r="J122">
        <f t="shared" si="28"/>
        <v>7597</v>
      </c>
      <c r="K122">
        <f t="shared" si="29"/>
        <v>5113</v>
      </c>
      <c r="L122">
        <f t="shared" si="30"/>
        <v>1461</v>
      </c>
      <c r="M122">
        <f t="shared" si="31"/>
        <v>165</v>
      </c>
      <c r="N122">
        <f t="shared" si="32"/>
        <v>1046</v>
      </c>
      <c r="O122">
        <f t="shared" si="33"/>
        <v>1540</v>
      </c>
      <c r="P122">
        <f t="shared" si="34"/>
        <v>4122</v>
      </c>
      <c r="Q122">
        <f t="shared" si="35"/>
        <v>8485</v>
      </c>
      <c r="R122">
        <f t="shared" si="36"/>
        <v>3200</v>
      </c>
      <c r="S122">
        <f t="shared" si="37"/>
        <v>319</v>
      </c>
      <c r="U122">
        <v>7978</v>
      </c>
      <c r="V122">
        <v>1810</v>
      </c>
      <c r="W122">
        <v>2063</v>
      </c>
      <c r="X122">
        <v>256</v>
      </c>
      <c r="Y122">
        <v>1439</v>
      </c>
      <c r="Z122">
        <v>3242</v>
      </c>
      <c r="AA122">
        <v>13498</v>
      </c>
      <c r="AB122">
        <v>2841</v>
      </c>
      <c r="AC122">
        <v>1351</v>
      </c>
      <c r="AD122">
        <v>0</v>
      </c>
      <c r="AE122">
        <f t="shared" si="44"/>
        <v>9306</v>
      </c>
      <c r="AF122">
        <v>4225</v>
      </c>
      <c r="AG122">
        <v>2848</v>
      </c>
      <c r="AH122">
        <v>1612</v>
      </c>
      <c r="AI122">
        <f t="shared" si="45"/>
        <v>1236</v>
      </c>
      <c r="AJ122" t="s">
        <v>1112</v>
      </c>
      <c r="AK122">
        <v>1</v>
      </c>
      <c r="AL122">
        <v>916</v>
      </c>
      <c r="AM122">
        <v>411</v>
      </c>
      <c r="AN122">
        <v>614</v>
      </c>
      <c r="AO122">
        <v>403</v>
      </c>
      <c r="AP122">
        <v>1299</v>
      </c>
      <c r="AQ122">
        <v>324</v>
      </c>
      <c r="AR122">
        <v>69</v>
      </c>
      <c r="AS122">
        <v>4</v>
      </c>
      <c r="AT122">
        <v>87</v>
      </c>
      <c r="AU122">
        <v>445</v>
      </c>
      <c r="AV122">
        <v>551</v>
      </c>
      <c r="AW122">
        <v>5</v>
      </c>
      <c r="AX122">
        <v>344</v>
      </c>
      <c r="AY122">
        <v>34</v>
      </c>
      <c r="AZ122">
        <v>2831</v>
      </c>
      <c r="BA122">
        <v>5</v>
      </c>
      <c r="BB122">
        <v>816</v>
      </c>
      <c r="BD122">
        <v>70</v>
      </c>
    </row>
    <row r="123" spans="1:56" x14ac:dyDescent="0.25">
      <c r="A123" t="s">
        <v>602</v>
      </c>
      <c r="B123" t="s">
        <v>171</v>
      </c>
      <c r="C123">
        <f t="shared" si="42"/>
        <v>53545</v>
      </c>
      <c r="D123">
        <v>54827</v>
      </c>
      <c r="E123">
        <v>1282</v>
      </c>
      <c r="F123">
        <f t="shared" si="43"/>
        <v>54451</v>
      </c>
      <c r="G123">
        <v>55733</v>
      </c>
      <c r="H123">
        <v>1282</v>
      </c>
      <c r="I123">
        <f t="shared" si="27"/>
        <v>2651</v>
      </c>
      <c r="J123">
        <f t="shared" si="28"/>
        <v>9693</v>
      </c>
      <c r="K123">
        <f t="shared" si="29"/>
        <v>5495</v>
      </c>
      <c r="L123">
        <f t="shared" si="30"/>
        <v>977</v>
      </c>
      <c r="M123">
        <f t="shared" si="31"/>
        <v>311</v>
      </c>
      <c r="N123">
        <f t="shared" si="32"/>
        <v>1577</v>
      </c>
      <c r="O123">
        <f t="shared" si="33"/>
        <v>2935</v>
      </c>
      <c r="P123">
        <f t="shared" si="34"/>
        <v>16459</v>
      </c>
      <c r="Q123">
        <f t="shared" si="35"/>
        <v>5686</v>
      </c>
      <c r="R123">
        <f t="shared" si="36"/>
        <v>3312</v>
      </c>
      <c r="S123">
        <f t="shared" si="37"/>
        <v>304</v>
      </c>
      <c r="U123">
        <v>10733</v>
      </c>
      <c r="V123">
        <v>1462</v>
      </c>
      <c r="W123">
        <v>7022</v>
      </c>
      <c r="X123">
        <v>470</v>
      </c>
      <c r="Y123">
        <v>2264</v>
      </c>
      <c r="Z123">
        <v>4642</v>
      </c>
      <c r="AA123">
        <v>23393</v>
      </c>
      <c r="AB123">
        <v>9879</v>
      </c>
      <c r="AC123">
        <v>5824</v>
      </c>
      <c r="AD123">
        <v>813</v>
      </c>
      <c r="AE123">
        <f t="shared" si="44"/>
        <v>6877</v>
      </c>
      <c r="AF123">
        <v>3982</v>
      </c>
      <c r="AG123">
        <v>859</v>
      </c>
      <c r="AH123">
        <v>0</v>
      </c>
      <c r="AI123">
        <f t="shared" si="45"/>
        <v>859</v>
      </c>
      <c r="AJ123" t="s">
        <v>966</v>
      </c>
      <c r="AK123">
        <v>14</v>
      </c>
      <c r="AL123">
        <v>541</v>
      </c>
      <c r="AM123">
        <v>372</v>
      </c>
      <c r="AN123">
        <v>298</v>
      </c>
      <c r="AO123">
        <v>643</v>
      </c>
      <c r="AP123">
        <v>1064</v>
      </c>
      <c r="AQ123">
        <v>539</v>
      </c>
      <c r="AR123">
        <v>148</v>
      </c>
      <c r="AS123">
        <v>6</v>
      </c>
      <c r="AT123">
        <v>153</v>
      </c>
      <c r="AU123">
        <v>698</v>
      </c>
      <c r="AV123">
        <v>897</v>
      </c>
      <c r="AW123">
        <v>5</v>
      </c>
      <c r="AX123">
        <v>480</v>
      </c>
      <c r="AY123">
        <v>355</v>
      </c>
      <c r="AZ123">
        <v>4883</v>
      </c>
      <c r="BA123">
        <v>19</v>
      </c>
      <c r="BB123">
        <v>1172</v>
      </c>
      <c r="BD123">
        <v>57</v>
      </c>
    </row>
    <row r="124" spans="1:56" x14ac:dyDescent="0.25">
      <c r="A124" t="s">
        <v>604</v>
      </c>
      <c r="B124" t="s">
        <v>229</v>
      </c>
      <c r="C124">
        <f t="shared" si="42"/>
        <v>26002</v>
      </c>
      <c r="D124">
        <v>26209</v>
      </c>
      <c r="E124">
        <v>207</v>
      </c>
      <c r="F124">
        <f t="shared" si="43"/>
        <v>24728</v>
      </c>
      <c r="G124">
        <v>24935</v>
      </c>
      <c r="H124">
        <v>207</v>
      </c>
      <c r="I124">
        <f t="shared" si="27"/>
        <v>1261</v>
      </c>
      <c r="J124">
        <f t="shared" si="28"/>
        <v>6844</v>
      </c>
      <c r="K124">
        <f t="shared" si="29"/>
        <v>3268</v>
      </c>
      <c r="L124">
        <f t="shared" si="30"/>
        <v>650</v>
      </c>
      <c r="M124">
        <f t="shared" si="31"/>
        <v>180</v>
      </c>
      <c r="N124">
        <f t="shared" si="32"/>
        <v>537</v>
      </c>
      <c r="O124">
        <f t="shared" si="33"/>
        <v>1829</v>
      </c>
      <c r="P124">
        <f t="shared" si="34"/>
        <v>3374</v>
      </c>
      <c r="Q124">
        <f t="shared" si="35"/>
        <v>5036</v>
      </c>
      <c r="R124">
        <f t="shared" si="36"/>
        <v>2404</v>
      </c>
      <c r="S124">
        <f t="shared" si="37"/>
        <v>170</v>
      </c>
      <c r="U124">
        <v>7373</v>
      </c>
      <c r="V124">
        <v>867</v>
      </c>
      <c r="W124">
        <v>1054</v>
      </c>
      <c r="X124">
        <v>250</v>
      </c>
      <c r="Y124">
        <v>870</v>
      </c>
      <c r="Z124">
        <v>2426</v>
      </c>
      <c r="AA124">
        <v>9310</v>
      </c>
      <c r="AB124">
        <v>2378</v>
      </c>
      <c r="AC124">
        <v>974</v>
      </c>
      <c r="AD124">
        <v>356</v>
      </c>
      <c r="AE124">
        <f t="shared" si="44"/>
        <v>5602</v>
      </c>
      <c r="AF124">
        <v>3318</v>
      </c>
      <c r="AG124">
        <v>741</v>
      </c>
      <c r="AH124">
        <v>49</v>
      </c>
      <c r="AI124">
        <f t="shared" si="45"/>
        <v>692</v>
      </c>
      <c r="AJ124" t="s">
        <v>1018</v>
      </c>
      <c r="AK124">
        <v>0</v>
      </c>
      <c r="AL124">
        <v>522</v>
      </c>
      <c r="AM124">
        <v>285</v>
      </c>
      <c r="AN124">
        <v>629</v>
      </c>
      <c r="AO124">
        <v>171</v>
      </c>
      <c r="AP124">
        <v>426</v>
      </c>
      <c r="AQ124">
        <v>222</v>
      </c>
      <c r="AR124">
        <v>111</v>
      </c>
      <c r="AT124">
        <v>70</v>
      </c>
      <c r="AU124">
        <v>191</v>
      </c>
      <c r="AV124">
        <v>256</v>
      </c>
      <c r="AW124">
        <v>27</v>
      </c>
      <c r="AX124">
        <v>190</v>
      </c>
      <c r="AY124">
        <v>365</v>
      </c>
      <c r="AZ124">
        <v>3740</v>
      </c>
      <c r="BB124">
        <v>566</v>
      </c>
      <c r="BD124">
        <v>334</v>
      </c>
    </row>
    <row r="125" spans="1:56" s="269" customFormat="1" x14ac:dyDescent="0.25">
      <c r="A125" s="269" t="s">
        <v>600</v>
      </c>
      <c r="B125" s="269" t="s">
        <v>303</v>
      </c>
      <c r="C125" s="269">
        <f t="shared" si="42"/>
        <v>88461</v>
      </c>
      <c r="D125" s="269">
        <v>90458</v>
      </c>
      <c r="E125" s="269">
        <v>1997</v>
      </c>
      <c r="F125" s="269">
        <f t="shared" si="43"/>
        <v>90540</v>
      </c>
      <c r="G125" s="269">
        <v>92537</v>
      </c>
      <c r="H125" s="269">
        <v>1997</v>
      </c>
      <c r="I125" s="313">
        <f>SUM(AK125,AM125,AO125,AQ125,AS125,AU125,AW125,AY125,BA125,BC125)/1000</f>
        <v>3711.9229999999998</v>
      </c>
      <c r="J125" s="313">
        <f>SUM(AL125,AN125,AP125,AR125,AT125,AV125,AX125,AZ125,BB125,BD125)/1000</f>
        <v>18071.972000000002</v>
      </c>
      <c r="K125" s="269">
        <v>0</v>
      </c>
      <c r="L125" s="269">
        <v>0</v>
      </c>
      <c r="M125">
        <v>0</v>
      </c>
      <c r="N125">
        <v>0</v>
      </c>
      <c r="O125">
        <v>0</v>
      </c>
      <c r="P125">
        <f t="shared" si="34"/>
        <v>-1849148</v>
      </c>
      <c r="Q125">
        <v>0</v>
      </c>
      <c r="R125">
        <v>0</v>
      </c>
      <c r="S125">
        <v>0</v>
      </c>
      <c r="U125" s="269">
        <v>20346</v>
      </c>
      <c r="V125" s="269">
        <v>3174</v>
      </c>
      <c r="W125" s="269">
        <v>4190</v>
      </c>
      <c r="X125" s="269">
        <v>1762</v>
      </c>
      <c r="Y125" s="269">
        <v>5259</v>
      </c>
      <c r="Z125" s="269">
        <v>7170</v>
      </c>
      <c r="AA125" s="269">
        <v>33828</v>
      </c>
      <c r="AB125" s="269">
        <v>6402</v>
      </c>
      <c r="AC125" s="269">
        <v>5549</v>
      </c>
      <c r="AD125" s="269">
        <v>0</v>
      </c>
      <c r="AE125" s="269">
        <f t="shared" si="44"/>
        <v>21877</v>
      </c>
      <c r="AF125" s="269">
        <v>8952</v>
      </c>
      <c r="AG125" s="269">
        <v>5777</v>
      </c>
      <c r="AH125" s="269">
        <v>3670</v>
      </c>
      <c r="AI125" s="269">
        <f t="shared" si="45"/>
        <v>2107</v>
      </c>
      <c r="AJ125" s="269" t="s">
        <v>1077</v>
      </c>
      <c r="AK125" s="269">
        <v>1200</v>
      </c>
      <c r="AL125" s="269">
        <v>1459261</v>
      </c>
      <c r="AM125" s="269">
        <v>387522</v>
      </c>
      <c r="AN125" s="269">
        <v>955466</v>
      </c>
      <c r="AO125" s="269">
        <v>405741</v>
      </c>
      <c r="AP125" s="269">
        <v>1439407</v>
      </c>
      <c r="AQ125" s="269">
        <v>1262887</v>
      </c>
      <c r="AR125" s="269">
        <v>326021</v>
      </c>
      <c r="AS125" s="269">
        <v>4744</v>
      </c>
      <c r="AT125" s="269">
        <v>161657</v>
      </c>
      <c r="AU125" s="269">
        <v>170671</v>
      </c>
      <c r="AV125" s="269">
        <v>1234220</v>
      </c>
      <c r="AW125" s="269">
        <v>33844</v>
      </c>
      <c r="AX125" s="269">
        <v>394715</v>
      </c>
      <c r="AY125" s="269">
        <v>1339850</v>
      </c>
      <c r="AZ125" s="269">
        <v>8599269</v>
      </c>
      <c r="BA125" s="269">
        <v>105464</v>
      </c>
      <c r="BB125" s="269">
        <v>1640857</v>
      </c>
      <c r="BD125" s="269">
        <v>1861099</v>
      </c>
    </row>
    <row r="126" spans="1:56" x14ac:dyDescent="0.25">
      <c r="A126" t="s">
        <v>600</v>
      </c>
      <c r="B126" t="s">
        <v>304</v>
      </c>
      <c r="C126">
        <f t="shared" si="42"/>
        <v>54327</v>
      </c>
      <c r="D126">
        <v>54563</v>
      </c>
      <c r="E126">
        <v>236</v>
      </c>
      <c r="F126">
        <f t="shared" si="43"/>
        <v>55475</v>
      </c>
      <c r="G126">
        <v>55711</v>
      </c>
      <c r="H126">
        <v>236</v>
      </c>
      <c r="I126">
        <f t="shared" si="27"/>
        <v>4011</v>
      </c>
      <c r="J126">
        <f t="shared" si="28"/>
        <v>13138</v>
      </c>
      <c r="K126">
        <f t="shared" si="29"/>
        <v>4864</v>
      </c>
      <c r="L126">
        <f t="shared" si="30"/>
        <v>1635</v>
      </c>
      <c r="M126">
        <f t="shared" si="31"/>
        <v>76</v>
      </c>
      <c r="N126">
        <f t="shared" si="32"/>
        <v>1873</v>
      </c>
      <c r="O126">
        <f t="shared" si="33"/>
        <v>2919</v>
      </c>
      <c r="P126">
        <f t="shared" si="34"/>
        <v>6224</v>
      </c>
      <c r="Q126">
        <f t="shared" si="35"/>
        <v>10936</v>
      </c>
      <c r="R126">
        <f t="shared" si="36"/>
        <v>5173</v>
      </c>
      <c r="S126">
        <f t="shared" si="37"/>
        <v>570</v>
      </c>
      <c r="U126">
        <v>12803</v>
      </c>
      <c r="V126">
        <v>1883</v>
      </c>
      <c r="W126">
        <v>4982</v>
      </c>
      <c r="X126">
        <v>192</v>
      </c>
      <c r="Y126">
        <v>2124</v>
      </c>
      <c r="Z126">
        <v>4836</v>
      </c>
      <c r="AA126">
        <v>19592</v>
      </c>
      <c r="AB126">
        <v>5398</v>
      </c>
      <c r="AC126">
        <v>1462</v>
      </c>
      <c r="AD126">
        <v>469</v>
      </c>
      <c r="AE126">
        <f t="shared" si="44"/>
        <v>12263</v>
      </c>
      <c r="AF126">
        <v>6669</v>
      </c>
      <c r="AG126">
        <v>1482</v>
      </c>
      <c r="AH126">
        <v>0</v>
      </c>
      <c r="AI126">
        <f t="shared" si="45"/>
        <v>1482</v>
      </c>
      <c r="AJ126" t="s">
        <v>1078</v>
      </c>
      <c r="AK126">
        <v>40</v>
      </c>
      <c r="AL126">
        <v>872</v>
      </c>
      <c r="AM126">
        <v>715</v>
      </c>
      <c r="AN126">
        <v>781</v>
      </c>
      <c r="AO126">
        <v>923</v>
      </c>
      <c r="AP126">
        <v>994</v>
      </c>
      <c r="AQ126">
        <v>123</v>
      </c>
      <c r="AR126">
        <v>128</v>
      </c>
      <c r="AS126">
        <v>15</v>
      </c>
      <c r="AT126">
        <v>101</v>
      </c>
      <c r="AU126">
        <v>1056</v>
      </c>
      <c r="AV126">
        <v>782</v>
      </c>
      <c r="AX126">
        <v>248</v>
      </c>
      <c r="AY126">
        <v>1011</v>
      </c>
      <c r="AZ126">
        <v>6928</v>
      </c>
      <c r="BA126">
        <v>128</v>
      </c>
      <c r="BB126">
        <v>1199</v>
      </c>
      <c r="BD126">
        <v>1105</v>
      </c>
    </row>
    <row r="127" spans="1:56" x14ac:dyDescent="0.25">
      <c r="A127" t="s">
        <v>601</v>
      </c>
      <c r="B127" t="s">
        <v>230</v>
      </c>
      <c r="C127">
        <f t="shared" si="42"/>
        <v>43332</v>
      </c>
      <c r="D127">
        <v>44362</v>
      </c>
      <c r="E127">
        <v>1030</v>
      </c>
      <c r="F127">
        <f t="shared" si="43"/>
        <v>40865</v>
      </c>
      <c r="G127">
        <v>40865</v>
      </c>
      <c r="H127">
        <v>0</v>
      </c>
      <c r="I127">
        <f t="shared" si="27"/>
        <v>2092</v>
      </c>
      <c r="J127">
        <f t="shared" si="28"/>
        <v>10655</v>
      </c>
      <c r="K127">
        <f t="shared" si="29"/>
        <v>5854</v>
      </c>
      <c r="L127">
        <f t="shared" si="30"/>
        <v>1051</v>
      </c>
      <c r="M127">
        <f t="shared" si="31"/>
        <v>241</v>
      </c>
      <c r="N127">
        <f t="shared" si="32"/>
        <v>1590</v>
      </c>
      <c r="O127">
        <f t="shared" si="33"/>
        <v>1996</v>
      </c>
      <c r="P127">
        <f t="shared" si="34"/>
        <v>5770</v>
      </c>
      <c r="Q127">
        <f t="shared" si="35"/>
        <v>9872</v>
      </c>
      <c r="R127">
        <f t="shared" si="36"/>
        <v>2985</v>
      </c>
      <c r="S127">
        <f t="shared" si="37"/>
        <v>319</v>
      </c>
      <c r="U127">
        <v>11810</v>
      </c>
      <c r="V127">
        <v>1311</v>
      </c>
      <c r="W127">
        <v>2526</v>
      </c>
      <c r="X127">
        <v>513</v>
      </c>
      <c r="Y127">
        <v>2111</v>
      </c>
      <c r="Z127">
        <v>2746</v>
      </c>
      <c r="AA127">
        <v>17832</v>
      </c>
      <c r="AB127">
        <v>3863</v>
      </c>
      <c r="AC127">
        <v>2605</v>
      </c>
      <c r="AD127">
        <v>0</v>
      </c>
      <c r="AE127">
        <f t="shared" si="44"/>
        <v>11364</v>
      </c>
      <c r="AF127">
        <v>3937</v>
      </c>
      <c r="AG127">
        <v>1576</v>
      </c>
      <c r="AH127">
        <v>210</v>
      </c>
      <c r="AI127">
        <f t="shared" si="45"/>
        <v>1366</v>
      </c>
      <c r="AJ127" t="s">
        <v>1019</v>
      </c>
      <c r="AK127">
        <v>69</v>
      </c>
      <c r="AL127">
        <v>978</v>
      </c>
      <c r="AM127">
        <v>374</v>
      </c>
      <c r="AN127">
        <v>578</v>
      </c>
      <c r="AO127">
        <v>249</v>
      </c>
      <c r="AP127">
        <v>501</v>
      </c>
      <c r="AQ127">
        <v>397</v>
      </c>
      <c r="AR127">
        <v>124</v>
      </c>
      <c r="AS127">
        <v>106</v>
      </c>
      <c r="AT127">
        <v>166</v>
      </c>
      <c r="AU127">
        <v>390</v>
      </c>
      <c r="AV127">
        <v>409</v>
      </c>
      <c r="AW127">
        <v>6</v>
      </c>
      <c r="AX127">
        <v>254</v>
      </c>
      <c r="AY127">
        <v>501</v>
      </c>
      <c r="AZ127">
        <v>5455</v>
      </c>
      <c r="BB127">
        <v>1492</v>
      </c>
      <c r="BD127">
        <v>698</v>
      </c>
    </row>
    <row r="128" spans="1:56" x14ac:dyDescent="0.25">
      <c r="A128" t="s">
        <v>602</v>
      </c>
      <c r="B128" t="s">
        <v>172</v>
      </c>
      <c r="C128">
        <f t="shared" si="42"/>
        <v>151407</v>
      </c>
      <c r="D128">
        <v>153460</v>
      </c>
      <c r="E128">
        <v>2053</v>
      </c>
      <c r="F128">
        <f t="shared" si="43"/>
        <v>157669</v>
      </c>
      <c r="G128">
        <v>159722</v>
      </c>
      <c r="H128">
        <v>2053</v>
      </c>
      <c r="I128">
        <f t="shared" si="27"/>
        <v>6776</v>
      </c>
      <c r="J128">
        <f t="shared" si="28"/>
        <v>33552</v>
      </c>
      <c r="K128">
        <f t="shared" si="29"/>
        <v>-19663</v>
      </c>
      <c r="L128">
        <f t="shared" si="30"/>
        <v>4545</v>
      </c>
      <c r="M128">
        <f t="shared" si="31"/>
        <v>3022</v>
      </c>
      <c r="N128">
        <f t="shared" si="32"/>
        <v>5181</v>
      </c>
      <c r="O128">
        <f t="shared" si="33"/>
        <v>15875</v>
      </c>
      <c r="P128">
        <f t="shared" si="34"/>
        <v>38032</v>
      </c>
      <c r="Q128">
        <f t="shared" si="35"/>
        <v>35768</v>
      </c>
      <c r="R128">
        <f t="shared" si="36"/>
        <v>12599</v>
      </c>
      <c r="S128">
        <f t="shared" si="37"/>
        <v>4177</v>
      </c>
      <c r="U128">
        <v>15140</v>
      </c>
      <c r="V128">
        <v>4553</v>
      </c>
      <c r="W128">
        <v>9040</v>
      </c>
      <c r="X128">
        <v>3022</v>
      </c>
      <c r="Y128">
        <v>6818</v>
      </c>
      <c r="Z128">
        <v>17426</v>
      </c>
      <c r="AA128">
        <v>73867</v>
      </c>
      <c r="AB128">
        <v>23872</v>
      </c>
      <c r="AC128">
        <v>9493</v>
      </c>
      <c r="AD128">
        <v>4712</v>
      </c>
      <c r="AE128">
        <f t="shared" si="44"/>
        <v>35790</v>
      </c>
      <c r="AF128">
        <v>13370</v>
      </c>
      <c r="AG128">
        <v>10224</v>
      </c>
      <c r="AH128">
        <v>6041</v>
      </c>
      <c r="AI128">
        <f t="shared" si="45"/>
        <v>4183</v>
      </c>
      <c r="AJ128" t="s">
        <v>967</v>
      </c>
      <c r="AK128">
        <v>6</v>
      </c>
      <c r="AM128">
        <v>771</v>
      </c>
      <c r="AO128">
        <v>1012</v>
      </c>
      <c r="AP128">
        <v>539</v>
      </c>
      <c r="AQ128">
        <v>1637</v>
      </c>
      <c r="AU128">
        <v>1485</v>
      </c>
      <c r="AW128">
        <v>8</v>
      </c>
      <c r="AY128">
        <v>1835</v>
      </c>
      <c r="AZ128">
        <v>32968</v>
      </c>
      <c r="BA128">
        <v>22</v>
      </c>
      <c r="BD128">
        <v>45</v>
      </c>
    </row>
    <row r="129" spans="1:56" x14ac:dyDescent="0.25">
      <c r="A129" t="s">
        <v>600</v>
      </c>
      <c r="B129" t="s">
        <v>305</v>
      </c>
      <c r="C129">
        <f t="shared" si="42"/>
        <v>158785</v>
      </c>
      <c r="D129">
        <v>165236</v>
      </c>
      <c r="E129">
        <v>6451</v>
      </c>
      <c r="F129">
        <f t="shared" si="43"/>
        <v>145740</v>
      </c>
      <c r="G129">
        <v>152191</v>
      </c>
      <c r="H129">
        <v>6451</v>
      </c>
      <c r="I129">
        <f t="shared" si="27"/>
        <v>7180</v>
      </c>
      <c r="J129">
        <f t="shared" si="28"/>
        <v>25932</v>
      </c>
      <c r="K129">
        <f t="shared" si="29"/>
        <v>19535</v>
      </c>
      <c r="L129">
        <f t="shared" si="30"/>
        <v>3928</v>
      </c>
      <c r="M129">
        <f t="shared" si="31"/>
        <v>1062</v>
      </c>
      <c r="N129">
        <f t="shared" si="32"/>
        <v>4201</v>
      </c>
      <c r="O129">
        <f t="shared" si="33"/>
        <v>10798</v>
      </c>
      <c r="P129">
        <f t="shared" si="34"/>
        <v>21485</v>
      </c>
      <c r="Q129">
        <f t="shared" si="35"/>
        <v>33659</v>
      </c>
      <c r="R129">
        <f t="shared" si="36"/>
        <v>9977</v>
      </c>
      <c r="S129">
        <f t="shared" si="37"/>
        <v>508</v>
      </c>
      <c r="U129">
        <v>34296</v>
      </c>
      <c r="V129">
        <v>5357</v>
      </c>
      <c r="W129">
        <v>10122</v>
      </c>
      <c r="X129">
        <v>1177</v>
      </c>
      <c r="Y129">
        <v>6646</v>
      </c>
      <c r="Z129">
        <v>13701</v>
      </c>
      <c r="AA129">
        <v>58751</v>
      </c>
      <c r="AB129">
        <v>16315</v>
      </c>
      <c r="AC129">
        <v>3749</v>
      </c>
      <c r="AD129">
        <v>1649</v>
      </c>
      <c r="AE129">
        <f t="shared" si="44"/>
        <v>37038</v>
      </c>
      <c r="AF129">
        <v>12852</v>
      </c>
      <c r="AG129">
        <v>22334</v>
      </c>
      <c r="AH129">
        <v>19415</v>
      </c>
      <c r="AI129">
        <f t="shared" si="45"/>
        <v>2919</v>
      </c>
      <c r="AJ129" t="s">
        <v>1079</v>
      </c>
      <c r="AK129">
        <v>11</v>
      </c>
      <c r="AL129">
        <v>2400</v>
      </c>
      <c r="AM129">
        <v>1073</v>
      </c>
      <c r="AN129">
        <v>1802</v>
      </c>
      <c r="AO129">
        <v>1129</v>
      </c>
      <c r="AP129">
        <v>1774</v>
      </c>
      <c r="AQ129">
        <v>2068</v>
      </c>
      <c r="AR129">
        <v>377</v>
      </c>
      <c r="AS129">
        <v>2</v>
      </c>
      <c r="AT129">
        <v>113</v>
      </c>
      <c r="AU129">
        <v>918</v>
      </c>
      <c r="AV129">
        <v>1648</v>
      </c>
      <c r="AW129">
        <v>149</v>
      </c>
      <c r="AX129">
        <v>1280</v>
      </c>
      <c r="AY129">
        <v>1803</v>
      </c>
      <c r="AZ129">
        <v>12958</v>
      </c>
      <c r="BA129">
        <v>27</v>
      </c>
      <c r="BB129">
        <v>3352</v>
      </c>
      <c r="BD129">
        <v>228</v>
      </c>
    </row>
    <row r="130" spans="1:56" x14ac:dyDescent="0.25">
      <c r="A130" t="s">
        <v>608</v>
      </c>
      <c r="B130" t="s">
        <v>469</v>
      </c>
      <c r="C130">
        <f t="shared" si="42"/>
        <v>399996</v>
      </c>
      <c r="D130">
        <v>403347</v>
      </c>
      <c r="E130">
        <v>3351</v>
      </c>
      <c r="F130">
        <f t="shared" si="43"/>
        <v>385350</v>
      </c>
      <c r="G130">
        <v>388701</v>
      </c>
      <c r="H130">
        <v>3351</v>
      </c>
      <c r="I130">
        <f t="shared" si="27"/>
        <v>13964</v>
      </c>
      <c r="J130">
        <f t="shared" si="28"/>
        <v>69529</v>
      </c>
      <c r="K130">
        <f t="shared" si="29"/>
        <v>34507</v>
      </c>
      <c r="L130">
        <f t="shared" si="30"/>
        <v>6909</v>
      </c>
      <c r="M130">
        <f t="shared" si="31"/>
        <v>2015</v>
      </c>
      <c r="N130">
        <f t="shared" si="32"/>
        <v>13180</v>
      </c>
      <c r="O130">
        <f t="shared" si="33"/>
        <v>22582</v>
      </c>
      <c r="P130">
        <f t="shared" si="34"/>
        <v>102323</v>
      </c>
      <c r="Q130">
        <f t="shared" si="35"/>
        <v>107343</v>
      </c>
      <c r="R130">
        <f t="shared" si="36"/>
        <v>19242</v>
      </c>
      <c r="S130">
        <f t="shared" si="37"/>
        <v>3403</v>
      </c>
      <c r="U130">
        <v>72243</v>
      </c>
      <c r="V130">
        <v>10718</v>
      </c>
      <c r="W130">
        <v>11119</v>
      </c>
      <c r="X130">
        <v>2926</v>
      </c>
      <c r="Y130">
        <v>19285</v>
      </c>
      <c r="Z130">
        <v>29764</v>
      </c>
      <c r="AA130">
        <v>227090</v>
      </c>
      <c r="AB130">
        <v>71204</v>
      </c>
      <c r="AC130">
        <v>33066</v>
      </c>
      <c r="AD130">
        <v>6787</v>
      </c>
      <c r="AE130">
        <f t="shared" si="44"/>
        <v>116033</v>
      </c>
      <c r="AF130">
        <v>22381</v>
      </c>
      <c r="AG130">
        <v>7821</v>
      </c>
      <c r="AH130">
        <v>459</v>
      </c>
      <c r="AI130">
        <f t="shared" si="45"/>
        <v>7362</v>
      </c>
      <c r="AJ130" t="s">
        <v>1208</v>
      </c>
      <c r="AK130">
        <v>1071</v>
      </c>
      <c r="AL130">
        <v>2888</v>
      </c>
      <c r="AM130">
        <v>929</v>
      </c>
      <c r="AN130">
        <v>2210</v>
      </c>
      <c r="AO130">
        <v>3216</v>
      </c>
      <c r="AP130">
        <v>3966</v>
      </c>
      <c r="AQ130">
        <v>4159</v>
      </c>
      <c r="AR130">
        <v>1946</v>
      </c>
      <c r="AT130">
        <v>911</v>
      </c>
      <c r="AU130">
        <v>1486</v>
      </c>
      <c r="AV130">
        <v>1742</v>
      </c>
      <c r="AW130">
        <v>95</v>
      </c>
      <c r="AX130">
        <v>3714</v>
      </c>
      <c r="AY130">
        <v>2807</v>
      </c>
      <c r="AZ130">
        <v>34929</v>
      </c>
      <c r="BA130">
        <v>201</v>
      </c>
      <c r="BB130">
        <v>8489</v>
      </c>
      <c r="BD130">
        <v>8734</v>
      </c>
    </row>
    <row r="131" spans="1:56" x14ac:dyDescent="0.25">
      <c r="A131" t="s">
        <v>599</v>
      </c>
      <c r="B131" t="s">
        <v>431</v>
      </c>
      <c r="C131">
        <f t="shared" si="42"/>
        <v>35494</v>
      </c>
      <c r="D131">
        <v>35630</v>
      </c>
      <c r="E131">
        <v>136</v>
      </c>
      <c r="F131">
        <f t="shared" si="43"/>
        <v>33829</v>
      </c>
      <c r="G131">
        <v>33965</v>
      </c>
      <c r="H131">
        <v>136</v>
      </c>
      <c r="I131">
        <f t="shared" ref="I131:I194" si="46">SUM(AK131,AM131,AO131,AQ131,AS131,AU131,AW131,AY131,BA131,BC131)</f>
        <v>2309</v>
      </c>
      <c r="J131">
        <f t="shared" ref="J131:J194" si="47">SUM(AL131,AN131,AP131,AR131,AT131,AV131,AX131,AZ131,BB131,BD131)</f>
        <v>5546</v>
      </c>
      <c r="K131">
        <f t="shared" ref="K131:K194" si="48">SUM(U131,-AY131,-AZ131)</f>
        <v>6415</v>
      </c>
      <c r="L131">
        <f t="shared" ref="L131:L194" si="49">SUM(V131,-AW131,-AX131)</f>
        <v>994</v>
      </c>
      <c r="M131">
        <f t="shared" ref="M131:M194" si="50">SUM(X131,-AS131,-AT131)</f>
        <v>1380</v>
      </c>
      <c r="N131">
        <f t="shared" ref="N131:N194" si="51">SUM(Y131,-AQ131,-AR131)</f>
        <v>1058</v>
      </c>
      <c r="O131">
        <f t="shared" ref="O131:O194" si="52">SUM(Z131,-AO131,-AP131)</f>
        <v>1436</v>
      </c>
      <c r="P131">
        <f t="shared" ref="P131:P194" si="53">SUM(AB131,AC131,AD131,-BC131,-BD131)</f>
        <v>4058</v>
      </c>
      <c r="Q131">
        <f t="shared" ref="Q131:Q194" si="54">SUM(AE131,-BA131,-BB131)</f>
        <v>6470</v>
      </c>
      <c r="R131">
        <f t="shared" ref="R131:R194" si="55">SUM(AF131,-AM131,-AN131)</f>
        <v>2898</v>
      </c>
      <c r="S131">
        <f t="shared" ref="S131:S194" si="56">SUM(AI131,-AK131,-AL131)</f>
        <v>417</v>
      </c>
      <c r="U131">
        <v>9928</v>
      </c>
      <c r="V131">
        <v>1138</v>
      </c>
      <c r="W131">
        <v>2219</v>
      </c>
      <c r="X131">
        <v>1507</v>
      </c>
      <c r="Y131">
        <v>1556</v>
      </c>
      <c r="Z131">
        <v>2292</v>
      </c>
      <c r="AA131">
        <v>10995</v>
      </c>
      <c r="AB131">
        <v>2867</v>
      </c>
      <c r="AC131">
        <v>958</v>
      </c>
      <c r="AD131">
        <v>233</v>
      </c>
      <c r="AE131">
        <f t="shared" si="44"/>
        <v>6937</v>
      </c>
      <c r="AF131">
        <v>3676</v>
      </c>
      <c r="AG131">
        <v>2319</v>
      </c>
      <c r="AH131">
        <v>1189</v>
      </c>
      <c r="AI131">
        <f t="shared" si="45"/>
        <v>1130</v>
      </c>
      <c r="AJ131" t="s">
        <v>1235</v>
      </c>
      <c r="AK131">
        <v>2</v>
      </c>
      <c r="AL131">
        <v>711</v>
      </c>
      <c r="AM131">
        <v>246</v>
      </c>
      <c r="AN131">
        <v>532</v>
      </c>
      <c r="AO131">
        <v>72</v>
      </c>
      <c r="AP131">
        <v>784</v>
      </c>
      <c r="AQ131">
        <v>290</v>
      </c>
      <c r="AR131">
        <v>208</v>
      </c>
      <c r="AS131">
        <v>10</v>
      </c>
      <c r="AT131">
        <v>117</v>
      </c>
      <c r="AU131">
        <v>245</v>
      </c>
      <c r="AV131">
        <v>514</v>
      </c>
      <c r="AW131">
        <v>29</v>
      </c>
      <c r="AX131">
        <v>115</v>
      </c>
      <c r="AY131">
        <v>1406</v>
      </c>
      <c r="AZ131">
        <v>2107</v>
      </c>
      <c r="BA131">
        <v>9</v>
      </c>
      <c r="BB131">
        <v>458</v>
      </c>
    </row>
    <row r="132" spans="1:56" x14ac:dyDescent="0.25">
      <c r="A132" t="s">
        <v>600</v>
      </c>
      <c r="B132" t="s">
        <v>306</v>
      </c>
      <c r="C132">
        <f t="shared" si="42"/>
        <v>55437</v>
      </c>
      <c r="D132">
        <v>56287</v>
      </c>
      <c r="E132">
        <v>850</v>
      </c>
      <c r="F132">
        <f t="shared" si="43"/>
        <v>50902</v>
      </c>
      <c r="G132">
        <v>51752</v>
      </c>
      <c r="H132">
        <v>850</v>
      </c>
      <c r="I132">
        <f t="shared" si="46"/>
        <v>2029</v>
      </c>
      <c r="J132">
        <f t="shared" si="47"/>
        <v>1106</v>
      </c>
      <c r="K132">
        <f t="shared" si="48"/>
        <v>9898</v>
      </c>
      <c r="L132">
        <f t="shared" si="49"/>
        <v>1604</v>
      </c>
      <c r="M132">
        <f t="shared" si="50"/>
        <v>6745</v>
      </c>
      <c r="N132">
        <f t="shared" si="51"/>
        <v>1301</v>
      </c>
      <c r="O132">
        <f t="shared" si="52"/>
        <v>3741</v>
      </c>
      <c r="P132">
        <f t="shared" si="53"/>
        <v>6248</v>
      </c>
      <c r="Q132">
        <f t="shared" si="54"/>
        <v>9037</v>
      </c>
      <c r="R132">
        <f t="shared" si="55"/>
        <v>4628</v>
      </c>
      <c r="S132">
        <f t="shared" si="56"/>
        <v>1574</v>
      </c>
      <c r="U132">
        <v>11080</v>
      </c>
      <c r="V132">
        <v>1608</v>
      </c>
      <c r="W132">
        <v>3316</v>
      </c>
      <c r="X132">
        <v>6745</v>
      </c>
      <c r="Y132">
        <v>1720</v>
      </c>
      <c r="Z132">
        <v>4159</v>
      </c>
      <c r="AA132">
        <v>15294</v>
      </c>
      <c r="AB132">
        <v>4769</v>
      </c>
      <c r="AC132">
        <v>1085</v>
      </c>
      <c r="AD132">
        <v>394</v>
      </c>
      <c r="AE132">
        <f t="shared" si="44"/>
        <v>9046</v>
      </c>
      <c r="AF132">
        <v>5124</v>
      </c>
      <c r="AG132">
        <v>7241</v>
      </c>
      <c r="AH132">
        <v>5665</v>
      </c>
      <c r="AI132">
        <f t="shared" si="45"/>
        <v>1576</v>
      </c>
      <c r="AJ132" t="s">
        <v>1080</v>
      </c>
      <c r="AK132">
        <v>2</v>
      </c>
      <c r="AM132">
        <v>496</v>
      </c>
      <c r="AO132">
        <v>418</v>
      </c>
      <c r="AQ132">
        <v>419</v>
      </c>
      <c r="AU132">
        <v>605</v>
      </c>
      <c r="AW132">
        <v>4</v>
      </c>
      <c r="AY132">
        <v>76</v>
      </c>
      <c r="AZ132">
        <v>1106</v>
      </c>
      <c r="BA132">
        <v>9</v>
      </c>
    </row>
    <row r="133" spans="1:56" x14ac:dyDescent="0.25">
      <c r="A133" t="s">
        <v>604</v>
      </c>
      <c r="B133" t="s">
        <v>193</v>
      </c>
      <c r="C133">
        <f t="shared" si="42"/>
        <v>89986</v>
      </c>
      <c r="D133">
        <v>90800</v>
      </c>
      <c r="E133">
        <v>814</v>
      </c>
      <c r="F133">
        <f t="shared" si="43"/>
        <v>87073</v>
      </c>
      <c r="G133">
        <v>87887</v>
      </c>
      <c r="H133">
        <v>814</v>
      </c>
      <c r="I133">
        <f t="shared" si="46"/>
        <v>6169</v>
      </c>
      <c r="J133">
        <f t="shared" si="47"/>
        <v>21640</v>
      </c>
      <c r="K133">
        <f t="shared" si="48"/>
        <v>5370</v>
      </c>
      <c r="L133">
        <f t="shared" si="49"/>
        <v>2304</v>
      </c>
      <c r="M133">
        <f t="shared" si="50"/>
        <v>3286</v>
      </c>
      <c r="N133">
        <f t="shared" si="51"/>
        <v>1966</v>
      </c>
      <c r="O133">
        <f t="shared" si="52"/>
        <v>6266</v>
      </c>
      <c r="P133">
        <f t="shared" si="53"/>
        <v>12534</v>
      </c>
      <c r="Q133">
        <f t="shared" si="54"/>
        <v>18225</v>
      </c>
      <c r="R133">
        <f t="shared" si="55"/>
        <v>4589</v>
      </c>
      <c r="S133">
        <f t="shared" si="56"/>
        <v>629</v>
      </c>
      <c r="U133">
        <v>15034</v>
      </c>
      <c r="V133">
        <v>2789</v>
      </c>
      <c r="W133">
        <v>6366</v>
      </c>
      <c r="X133">
        <v>3715</v>
      </c>
      <c r="Y133">
        <v>2574</v>
      </c>
      <c r="Z133">
        <v>10040</v>
      </c>
      <c r="AA133">
        <v>35147</v>
      </c>
      <c r="AB133">
        <v>8822</v>
      </c>
      <c r="AC133">
        <v>4215</v>
      </c>
      <c r="AD133">
        <v>1078</v>
      </c>
      <c r="AE133">
        <f t="shared" si="44"/>
        <v>21032</v>
      </c>
      <c r="AF133">
        <v>8586</v>
      </c>
      <c r="AG133">
        <v>6549</v>
      </c>
      <c r="AH133">
        <v>4283</v>
      </c>
      <c r="AI133">
        <f t="shared" si="45"/>
        <v>2266</v>
      </c>
      <c r="AJ133" t="s">
        <v>988</v>
      </c>
      <c r="AK133">
        <v>42</v>
      </c>
      <c r="AL133">
        <v>1595</v>
      </c>
      <c r="AM133">
        <v>1466</v>
      </c>
      <c r="AN133">
        <v>2531</v>
      </c>
      <c r="AO133">
        <v>1558</v>
      </c>
      <c r="AP133">
        <v>2216</v>
      </c>
      <c r="AQ133">
        <v>406</v>
      </c>
      <c r="AR133">
        <v>202</v>
      </c>
      <c r="AS133">
        <v>68</v>
      </c>
      <c r="AT133">
        <v>361</v>
      </c>
      <c r="AU133">
        <v>1363</v>
      </c>
      <c r="AV133">
        <v>1464</v>
      </c>
      <c r="AW133">
        <v>7</v>
      </c>
      <c r="AX133">
        <v>478</v>
      </c>
      <c r="AY133">
        <v>1164</v>
      </c>
      <c r="AZ133">
        <v>8500</v>
      </c>
      <c r="BA133">
        <v>69</v>
      </c>
      <c r="BB133">
        <v>2738</v>
      </c>
      <c r="BC133">
        <v>26</v>
      </c>
      <c r="BD133">
        <v>1555</v>
      </c>
    </row>
    <row r="134" spans="1:56" x14ac:dyDescent="0.25">
      <c r="A134" t="s">
        <v>603</v>
      </c>
      <c r="B134" t="s">
        <v>348</v>
      </c>
      <c r="C134">
        <f t="shared" si="42"/>
        <v>99681</v>
      </c>
      <c r="D134">
        <v>100959</v>
      </c>
      <c r="E134">
        <v>1278</v>
      </c>
      <c r="F134">
        <f t="shared" si="43"/>
        <v>94994</v>
      </c>
      <c r="G134">
        <v>96272</v>
      </c>
      <c r="H134">
        <v>1278</v>
      </c>
      <c r="I134">
        <f t="shared" si="46"/>
        <v>5657</v>
      </c>
      <c r="J134">
        <f t="shared" si="47"/>
        <v>18528</v>
      </c>
      <c r="K134">
        <f t="shared" si="48"/>
        <v>9421</v>
      </c>
      <c r="L134">
        <f t="shared" si="49"/>
        <v>2004</v>
      </c>
      <c r="M134">
        <f t="shared" si="50"/>
        <v>1030</v>
      </c>
      <c r="N134">
        <f t="shared" si="51"/>
        <v>3255</v>
      </c>
      <c r="O134">
        <f t="shared" si="52"/>
        <v>6778</v>
      </c>
      <c r="P134">
        <f t="shared" si="53"/>
        <v>19850</v>
      </c>
      <c r="Q134">
        <f t="shared" si="54"/>
        <v>9615</v>
      </c>
      <c r="R134">
        <f t="shared" si="55"/>
        <v>8588</v>
      </c>
      <c r="S134">
        <f t="shared" si="56"/>
        <v>208</v>
      </c>
      <c r="U134">
        <v>27829</v>
      </c>
      <c r="V134">
        <v>2409</v>
      </c>
      <c r="W134">
        <v>4939</v>
      </c>
      <c r="X134">
        <v>1165</v>
      </c>
      <c r="Y134">
        <v>4731</v>
      </c>
      <c r="Z134">
        <v>8201</v>
      </c>
      <c r="AA134">
        <v>29748</v>
      </c>
      <c r="AB134">
        <v>14347</v>
      </c>
      <c r="AC134">
        <v>5222</v>
      </c>
      <c r="AD134">
        <v>536</v>
      </c>
      <c r="AE134">
        <f t="shared" si="44"/>
        <v>9643</v>
      </c>
      <c r="AF134">
        <v>9274</v>
      </c>
      <c r="AG134">
        <v>12663</v>
      </c>
      <c r="AH134">
        <v>12454</v>
      </c>
      <c r="AI134">
        <f t="shared" si="45"/>
        <v>209</v>
      </c>
      <c r="AJ134" t="s">
        <v>1113</v>
      </c>
      <c r="AK134">
        <v>1</v>
      </c>
      <c r="AM134">
        <v>668</v>
      </c>
      <c r="AN134">
        <v>18</v>
      </c>
      <c r="AO134">
        <v>1423</v>
      </c>
      <c r="AQ134">
        <v>1476</v>
      </c>
      <c r="AS134">
        <v>119</v>
      </c>
      <c r="AT134">
        <v>16</v>
      </c>
      <c r="AU134">
        <v>1163</v>
      </c>
      <c r="AV134">
        <v>205</v>
      </c>
      <c r="AW134">
        <v>19</v>
      </c>
      <c r="AX134">
        <v>386</v>
      </c>
      <c r="AY134">
        <v>760</v>
      </c>
      <c r="AZ134">
        <v>17648</v>
      </c>
      <c r="BA134">
        <v>28</v>
      </c>
      <c r="BD134">
        <v>255</v>
      </c>
    </row>
    <row r="135" spans="1:56" x14ac:dyDescent="0.25">
      <c r="A135" t="s">
        <v>599</v>
      </c>
      <c r="B135" t="s">
        <v>432</v>
      </c>
      <c r="C135">
        <f t="shared" si="42"/>
        <v>376755</v>
      </c>
      <c r="D135">
        <v>378760</v>
      </c>
      <c r="E135">
        <v>2005</v>
      </c>
      <c r="F135">
        <f t="shared" si="43"/>
        <v>351473</v>
      </c>
      <c r="G135">
        <v>353478</v>
      </c>
      <c r="H135">
        <v>2005</v>
      </c>
      <c r="I135">
        <f t="shared" si="46"/>
        <v>14798</v>
      </c>
      <c r="J135">
        <f t="shared" si="47"/>
        <v>45739</v>
      </c>
      <c r="K135">
        <f t="shared" si="48"/>
        <v>4967</v>
      </c>
      <c r="L135">
        <f t="shared" si="49"/>
        <v>7750</v>
      </c>
      <c r="M135">
        <f t="shared" si="50"/>
        <v>23534</v>
      </c>
      <c r="N135">
        <f t="shared" si="51"/>
        <v>7453</v>
      </c>
      <c r="O135">
        <f t="shared" si="52"/>
        <v>21553</v>
      </c>
      <c r="P135">
        <f t="shared" si="53"/>
        <v>77903</v>
      </c>
      <c r="Q135">
        <f t="shared" si="54"/>
        <v>90671</v>
      </c>
      <c r="R135">
        <f t="shared" si="55"/>
        <v>19421</v>
      </c>
      <c r="S135">
        <f t="shared" si="56"/>
        <v>7658</v>
      </c>
      <c r="U135">
        <v>54582</v>
      </c>
      <c r="V135">
        <v>7809</v>
      </c>
      <c r="W135">
        <v>14645</v>
      </c>
      <c r="X135">
        <v>23966</v>
      </c>
      <c r="Y135">
        <v>9597</v>
      </c>
      <c r="Z135">
        <v>23088</v>
      </c>
      <c r="AA135">
        <v>169585</v>
      </c>
      <c r="AB135">
        <v>55862</v>
      </c>
      <c r="AC135">
        <v>16642</v>
      </c>
      <c r="AD135">
        <v>5399</v>
      </c>
      <c r="AE135">
        <f t="shared" si="44"/>
        <v>91682</v>
      </c>
      <c r="AF135">
        <v>20530</v>
      </c>
      <c r="AG135">
        <v>54958</v>
      </c>
      <c r="AH135">
        <v>45089</v>
      </c>
      <c r="AI135">
        <f t="shared" si="45"/>
        <v>9869</v>
      </c>
      <c r="AJ135" t="s">
        <v>1175</v>
      </c>
      <c r="AK135">
        <v>2211</v>
      </c>
      <c r="AM135">
        <v>1109</v>
      </c>
      <c r="AO135">
        <v>1535</v>
      </c>
      <c r="AQ135">
        <v>2144</v>
      </c>
      <c r="AS135">
        <v>432</v>
      </c>
      <c r="AU135">
        <v>2421</v>
      </c>
      <c r="AW135">
        <v>59</v>
      </c>
      <c r="AY135">
        <v>3876</v>
      </c>
      <c r="AZ135">
        <v>45739</v>
      </c>
      <c r="BA135">
        <v>1011</v>
      </c>
    </row>
    <row r="136" spans="1:56" x14ac:dyDescent="0.25">
      <c r="A136" t="s">
        <v>603</v>
      </c>
      <c r="B136" t="s">
        <v>349</v>
      </c>
      <c r="C136">
        <f t="shared" si="42"/>
        <v>74224</v>
      </c>
      <c r="D136">
        <v>74260</v>
      </c>
      <c r="E136">
        <v>36</v>
      </c>
      <c r="F136">
        <f t="shared" si="43"/>
        <v>65351</v>
      </c>
      <c r="G136">
        <v>65387</v>
      </c>
      <c r="H136">
        <v>36</v>
      </c>
      <c r="I136">
        <f t="shared" si="46"/>
        <v>2432</v>
      </c>
      <c r="J136">
        <f t="shared" si="47"/>
        <v>7323</v>
      </c>
      <c r="K136">
        <f t="shared" si="48"/>
        <v>6946</v>
      </c>
      <c r="L136">
        <f t="shared" si="49"/>
        <v>2100</v>
      </c>
      <c r="M136">
        <f t="shared" si="50"/>
        <v>6365</v>
      </c>
      <c r="N136">
        <f t="shared" si="51"/>
        <v>1894</v>
      </c>
      <c r="O136">
        <f t="shared" si="52"/>
        <v>6214</v>
      </c>
      <c r="P136">
        <f t="shared" si="53"/>
        <v>7622</v>
      </c>
      <c r="Q136">
        <f t="shared" si="54"/>
        <v>10944</v>
      </c>
      <c r="R136">
        <f t="shared" si="55"/>
        <v>6920</v>
      </c>
      <c r="S136">
        <f t="shared" si="56"/>
        <v>354</v>
      </c>
      <c r="U136">
        <v>10879</v>
      </c>
      <c r="V136">
        <v>2249</v>
      </c>
      <c r="W136">
        <v>4030</v>
      </c>
      <c r="X136">
        <v>6505</v>
      </c>
      <c r="Y136">
        <v>2669</v>
      </c>
      <c r="Z136">
        <v>7078</v>
      </c>
      <c r="AA136">
        <v>19113</v>
      </c>
      <c r="AB136">
        <v>5958</v>
      </c>
      <c r="AC136">
        <v>1094</v>
      </c>
      <c r="AD136">
        <v>570</v>
      </c>
      <c r="AE136">
        <f t="shared" si="44"/>
        <v>11491</v>
      </c>
      <c r="AF136">
        <v>8422</v>
      </c>
      <c r="AG136">
        <v>13315</v>
      </c>
      <c r="AH136">
        <v>11869</v>
      </c>
      <c r="AI136">
        <f t="shared" si="45"/>
        <v>1446</v>
      </c>
      <c r="AJ136" t="s">
        <v>1114</v>
      </c>
      <c r="AL136">
        <v>1092</v>
      </c>
      <c r="AM136">
        <v>910</v>
      </c>
      <c r="AN136">
        <v>592</v>
      </c>
      <c r="AO136">
        <v>341</v>
      </c>
      <c r="AP136">
        <v>523</v>
      </c>
      <c r="AQ136">
        <v>604</v>
      </c>
      <c r="AR136">
        <v>171</v>
      </c>
      <c r="AT136">
        <v>140</v>
      </c>
      <c r="AU136">
        <v>294</v>
      </c>
      <c r="AV136">
        <v>459</v>
      </c>
      <c r="AW136">
        <v>1</v>
      </c>
      <c r="AX136">
        <v>148</v>
      </c>
      <c r="AY136">
        <v>235</v>
      </c>
      <c r="AZ136">
        <v>3698</v>
      </c>
      <c r="BA136">
        <v>47</v>
      </c>
      <c r="BB136">
        <v>500</v>
      </c>
    </row>
    <row r="137" spans="1:56" x14ac:dyDescent="0.25">
      <c r="A137" t="s">
        <v>604</v>
      </c>
      <c r="B137" t="s">
        <v>512</v>
      </c>
      <c r="C137">
        <f t="shared" si="42"/>
        <v>292712</v>
      </c>
      <c r="D137">
        <v>303750</v>
      </c>
      <c r="E137">
        <v>11038</v>
      </c>
      <c r="F137">
        <f t="shared" si="43"/>
        <v>281109</v>
      </c>
      <c r="G137">
        <v>292147</v>
      </c>
      <c r="H137">
        <v>11038</v>
      </c>
      <c r="I137">
        <f t="shared" si="46"/>
        <v>8900</v>
      </c>
      <c r="J137">
        <f t="shared" si="47"/>
        <v>46649</v>
      </c>
      <c r="K137">
        <f t="shared" si="48"/>
        <v>41947</v>
      </c>
      <c r="L137">
        <f t="shared" si="49"/>
        <v>6534</v>
      </c>
      <c r="M137">
        <f t="shared" si="50"/>
        <v>5905</v>
      </c>
      <c r="N137">
        <f t="shared" si="51"/>
        <v>8587</v>
      </c>
      <c r="O137">
        <f t="shared" si="52"/>
        <v>17830</v>
      </c>
      <c r="P137">
        <f t="shared" si="53"/>
        <v>60307</v>
      </c>
      <c r="Q137">
        <f t="shared" si="54"/>
        <v>55906</v>
      </c>
      <c r="R137">
        <f t="shared" si="55"/>
        <v>18946</v>
      </c>
      <c r="S137">
        <f t="shared" si="56"/>
        <v>737</v>
      </c>
      <c r="U137">
        <v>63950</v>
      </c>
      <c r="V137">
        <v>8242</v>
      </c>
      <c r="W137">
        <v>9710</v>
      </c>
      <c r="X137">
        <v>6470</v>
      </c>
      <c r="Y137">
        <v>11365</v>
      </c>
      <c r="Z137">
        <v>22720</v>
      </c>
      <c r="AA137">
        <v>131841</v>
      </c>
      <c r="AB137">
        <v>52368</v>
      </c>
      <c r="AC137">
        <v>12032</v>
      </c>
      <c r="AD137">
        <v>5410</v>
      </c>
      <c r="AE137">
        <f t="shared" si="44"/>
        <v>62031</v>
      </c>
      <c r="AF137">
        <v>21590</v>
      </c>
      <c r="AG137">
        <v>27862</v>
      </c>
      <c r="AH137">
        <v>23957</v>
      </c>
      <c r="AI137">
        <f t="shared" si="45"/>
        <v>3905</v>
      </c>
      <c r="AJ137" t="s">
        <v>989</v>
      </c>
      <c r="AK137">
        <v>155</v>
      </c>
      <c r="AL137">
        <v>3013</v>
      </c>
      <c r="AM137">
        <v>771</v>
      </c>
      <c r="AN137">
        <v>1873</v>
      </c>
      <c r="AO137">
        <v>2231</v>
      </c>
      <c r="AP137">
        <v>2659</v>
      </c>
      <c r="AQ137">
        <v>2070</v>
      </c>
      <c r="AR137">
        <v>708</v>
      </c>
      <c r="AS137">
        <v>34</v>
      </c>
      <c r="AT137">
        <v>531</v>
      </c>
      <c r="AU137">
        <v>968</v>
      </c>
      <c r="AV137">
        <v>1197</v>
      </c>
      <c r="AW137">
        <v>13</v>
      </c>
      <c r="AX137">
        <v>1695</v>
      </c>
      <c r="AY137">
        <v>2477</v>
      </c>
      <c r="AZ137">
        <v>19526</v>
      </c>
      <c r="BA137">
        <v>181</v>
      </c>
      <c r="BB137">
        <v>5944</v>
      </c>
      <c r="BD137">
        <v>9503</v>
      </c>
    </row>
    <row r="138" spans="1:56" x14ac:dyDescent="0.25">
      <c r="A138" t="s">
        <v>607</v>
      </c>
      <c r="B138" t="s">
        <v>747</v>
      </c>
      <c r="C138" s="312">
        <v>158017</v>
      </c>
      <c r="D138">
        <v>0</v>
      </c>
      <c r="E138">
        <v>0</v>
      </c>
      <c r="F138">
        <v>158017</v>
      </c>
      <c r="G138">
        <v>158017</v>
      </c>
      <c r="H138">
        <v>0</v>
      </c>
      <c r="I138">
        <f t="shared" si="46"/>
        <v>0</v>
      </c>
      <c r="J138">
        <f t="shared" si="47"/>
        <v>0</v>
      </c>
      <c r="K138">
        <f t="shared" si="48"/>
        <v>0</v>
      </c>
      <c r="L138">
        <f t="shared" si="49"/>
        <v>0</v>
      </c>
      <c r="M138">
        <f t="shared" si="50"/>
        <v>0</v>
      </c>
      <c r="N138">
        <f t="shared" si="51"/>
        <v>0</v>
      </c>
      <c r="O138">
        <f t="shared" si="52"/>
        <v>0</v>
      </c>
      <c r="P138">
        <f t="shared" si="53"/>
        <v>0</v>
      </c>
      <c r="Q138">
        <f t="shared" si="54"/>
        <v>0</v>
      </c>
      <c r="R138">
        <f t="shared" si="55"/>
        <v>0</v>
      </c>
      <c r="S138">
        <f t="shared" si="56"/>
        <v>0</v>
      </c>
      <c r="AJ138" t="s">
        <v>1307</v>
      </c>
      <c r="AK138">
        <v>0</v>
      </c>
      <c r="AL138">
        <v>0</v>
      </c>
      <c r="AM138">
        <v>0</v>
      </c>
      <c r="AN138">
        <v>0</v>
      </c>
      <c r="AO138">
        <v>0</v>
      </c>
      <c r="AP138">
        <v>0</v>
      </c>
      <c r="AQ138">
        <v>0</v>
      </c>
      <c r="AR138">
        <v>0</v>
      </c>
      <c r="AS138">
        <v>0</v>
      </c>
      <c r="AT138">
        <v>0</v>
      </c>
      <c r="AU138">
        <v>0</v>
      </c>
      <c r="AV138">
        <v>0</v>
      </c>
      <c r="AW138">
        <v>0</v>
      </c>
      <c r="AX138">
        <v>0</v>
      </c>
      <c r="AY138">
        <v>0</v>
      </c>
      <c r="AZ138">
        <v>0</v>
      </c>
      <c r="BA138">
        <v>0</v>
      </c>
      <c r="BB138">
        <v>0</v>
      </c>
      <c r="BD138">
        <v>0</v>
      </c>
    </row>
    <row r="139" spans="1:56" x14ac:dyDescent="0.25">
      <c r="A139" t="s">
        <v>601</v>
      </c>
      <c r="B139" t="s">
        <v>231</v>
      </c>
      <c r="C139">
        <f>SUM(D139,-E139)</f>
        <v>38255</v>
      </c>
      <c r="D139">
        <v>38301</v>
      </c>
      <c r="E139">
        <v>46</v>
      </c>
      <c r="F139">
        <f>SUM(G139,-H139)</f>
        <v>40025</v>
      </c>
      <c r="G139">
        <v>40071</v>
      </c>
      <c r="H139">
        <v>46</v>
      </c>
      <c r="I139">
        <f t="shared" si="46"/>
        <v>744</v>
      </c>
      <c r="J139">
        <f t="shared" si="47"/>
        <v>8162</v>
      </c>
      <c r="K139">
        <f t="shared" si="48"/>
        <v>5667</v>
      </c>
      <c r="L139">
        <f t="shared" si="49"/>
        <v>1307</v>
      </c>
      <c r="M139">
        <f t="shared" si="50"/>
        <v>186</v>
      </c>
      <c r="N139">
        <f t="shared" si="51"/>
        <v>825</v>
      </c>
      <c r="O139">
        <f t="shared" si="52"/>
        <v>1831</v>
      </c>
      <c r="P139">
        <f t="shared" si="53"/>
        <v>6479</v>
      </c>
      <c r="Q139">
        <f t="shared" si="54"/>
        <v>6410</v>
      </c>
      <c r="R139">
        <f t="shared" si="55"/>
        <v>3444</v>
      </c>
      <c r="S139">
        <f t="shared" si="56"/>
        <v>617</v>
      </c>
      <c r="U139">
        <v>10323</v>
      </c>
      <c r="V139">
        <v>1667</v>
      </c>
      <c r="W139">
        <v>1946</v>
      </c>
      <c r="X139">
        <v>301</v>
      </c>
      <c r="Y139">
        <v>943</v>
      </c>
      <c r="Z139">
        <v>2277</v>
      </c>
      <c r="AA139">
        <v>14777</v>
      </c>
      <c r="AB139">
        <v>5106</v>
      </c>
      <c r="AC139">
        <v>1538</v>
      </c>
      <c r="AD139">
        <v>385</v>
      </c>
      <c r="AE139">
        <f>SUM(AA139,-AB139,-AC139,-AD139)</f>
        <v>7748</v>
      </c>
      <c r="AF139">
        <v>3784</v>
      </c>
      <c r="AG139">
        <v>2283</v>
      </c>
      <c r="AH139">
        <v>1212</v>
      </c>
      <c r="AI139">
        <f>SUM(AG139,-AH139)</f>
        <v>1071</v>
      </c>
      <c r="AJ139" t="s">
        <v>1020</v>
      </c>
      <c r="AK139">
        <v>0</v>
      </c>
      <c r="AL139">
        <v>454</v>
      </c>
      <c r="AN139">
        <v>340</v>
      </c>
      <c r="AP139">
        <v>446</v>
      </c>
      <c r="AR139">
        <v>118</v>
      </c>
      <c r="AT139">
        <v>115</v>
      </c>
      <c r="AV139">
        <v>529</v>
      </c>
      <c r="AX139">
        <v>360</v>
      </c>
      <c r="AY139">
        <v>744</v>
      </c>
      <c r="AZ139">
        <v>3912</v>
      </c>
      <c r="BB139">
        <v>1338</v>
      </c>
      <c r="BD139">
        <v>550</v>
      </c>
    </row>
    <row r="140" spans="1:56" x14ac:dyDescent="0.25">
      <c r="A140" t="s">
        <v>599</v>
      </c>
      <c r="B140" t="s">
        <v>433</v>
      </c>
      <c r="C140">
        <f>SUM(D140,-E140)</f>
        <v>103222</v>
      </c>
      <c r="D140">
        <v>105874</v>
      </c>
      <c r="E140">
        <v>2652</v>
      </c>
      <c r="F140">
        <f>SUM(G140,-H140)</f>
        <v>108245</v>
      </c>
      <c r="G140">
        <v>110897</v>
      </c>
      <c r="H140">
        <v>2652</v>
      </c>
      <c r="I140">
        <f t="shared" si="46"/>
        <v>3110</v>
      </c>
      <c r="J140">
        <f t="shared" si="47"/>
        <v>20225</v>
      </c>
      <c r="K140">
        <f t="shared" si="48"/>
        <v>12169</v>
      </c>
      <c r="L140">
        <f t="shared" si="49"/>
        <v>2658</v>
      </c>
      <c r="M140">
        <f t="shared" si="50"/>
        <v>5498</v>
      </c>
      <c r="N140">
        <f t="shared" si="51"/>
        <v>2355</v>
      </c>
      <c r="O140">
        <f t="shared" si="52"/>
        <v>6996</v>
      </c>
      <c r="P140">
        <f t="shared" si="53"/>
        <v>16368</v>
      </c>
      <c r="Q140">
        <f t="shared" si="54"/>
        <v>18873</v>
      </c>
      <c r="R140">
        <f t="shared" si="55"/>
        <v>8141</v>
      </c>
      <c r="S140">
        <f t="shared" si="56"/>
        <v>366</v>
      </c>
      <c r="U140">
        <v>22228</v>
      </c>
      <c r="V140">
        <v>3567</v>
      </c>
      <c r="W140">
        <v>4607</v>
      </c>
      <c r="X140">
        <v>5833</v>
      </c>
      <c r="Y140">
        <v>3189</v>
      </c>
      <c r="Z140">
        <v>11574</v>
      </c>
      <c r="AA140">
        <v>37201</v>
      </c>
      <c r="AB140">
        <v>9973</v>
      </c>
      <c r="AC140">
        <v>2447</v>
      </c>
      <c r="AD140">
        <v>4085</v>
      </c>
      <c r="AE140">
        <f>SUM(AA140,-AB140,-AC140,-AD140)</f>
        <v>20696</v>
      </c>
      <c r="AF140">
        <v>10003</v>
      </c>
      <c r="AG140">
        <v>7672</v>
      </c>
      <c r="AH140">
        <v>5800</v>
      </c>
      <c r="AI140">
        <f>SUM(AG140,-AH140)</f>
        <v>1872</v>
      </c>
      <c r="AJ140" t="s">
        <v>1177</v>
      </c>
      <c r="AK140">
        <v>4</v>
      </c>
      <c r="AL140">
        <v>1502</v>
      </c>
      <c r="AM140">
        <v>516</v>
      </c>
      <c r="AN140">
        <v>1346</v>
      </c>
      <c r="AO140">
        <v>1217</v>
      </c>
      <c r="AP140">
        <v>3361</v>
      </c>
      <c r="AQ140">
        <v>493</v>
      </c>
      <c r="AR140">
        <v>341</v>
      </c>
      <c r="AS140">
        <v>75</v>
      </c>
      <c r="AT140">
        <v>260</v>
      </c>
      <c r="AU140">
        <v>211</v>
      </c>
      <c r="AV140">
        <v>1081</v>
      </c>
      <c r="AW140">
        <v>51</v>
      </c>
      <c r="AX140">
        <v>858</v>
      </c>
      <c r="AY140">
        <v>541</v>
      </c>
      <c r="AZ140">
        <v>9518</v>
      </c>
      <c r="BA140">
        <v>2</v>
      </c>
      <c r="BB140">
        <v>1821</v>
      </c>
      <c r="BD140">
        <v>137</v>
      </c>
    </row>
    <row r="141" spans="1:56" x14ac:dyDescent="0.25">
      <c r="A141" t="s">
        <v>603</v>
      </c>
      <c r="B141" t="s">
        <v>350</v>
      </c>
      <c r="C141">
        <f>SUM(D141,-E141)</f>
        <v>49772</v>
      </c>
      <c r="D141">
        <v>49775</v>
      </c>
      <c r="E141">
        <v>3</v>
      </c>
      <c r="F141">
        <f>SUM(G141,-H141)</f>
        <v>49764</v>
      </c>
      <c r="G141">
        <v>49767</v>
      </c>
      <c r="H141">
        <v>3</v>
      </c>
      <c r="I141">
        <f t="shared" si="46"/>
        <v>2655</v>
      </c>
      <c r="J141">
        <f t="shared" si="47"/>
        <v>1096</v>
      </c>
      <c r="K141">
        <f t="shared" si="48"/>
        <v>9433</v>
      </c>
      <c r="L141">
        <f t="shared" si="49"/>
        <v>2109</v>
      </c>
      <c r="M141">
        <f t="shared" si="50"/>
        <v>639</v>
      </c>
      <c r="N141">
        <f t="shared" si="51"/>
        <v>960</v>
      </c>
      <c r="O141">
        <f t="shared" si="52"/>
        <v>4002</v>
      </c>
      <c r="P141">
        <f t="shared" si="53"/>
        <v>6811</v>
      </c>
      <c r="Q141">
        <f t="shared" si="54"/>
        <v>11973</v>
      </c>
      <c r="R141">
        <f t="shared" si="55"/>
        <v>4878</v>
      </c>
      <c r="S141">
        <f t="shared" si="56"/>
        <v>1165</v>
      </c>
      <c r="U141">
        <v>10827</v>
      </c>
      <c r="V141">
        <v>2112</v>
      </c>
      <c r="W141">
        <v>3211</v>
      </c>
      <c r="X141">
        <v>639</v>
      </c>
      <c r="Y141">
        <v>1750</v>
      </c>
      <c r="Z141">
        <v>4374</v>
      </c>
      <c r="AA141">
        <v>18820</v>
      </c>
      <c r="AB141">
        <v>4820</v>
      </c>
      <c r="AC141">
        <v>1738</v>
      </c>
      <c r="AD141">
        <v>253</v>
      </c>
      <c r="AE141">
        <f>SUM(AA141,-AB141,-AC141,-AD141)</f>
        <v>12009</v>
      </c>
      <c r="AF141">
        <v>5385</v>
      </c>
      <c r="AG141">
        <v>2657</v>
      </c>
      <c r="AH141">
        <v>1489</v>
      </c>
      <c r="AI141">
        <f>SUM(AG141,-AH141)</f>
        <v>1168</v>
      </c>
      <c r="AJ141" t="s">
        <v>1116</v>
      </c>
      <c r="AK141">
        <v>3</v>
      </c>
      <c r="AM141">
        <v>507</v>
      </c>
      <c r="AO141">
        <v>372</v>
      </c>
      <c r="AQ141">
        <v>790</v>
      </c>
      <c r="AU141">
        <v>646</v>
      </c>
      <c r="AW141">
        <v>3</v>
      </c>
      <c r="AY141">
        <v>298</v>
      </c>
      <c r="AZ141">
        <v>1096</v>
      </c>
      <c r="BA141">
        <v>36</v>
      </c>
    </row>
    <row r="142" spans="1:56" x14ac:dyDescent="0.25">
      <c r="A142" t="s">
        <v>599</v>
      </c>
      <c r="B142" t="s">
        <v>434</v>
      </c>
      <c r="C142">
        <f>SUM(D142,-E142)</f>
        <v>37220</v>
      </c>
      <c r="D142">
        <v>38048</v>
      </c>
      <c r="E142">
        <v>828</v>
      </c>
      <c r="F142">
        <f>SUM(G142,-H142)</f>
        <v>32733</v>
      </c>
      <c r="G142">
        <v>33561</v>
      </c>
      <c r="H142">
        <v>828</v>
      </c>
      <c r="I142">
        <f t="shared" si="46"/>
        <v>1704</v>
      </c>
      <c r="J142">
        <f t="shared" si="47"/>
        <v>8802</v>
      </c>
      <c r="K142">
        <f t="shared" si="48"/>
        <v>4097</v>
      </c>
      <c r="L142">
        <f t="shared" si="49"/>
        <v>1000</v>
      </c>
      <c r="M142">
        <f t="shared" si="50"/>
        <v>223</v>
      </c>
      <c r="N142">
        <f t="shared" si="51"/>
        <v>1208</v>
      </c>
      <c r="O142">
        <f t="shared" si="52"/>
        <v>2902</v>
      </c>
      <c r="P142">
        <f t="shared" si="53"/>
        <v>4001</v>
      </c>
      <c r="Q142">
        <f t="shared" si="54"/>
        <v>5388</v>
      </c>
      <c r="R142">
        <f t="shared" si="55"/>
        <v>2950</v>
      </c>
      <c r="S142">
        <f t="shared" si="56"/>
        <v>350</v>
      </c>
      <c r="U142">
        <v>8782</v>
      </c>
      <c r="V142">
        <v>1371</v>
      </c>
      <c r="W142">
        <v>1696</v>
      </c>
      <c r="X142">
        <v>333</v>
      </c>
      <c r="Y142">
        <v>1496</v>
      </c>
      <c r="Z142">
        <v>3729</v>
      </c>
      <c r="AA142">
        <v>10863</v>
      </c>
      <c r="AB142">
        <v>2808</v>
      </c>
      <c r="AC142">
        <v>1527</v>
      </c>
      <c r="AD142">
        <v>190</v>
      </c>
      <c r="AE142">
        <f>SUM(AA142,-AB142,-AC142,-AD142)</f>
        <v>6338</v>
      </c>
      <c r="AF142">
        <v>3984</v>
      </c>
      <c r="AG142">
        <v>5794</v>
      </c>
      <c r="AH142">
        <v>4394</v>
      </c>
      <c r="AI142">
        <f>SUM(AG142,-AH142)</f>
        <v>1400</v>
      </c>
      <c r="AJ142" t="s">
        <v>1178</v>
      </c>
      <c r="AK142">
        <v>4</v>
      </c>
      <c r="AL142">
        <v>1046</v>
      </c>
      <c r="AM142">
        <v>559</v>
      </c>
      <c r="AN142">
        <v>475</v>
      </c>
      <c r="AO142">
        <v>584</v>
      </c>
      <c r="AP142">
        <v>243</v>
      </c>
      <c r="AQ142">
        <v>248</v>
      </c>
      <c r="AR142">
        <v>40</v>
      </c>
      <c r="AS142">
        <v>2</v>
      </c>
      <c r="AT142">
        <v>108</v>
      </c>
      <c r="AU142">
        <v>127</v>
      </c>
      <c r="AV142">
        <v>540</v>
      </c>
      <c r="AW142">
        <v>14</v>
      </c>
      <c r="AX142">
        <v>357</v>
      </c>
      <c r="AY142">
        <v>166</v>
      </c>
      <c r="AZ142">
        <v>4519</v>
      </c>
      <c r="BB142">
        <v>950</v>
      </c>
      <c r="BD142">
        <v>524</v>
      </c>
    </row>
    <row r="143" spans="1:56" x14ac:dyDescent="0.25">
      <c r="A143" t="s">
        <v>600</v>
      </c>
      <c r="B143" t="s">
        <v>307</v>
      </c>
      <c r="C143">
        <f>SUM(D143,-E143)</f>
        <v>261098</v>
      </c>
      <c r="D143">
        <v>261386</v>
      </c>
      <c r="E143">
        <v>288</v>
      </c>
      <c r="F143">
        <f>SUM(G143,-H143)</f>
        <v>261183</v>
      </c>
      <c r="G143">
        <v>261471</v>
      </c>
      <c r="H143">
        <v>288</v>
      </c>
      <c r="I143">
        <f t="shared" si="46"/>
        <v>12366</v>
      </c>
      <c r="J143">
        <f t="shared" si="47"/>
        <v>51475</v>
      </c>
      <c r="K143">
        <f t="shared" si="48"/>
        <v>11918</v>
      </c>
      <c r="L143">
        <f t="shared" si="49"/>
        <v>9071</v>
      </c>
      <c r="M143">
        <f t="shared" si="50"/>
        <v>2935</v>
      </c>
      <c r="N143">
        <f t="shared" si="51"/>
        <v>9762</v>
      </c>
      <c r="O143">
        <f t="shared" si="52"/>
        <v>13555</v>
      </c>
      <c r="P143">
        <f t="shared" si="53"/>
        <v>45104</v>
      </c>
      <c r="Q143">
        <f t="shared" si="54"/>
        <v>60074</v>
      </c>
      <c r="R143">
        <f t="shared" si="55"/>
        <v>16671</v>
      </c>
      <c r="S143">
        <f t="shared" si="56"/>
        <v>2369</v>
      </c>
      <c r="U143">
        <v>38768</v>
      </c>
      <c r="V143">
        <v>10885</v>
      </c>
      <c r="W143">
        <v>18818</v>
      </c>
      <c r="X143">
        <v>3818</v>
      </c>
      <c r="Y143">
        <v>13779</v>
      </c>
      <c r="Z143">
        <v>17191</v>
      </c>
      <c r="AA143">
        <v>116356</v>
      </c>
      <c r="AB143">
        <v>39762</v>
      </c>
      <c r="AC143">
        <v>7119</v>
      </c>
      <c r="AD143">
        <v>3313</v>
      </c>
      <c r="AE143">
        <f>SUM(AA143,-AB143,-AC143,-AD143)</f>
        <v>66162</v>
      </c>
      <c r="AF143">
        <v>20820</v>
      </c>
      <c r="AG143">
        <v>20951</v>
      </c>
      <c r="AH143">
        <v>13734</v>
      </c>
      <c r="AI143">
        <f>SUM(AG143,-AH143)</f>
        <v>7217</v>
      </c>
      <c r="AJ143" t="s">
        <v>1082</v>
      </c>
      <c r="AK143">
        <v>104</v>
      </c>
      <c r="AL143">
        <v>4744</v>
      </c>
      <c r="AM143">
        <v>2139</v>
      </c>
      <c r="AN143">
        <v>2010</v>
      </c>
      <c r="AO143">
        <v>1477</v>
      </c>
      <c r="AP143">
        <v>2159</v>
      </c>
      <c r="AQ143">
        <v>3474</v>
      </c>
      <c r="AR143">
        <v>543</v>
      </c>
      <c r="AS143">
        <v>93</v>
      </c>
      <c r="AT143">
        <v>790</v>
      </c>
      <c r="AU143">
        <v>3304</v>
      </c>
      <c r="AV143">
        <v>3162</v>
      </c>
      <c r="AW143">
        <v>35</v>
      </c>
      <c r="AX143">
        <v>1779</v>
      </c>
      <c r="AY143">
        <v>1730</v>
      </c>
      <c r="AZ143">
        <v>25120</v>
      </c>
      <c r="BA143">
        <v>10</v>
      </c>
      <c r="BB143">
        <v>6078</v>
      </c>
      <c r="BD143">
        <v>5090</v>
      </c>
    </row>
    <row r="144" spans="1:56" x14ac:dyDescent="0.25">
      <c r="A144" t="s">
        <v>603</v>
      </c>
      <c r="B144" t="s">
        <v>748</v>
      </c>
      <c r="C144" s="312">
        <v>185817</v>
      </c>
      <c r="D144">
        <v>0</v>
      </c>
      <c r="E144">
        <v>0</v>
      </c>
      <c r="F144">
        <v>185817</v>
      </c>
      <c r="G144">
        <v>185817</v>
      </c>
      <c r="H144">
        <v>0</v>
      </c>
      <c r="I144">
        <f t="shared" si="46"/>
        <v>0</v>
      </c>
      <c r="J144">
        <f t="shared" si="47"/>
        <v>0</v>
      </c>
      <c r="K144">
        <f t="shared" si="48"/>
        <v>0</v>
      </c>
      <c r="L144">
        <f t="shared" si="49"/>
        <v>0</v>
      </c>
      <c r="M144">
        <f t="shared" si="50"/>
        <v>0</v>
      </c>
      <c r="N144">
        <f t="shared" si="51"/>
        <v>0</v>
      </c>
      <c r="O144">
        <f t="shared" si="52"/>
        <v>0</v>
      </c>
      <c r="P144">
        <f t="shared" si="53"/>
        <v>0</v>
      </c>
      <c r="Q144">
        <f t="shared" si="54"/>
        <v>0</v>
      </c>
      <c r="R144">
        <f t="shared" si="55"/>
        <v>0</v>
      </c>
      <c r="S144">
        <f t="shared" si="56"/>
        <v>0</v>
      </c>
      <c r="AJ144" t="s">
        <v>1306</v>
      </c>
      <c r="AK144">
        <v>0</v>
      </c>
      <c r="AL144">
        <v>0</v>
      </c>
      <c r="AM144">
        <v>0</v>
      </c>
      <c r="AN144">
        <v>0</v>
      </c>
      <c r="AO144">
        <v>0</v>
      </c>
      <c r="AP144">
        <v>0</v>
      </c>
      <c r="AQ144">
        <v>0</v>
      </c>
      <c r="AR144">
        <v>0</v>
      </c>
      <c r="AS144">
        <v>0</v>
      </c>
      <c r="AT144">
        <v>0</v>
      </c>
      <c r="AU144">
        <v>0</v>
      </c>
      <c r="AV144">
        <v>0</v>
      </c>
      <c r="AW144">
        <v>0</v>
      </c>
      <c r="AX144">
        <v>0</v>
      </c>
      <c r="AY144">
        <v>0</v>
      </c>
      <c r="AZ144">
        <v>0</v>
      </c>
      <c r="BA144">
        <v>0</v>
      </c>
      <c r="BB144">
        <v>0</v>
      </c>
      <c r="BD144">
        <v>0</v>
      </c>
    </row>
    <row r="145" spans="1:56" x14ac:dyDescent="0.25">
      <c r="A145" t="s">
        <v>604</v>
      </c>
      <c r="B145" t="s">
        <v>194</v>
      </c>
      <c r="C145">
        <f t="shared" ref="C145:C176" si="57">SUM(D145,-E145)</f>
        <v>82803</v>
      </c>
      <c r="D145">
        <v>86536</v>
      </c>
      <c r="E145">
        <v>3733</v>
      </c>
      <c r="F145">
        <f t="shared" ref="F145:F176" si="58">SUM(G145,-H145)</f>
        <v>83127</v>
      </c>
      <c r="G145">
        <v>86860</v>
      </c>
      <c r="H145">
        <v>3733</v>
      </c>
      <c r="I145">
        <f t="shared" si="46"/>
        <v>4916</v>
      </c>
      <c r="J145">
        <f t="shared" si="47"/>
        <v>16713</v>
      </c>
      <c r="K145">
        <f t="shared" si="48"/>
        <v>8136</v>
      </c>
      <c r="L145">
        <f t="shared" si="49"/>
        <v>2623</v>
      </c>
      <c r="M145">
        <f t="shared" si="50"/>
        <v>539</v>
      </c>
      <c r="N145">
        <f t="shared" si="51"/>
        <v>1998</v>
      </c>
      <c r="O145">
        <f t="shared" si="52"/>
        <v>7862</v>
      </c>
      <c r="P145">
        <f t="shared" si="53"/>
        <v>11902</v>
      </c>
      <c r="Q145">
        <f t="shared" si="54"/>
        <v>19400</v>
      </c>
      <c r="R145">
        <f t="shared" si="55"/>
        <v>7829</v>
      </c>
      <c r="S145">
        <f t="shared" si="56"/>
        <v>366</v>
      </c>
      <c r="U145">
        <v>16598</v>
      </c>
      <c r="V145">
        <v>3068</v>
      </c>
      <c r="W145">
        <v>5164</v>
      </c>
      <c r="X145">
        <v>930</v>
      </c>
      <c r="Y145">
        <v>3148</v>
      </c>
      <c r="Z145">
        <v>9766</v>
      </c>
      <c r="AA145">
        <v>34740</v>
      </c>
      <c r="AB145">
        <v>9387</v>
      </c>
      <c r="AC145">
        <v>2617</v>
      </c>
      <c r="AD145">
        <v>1147</v>
      </c>
      <c r="AE145">
        <f t="shared" ref="AE145:AE176" si="59">SUM(AA145,-AB145,-AC145,-AD145)</f>
        <v>21589</v>
      </c>
      <c r="AF145">
        <v>10973</v>
      </c>
      <c r="AG145">
        <v>2149</v>
      </c>
      <c r="AH145">
        <v>266</v>
      </c>
      <c r="AI145">
        <f t="shared" ref="AI145:AI176" si="60">SUM(AG145,-AH145)</f>
        <v>1883</v>
      </c>
      <c r="AJ145" t="s">
        <v>1267</v>
      </c>
      <c r="AL145">
        <v>1517</v>
      </c>
      <c r="AM145">
        <v>1434</v>
      </c>
      <c r="AN145">
        <v>1710</v>
      </c>
      <c r="AO145">
        <v>1185</v>
      </c>
      <c r="AP145">
        <v>719</v>
      </c>
      <c r="AQ145">
        <v>865</v>
      </c>
      <c r="AR145">
        <v>285</v>
      </c>
      <c r="AS145">
        <v>49</v>
      </c>
      <c r="AT145">
        <v>342</v>
      </c>
      <c r="AU145">
        <v>537</v>
      </c>
      <c r="AV145">
        <v>641</v>
      </c>
      <c r="AX145">
        <v>445</v>
      </c>
      <c r="AY145">
        <v>762</v>
      </c>
      <c r="AZ145">
        <v>7700</v>
      </c>
      <c r="BA145">
        <v>84</v>
      </c>
      <c r="BB145">
        <v>2105</v>
      </c>
      <c r="BD145">
        <v>1249</v>
      </c>
    </row>
    <row r="146" spans="1:56" x14ac:dyDescent="0.25">
      <c r="A146" t="s">
        <v>600</v>
      </c>
      <c r="B146" t="s">
        <v>308</v>
      </c>
      <c r="C146">
        <f t="shared" si="57"/>
        <v>94812</v>
      </c>
      <c r="D146">
        <v>99415</v>
      </c>
      <c r="E146">
        <v>4603</v>
      </c>
      <c r="F146">
        <f t="shared" si="58"/>
        <v>99633</v>
      </c>
      <c r="G146">
        <v>104236</v>
      </c>
      <c r="H146">
        <v>4603</v>
      </c>
      <c r="I146">
        <f t="shared" si="46"/>
        <v>5720</v>
      </c>
      <c r="J146">
        <f t="shared" si="47"/>
        <v>21375</v>
      </c>
      <c r="K146">
        <f t="shared" si="48"/>
        <v>15515</v>
      </c>
      <c r="L146">
        <f t="shared" si="49"/>
        <v>3775</v>
      </c>
      <c r="M146">
        <f t="shared" si="50"/>
        <v>1598</v>
      </c>
      <c r="N146">
        <f t="shared" si="51"/>
        <v>3285</v>
      </c>
      <c r="O146">
        <f t="shared" si="52"/>
        <v>5503</v>
      </c>
      <c r="P146">
        <f t="shared" si="53"/>
        <v>12779</v>
      </c>
      <c r="Q146">
        <f t="shared" si="54"/>
        <v>16017</v>
      </c>
      <c r="R146">
        <f t="shared" si="55"/>
        <v>10403</v>
      </c>
      <c r="S146">
        <f t="shared" si="56"/>
        <v>40</v>
      </c>
      <c r="U146">
        <v>37640</v>
      </c>
      <c r="V146">
        <v>3839</v>
      </c>
      <c r="W146">
        <v>4603</v>
      </c>
      <c r="X146">
        <v>1604</v>
      </c>
      <c r="Y146">
        <v>4800</v>
      </c>
      <c r="Z146">
        <v>5856</v>
      </c>
      <c r="AA146">
        <v>30216</v>
      </c>
      <c r="AB146">
        <v>8829</v>
      </c>
      <c r="AC146">
        <v>3517</v>
      </c>
      <c r="AD146">
        <v>433</v>
      </c>
      <c r="AE146">
        <f t="shared" si="59"/>
        <v>17437</v>
      </c>
      <c r="AF146">
        <v>10790</v>
      </c>
      <c r="AG146">
        <v>67</v>
      </c>
      <c r="AH146">
        <v>27</v>
      </c>
      <c r="AI146">
        <f t="shared" si="60"/>
        <v>40</v>
      </c>
      <c r="AJ146" t="s">
        <v>1288</v>
      </c>
      <c r="AM146">
        <v>387</v>
      </c>
      <c r="AO146">
        <v>341</v>
      </c>
      <c r="AP146">
        <v>12</v>
      </c>
      <c r="AQ146">
        <v>1515</v>
      </c>
      <c r="AS146">
        <v>6</v>
      </c>
      <c r="AU146">
        <v>1225</v>
      </c>
      <c r="AW146">
        <v>64</v>
      </c>
      <c r="AY146">
        <v>2126</v>
      </c>
      <c r="AZ146">
        <v>19999</v>
      </c>
      <c r="BA146">
        <v>56</v>
      </c>
      <c r="BB146">
        <v>1364</v>
      </c>
    </row>
    <row r="147" spans="1:56" x14ac:dyDescent="0.25">
      <c r="A147" t="s">
        <v>598</v>
      </c>
      <c r="B147" t="s">
        <v>134</v>
      </c>
      <c r="C147">
        <f t="shared" si="57"/>
        <v>194106</v>
      </c>
      <c r="D147">
        <v>194306</v>
      </c>
      <c r="E147">
        <v>200</v>
      </c>
      <c r="F147">
        <f t="shared" si="58"/>
        <v>170318</v>
      </c>
      <c r="G147">
        <v>170518</v>
      </c>
      <c r="H147">
        <v>200</v>
      </c>
      <c r="I147">
        <f t="shared" si="46"/>
        <v>7476</v>
      </c>
      <c r="J147">
        <f t="shared" si="47"/>
        <v>1884</v>
      </c>
      <c r="K147">
        <f t="shared" si="48"/>
        <v>22783</v>
      </c>
      <c r="L147">
        <f t="shared" si="49"/>
        <v>3295</v>
      </c>
      <c r="M147">
        <f t="shared" si="50"/>
        <v>4228</v>
      </c>
      <c r="N147">
        <f t="shared" si="51"/>
        <v>8142</v>
      </c>
      <c r="O147">
        <f t="shared" si="52"/>
        <v>13068</v>
      </c>
      <c r="P147">
        <f t="shared" si="53"/>
        <v>65854</v>
      </c>
      <c r="Q147">
        <f t="shared" si="54"/>
        <v>43394</v>
      </c>
      <c r="R147">
        <f t="shared" si="55"/>
        <v>12202</v>
      </c>
      <c r="S147">
        <f t="shared" si="56"/>
        <v>2881</v>
      </c>
      <c r="U147">
        <v>25230</v>
      </c>
      <c r="V147">
        <v>3313</v>
      </c>
      <c r="W147">
        <v>7636</v>
      </c>
      <c r="X147">
        <v>4293</v>
      </c>
      <c r="Y147">
        <v>9479</v>
      </c>
      <c r="Z147">
        <v>15022</v>
      </c>
      <c r="AA147">
        <v>109591</v>
      </c>
      <c r="AB147">
        <v>23884</v>
      </c>
      <c r="AC147">
        <v>38524</v>
      </c>
      <c r="AD147">
        <v>3446</v>
      </c>
      <c r="AE147">
        <f t="shared" si="59"/>
        <v>43737</v>
      </c>
      <c r="AF147">
        <v>13258</v>
      </c>
      <c r="AG147">
        <v>6484</v>
      </c>
      <c r="AH147">
        <v>2466</v>
      </c>
      <c r="AI147">
        <f t="shared" si="60"/>
        <v>4018</v>
      </c>
      <c r="AJ147" t="s">
        <v>979</v>
      </c>
      <c r="AK147">
        <v>1137</v>
      </c>
      <c r="AM147">
        <v>1056</v>
      </c>
      <c r="AO147">
        <v>1954</v>
      </c>
      <c r="AQ147">
        <v>1337</v>
      </c>
      <c r="AS147">
        <v>65</v>
      </c>
      <c r="AU147">
        <v>1003</v>
      </c>
      <c r="AW147">
        <v>18</v>
      </c>
      <c r="AY147">
        <v>563</v>
      </c>
      <c r="AZ147">
        <v>1884</v>
      </c>
      <c r="BA147">
        <v>343</v>
      </c>
    </row>
    <row r="148" spans="1:56" x14ac:dyDescent="0.25">
      <c r="A148" t="s">
        <v>600</v>
      </c>
      <c r="B148" t="s">
        <v>309</v>
      </c>
      <c r="C148">
        <f t="shared" si="57"/>
        <v>223193</v>
      </c>
      <c r="D148">
        <v>230114</v>
      </c>
      <c r="E148">
        <v>6921</v>
      </c>
      <c r="F148">
        <f t="shared" si="58"/>
        <v>214178</v>
      </c>
      <c r="G148">
        <v>221099</v>
      </c>
      <c r="H148">
        <v>6921</v>
      </c>
      <c r="I148">
        <f t="shared" si="46"/>
        <v>10858</v>
      </c>
      <c r="J148">
        <f t="shared" si="47"/>
        <v>39397</v>
      </c>
      <c r="K148">
        <f t="shared" si="48"/>
        <v>20339</v>
      </c>
      <c r="L148">
        <f t="shared" si="49"/>
        <v>5393</v>
      </c>
      <c r="M148">
        <f t="shared" si="50"/>
        <v>2226</v>
      </c>
      <c r="N148">
        <f t="shared" si="51"/>
        <v>10972</v>
      </c>
      <c r="O148">
        <f t="shared" si="52"/>
        <v>13473</v>
      </c>
      <c r="P148">
        <f t="shared" si="53"/>
        <v>37706</v>
      </c>
      <c r="Q148">
        <f t="shared" si="54"/>
        <v>57222</v>
      </c>
      <c r="R148">
        <f t="shared" si="55"/>
        <v>15987</v>
      </c>
      <c r="S148">
        <f t="shared" si="56"/>
        <v>2811</v>
      </c>
      <c r="U148">
        <v>40666</v>
      </c>
      <c r="V148">
        <v>7626</v>
      </c>
      <c r="W148">
        <v>10479</v>
      </c>
      <c r="X148">
        <v>2914</v>
      </c>
      <c r="Y148">
        <v>13913</v>
      </c>
      <c r="Z148">
        <v>22624</v>
      </c>
      <c r="AA148">
        <v>99158</v>
      </c>
      <c r="AB148">
        <v>30215</v>
      </c>
      <c r="AC148">
        <v>5142</v>
      </c>
      <c r="AD148">
        <v>3051</v>
      </c>
      <c r="AE148">
        <f t="shared" si="59"/>
        <v>60750</v>
      </c>
      <c r="AF148">
        <v>17850</v>
      </c>
      <c r="AG148">
        <v>14884</v>
      </c>
      <c r="AH148">
        <v>8112</v>
      </c>
      <c r="AI148">
        <f t="shared" si="60"/>
        <v>6772</v>
      </c>
      <c r="AJ148" t="s">
        <v>1083</v>
      </c>
      <c r="AK148">
        <v>728</v>
      </c>
      <c r="AL148">
        <v>3233</v>
      </c>
      <c r="AM148">
        <v>828</v>
      </c>
      <c r="AN148">
        <v>1035</v>
      </c>
      <c r="AO148">
        <v>3131</v>
      </c>
      <c r="AP148">
        <v>6020</v>
      </c>
      <c r="AQ148">
        <v>1859</v>
      </c>
      <c r="AR148">
        <v>1082</v>
      </c>
      <c r="AS148">
        <v>30</v>
      </c>
      <c r="AT148">
        <v>658</v>
      </c>
      <c r="AU148">
        <v>2475</v>
      </c>
      <c r="AV148">
        <v>2386</v>
      </c>
      <c r="AW148">
        <v>116</v>
      </c>
      <c r="AX148">
        <v>2117</v>
      </c>
      <c r="AY148">
        <v>1462</v>
      </c>
      <c r="AZ148">
        <v>18865</v>
      </c>
      <c r="BA148">
        <v>229</v>
      </c>
      <c r="BB148">
        <v>3299</v>
      </c>
      <c r="BD148">
        <v>702</v>
      </c>
    </row>
    <row r="149" spans="1:56" x14ac:dyDescent="0.25">
      <c r="A149" t="s">
        <v>608</v>
      </c>
      <c r="B149" t="s">
        <v>470</v>
      </c>
      <c r="C149">
        <f t="shared" si="57"/>
        <v>100028</v>
      </c>
      <c r="D149">
        <v>103339</v>
      </c>
      <c r="E149">
        <v>3311</v>
      </c>
      <c r="F149">
        <f t="shared" si="58"/>
        <v>93556</v>
      </c>
      <c r="G149">
        <v>96867</v>
      </c>
      <c r="H149">
        <v>3311</v>
      </c>
      <c r="I149">
        <f t="shared" si="46"/>
        <v>5473</v>
      </c>
      <c r="J149">
        <f t="shared" si="47"/>
        <v>20725</v>
      </c>
      <c r="K149">
        <f t="shared" si="48"/>
        <v>11814</v>
      </c>
      <c r="L149">
        <f t="shared" si="49"/>
        <v>3338</v>
      </c>
      <c r="M149">
        <f t="shared" si="50"/>
        <v>2405</v>
      </c>
      <c r="N149">
        <f t="shared" si="51"/>
        <v>2153</v>
      </c>
      <c r="O149">
        <f t="shared" si="52"/>
        <v>5606</v>
      </c>
      <c r="P149">
        <f t="shared" si="53"/>
        <v>13378</v>
      </c>
      <c r="Q149">
        <f t="shared" si="54"/>
        <v>20939</v>
      </c>
      <c r="R149">
        <f t="shared" si="55"/>
        <v>7254</v>
      </c>
      <c r="S149">
        <f t="shared" si="56"/>
        <v>1063</v>
      </c>
      <c r="U149">
        <v>24669</v>
      </c>
      <c r="V149">
        <v>3749</v>
      </c>
      <c r="W149">
        <v>6726</v>
      </c>
      <c r="X149">
        <v>2905</v>
      </c>
      <c r="Y149">
        <v>3411</v>
      </c>
      <c r="Z149">
        <v>7789</v>
      </c>
      <c r="AA149">
        <v>37438</v>
      </c>
      <c r="AB149">
        <v>8222</v>
      </c>
      <c r="AC149">
        <v>4601</v>
      </c>
      <c r="AD149">
        <v>1461</v>
      </c>
      <c r="AE149">
        <f t="shared" si="59"/>
        <v>23154</v>
      </c>
      <c r="AF149">
        <v>9188</v>
      </c>
      <c r="AG149">
        <v>7464</v>
      </c>
      <c r="AH149">
        <v>4627</v>
      </c>
      <c r="AI149">
        <f t="shared" si="60"/>
        <v>2837</v>
      </c>
      <c r="AJ149" t="s">
        <v>1224</v>
      </c>
      <c r="AK149">
        <v>241</v>
      </c>
      <c r="AL149">
        <v>1533</v>
      </c>
      <c r="AM149">
        <v>895</v>
      </c>
      <c r="AN149">
        <v>1039</v>
      </c>
      <c r="AO149">
        <v>559</v>
      </c>
      <c r="AP149">
        <v>1624</v>
      </c>
      <c r="AQ149">
        <v>1055</v>
      </c>
      <c r="AR149">
        <v>203</v>
      </c>
      <c r="AS149">
        <v>18</v>
      </c>
      <c r="AT149">
        <v>482</v>
      </c>
      <c r="AU149">
        <v>1128</v>
      </c>
      <c r="AV149">
        <v>1034</v>
      </c>
      <c r="AW149">
        <v>19</v>
      </c>
      <c r="AX149">
        <v>392</v>
      </c>
      <c r="AY149">
        <v>786</v>
      </c>
      <c r="AZ149">
        <v>12069</v>
      </c>
      <c r="BA149">
        <v>772</v>
      </c>
      <c r="BB149">
        <v>1443</v>
      </c>
      <c r="BD149">
        <v>906</v>
      </c>
    </row>
    <row r="150" spans="1:56" x14ac:dyDescent="0.25">
      <c r="A150" t="s">
        <v>606</v>
      </c>
      <c r="B150" t="s">
        <v>269</v>
      </c>
      <c r="C150">
        <f t="shared" si="57"/>
        <v>119647</v>
      </c>
      <c r="D150">
        <v>124580</v>
      </c>
      <c r="E150">
        <v>4933</v>
      </c>
      <c r="F150">
        <f t="shared" si="58"/>
        <v>114231</v>
      </c>
      <c r="G150">
        <v>119164</v>
      </c>
      <c r="H150">
        <v>4933</v>
      </c>
      <c r="I150">
        <f t="shared" si="46"/>
        <v>4787</v>
      </c>
      <c r="J150">
        <f t="shared" si="47"/>
        <v>25172</v>
      </c>
      <c r="K150">
        <f t="shared" si="48"/>
        <v>12082</v>
      </c>
      <c r="L150">
        <f t="shared" si="49"/>
        <v>2684</v>
      </c>
      <c r="M150">
        <f t="shared" si="50"/>
        <v>10570</v>
      </c>
      <c r="N150">
        <f t="shared" si="51"/>
        <v>3028</v>
      </c>
      <c r="O150">
        <f t="shared" si="52"/>
        <v>7095</v>
      </c>
      <c r="P150">
        <f t="shared" si="53"/>
        <v>13003</v>
      </c>
      <c r="Q150">
        <f t="shared" si="54"/>
        <v>21054</v>
      </c>
      <c r="R150">
        <f t="shared" si="55"/>
        <v>7967</v>
      </c>
      <c r="S150">
        <f t="shared" si="56"/>
        <v>291</v>
      </c>
      <c r="U150">
        <v>24636</v>
      </c>
      <c r="V150">
        <v>4046</v>
      </c>
      <c r="W150">
        <v>5883</v>
      </c>
      <c r="X150">
        <v>11189</v>
      </c>
      <c r="Y150">
        <v>5200</v>
      </c>
      <c r="Z150">
        <v>10802</v>
      </c>
      <c r="AA150">
        <v>36093</v>
      </c>
      <c r="AB150">
        <v>11898</v>
      </c>
      <c r="AC150">
        <v>653</v>
      </c>
      <c r="AD150">
        <v>636</v>
      </c>
      <c r="AE150">
        <f t="shared" si="59"/>
        <v>22906</v>
      </c>
      <c r="AF150">
        <v>10853</v>
      </c>
      <c r="AG150">
        <v>15878</v>
      </c>
      <c r="AH150">
        <v>13154</v>
      </c>
      <c r="AI150">
        <f t="shared" si="60"/>
        <v>2724</v>
      </c>
      <c r="AJ150" t="s">
        <v>1048</v>
      </c>
      <c r="AK150">
        <v>4</v>
      </c>
      <c r="AL150">
        <v>2429</v>
      </c>
      <c r="AM150">
        <v>528</v>
      </c>
      <c r="AN150">
        <v>2358</v>
      </c>
      <c r="AO150">
        <v>1123</v>
      </c>
      <c r="AP150">
        <v>2584</v>
      </c>
      <c r="AQ150">
        <v>1592</v>
      </c>
      <c r="AR150">
        <v>580</v>
      </c>
      <c r="AT150">
        <v>619</v>
      </c>
      <c r="AU150">
        <v>168</v>
      </c>
      <c r="AV150">
        <v>2022</v>
      </c>
      <c r="AW150">
        <v>47</v>
      </c>
      <c r="AX150">
        <v>1315</v>
      </c>
      <c r="AY150">
        <v>1085</v>
      </c>
      <c r="AZ150">
        <v>11469</v>
      </c>
      <c r="BA150">
        <v>240</v>
      </c>
      <c r="BB150">
        <v>1612</v>
      </c>
      <c r="BD150">
        <v>184</v>
      </c>
    </row>
    <row r="151" spans="1:56" x14ac:dyDescent="0.25">
      <c r="A151" t="s">
        <v>600</v>
      </c>
      <c r="B151" t="s">
        <v>310</v>
      </c>
      <c r="C151">
        <f t="shared" si="57"/>
        <v>95203</v>
      </c>
      <c r="D151">
        <v>102328</v>
      </c>
      <c r="E151">
        <v>7125</v>
      </c>
      <c r="F151">
        <f t="shared" si="58"/>
        <v>87162</v>
      </c>
      <c r="G151">
        <v>94287</v>
      </c>
      <c r="H151">
        <v>7125</v>
      </c>
      <c r="I151">
        <f t="shared" si="46"/>
        <v>5420</v>
      </c>
      <c r="J151">
        <f t="shared" si="47"/>
        <v>23554</v>
      </c>
      <c r="K151">
        <f t="shared" si="48"/>
        <v>13736</v>
      </c>
      <c r="L151">
        <f t="shared" si="49"/>
        <v>3271</v>
      </c>
      <c r="M151">
        <f t="shared" si="50"/>
        <v>370</v>
      </c>
      <c r="N151">
        <f t="shared" si="51"/>
        <v>2410</v>
      </c>
      <c r="O151">
        <f t="shared" si="52"/>
        <v>6273</v>
      </c>
      <c r="P151">
        <f t="shared" si="53"/>
        <v>17232</v>
      </c>
      <c r="Q151">
        <f t="shared" si="54"/>
        <v>19291</v>
      </c>
      <c r="R151">
        <f t="shared" si="55"/>
        <v>7198</v>
      </c>
      <c r="S151">
        <f t="shared" si="56"/>
        <v>638</v>
      </c>
      <c r="U151">
        <v>27127</v>
      </c>
      <c r="V151">
        <v>4038</v>
      </c>
      <c r="W151">
        <v>4019</v>
      </c>
      <c r="X151">
        <v>565</v>
      </c>
      <c r="Y151">
        <v>4139</v>
      </c>
      <c r="Z151">
        <v>8946</v>
      </c>
      <c r="AA151">
        <v>41054</v>
      </c>
      <c r="AB151">
        <v>15325</v>
      </c>
      <c r="AC151">
        <v>1849</v>
      </c>
      <c r="AD151">
        <v>2335</v>
      </c>
      <c r="AE151">
        <f t="shared" si="59"/>
        <v>21545</v>
      </c>
      <c r="AF151">
        <v>9780</v>
      </c>
      <c r="AG151">
        <v>2660</v>
      </c>
      <c r="AH151">
        <v>20</v>
      </c>
      <c r="AI151">
        <f t="shared" si="60"/>
        <v>2640</v>
      </c>
      <c r="AJ151" t="s">
        <v>1084</v>
      </c>
      <c r="AK151">
        <v>43</v>
      </c>
      <c r="AL151">
        <v>1959</v>
      </c>
      <c r="AM151">
        <v>1501</v>
      </c>
      <c r="AN151">
        <v>1081</v>
      </c>
      <c r="AO151">
        <v>991</v>
      </c>
      <c r="AP151">
        <v>1682</v>
      </c>
      <c r="AQ151">
        <v>1469</v>
      </c>
      <c r="AR151">
        <v>260</v>
      </c>
      <c r="AS151">
        <v>2</v>
      </c>
      <c r="AT151">
        <v>193</v>
      </c>
      <c r="AU151">
        <v>374</v>
      </c>
      <c r="AV151">
        <v>730</v>
      </c>
      <c r="AW151">
        <v>50</v>
      </c>
      <c r="AX151">
        <v>717</v>
      </c>
      <c r="AY151">
        <v>655</v>
      </c>
      <c r="AZ151">
        <v>12736</v>
      </c>
      <c r="BA151">
        <v>155</v>
      </c>
      <c r="BB151">
        <v>2099</v>
      </c>
      <c r="BC151">
        <v>180</v>
      </c>
      <c r="BD151">
        <v>2097</v>
      </c>
    </row>
    <row r="152" spans="1:56" x14ac:dyDescent="0.25">
      <c r="A152" t="s">
        <v>610</v>
      </c>
      <c r="B152" t="s">
        <v>391</v>
      </c>
      <c r="C152">
        <f t="shared" si="57"/>
        <v>65242</v>
      </c>
      <c r="D152">
        <v>66382</v>
      </c>
      <c r="E152">
        <v>1140</v>
      </c>
      <c r="F152">
        <f t="shared" si="58"/>
        <v>61737</v>
      </c>
      <c r="G152">
        <v>62877</v>
      </c>
      <c r="H152">
        <v>1140</v>
      </c>
      <c r="I152">
        <f t="shared" si="46"/>
        <v>2420</v>
      </c>
      <c r="J152">
        <f t="shared" si="47"/>
        <v>13588</v>
      </c>
      <c r="K152">
        <f t="shared" si="48"/>
        <v>7788</v>
      </c>
      <c r="L152">
        <f t="shared" si="49"/>
        <v>2093</v>
      </c>
      <c r="M152">
        <f t="shared" si="50"/>
        <v>646</v>
      </c>
      <c r="N152">
        <f t="shared" si="51"/>
        <v>1603</v>
      </c>
      <c r="O152">
        <f t="shared" si="52"/>
        <v>3311</v>
      </c>
      <c r="P152">
        <f t="shared" si="53"/>
        <v>9850</v>
      </c>
      <c r="Q152">
        <f t="shared" si="54"/>
        <v>14436</v>
      </c>
      <c r="R152">
        <f t="shared" si="55"/>
        <v>6301</v>
      </c>
      <c r="S152">
        <f t="shared" si="56"/>
        <v>405</v>
      </c>
      <c r="U152">
        <v>15766</v>
      </c>
      <c r="V152">
        <v>2482</v>
      </c>
      <c r="W152">
        <v>4393</v>
      </c>
      <c r="X152">
        <v>701</v>
      </c>
      <c r="Y152">
        <v>2307</v>
      </c>
      <c r="Z152">
        <v>4789</v>
      </c>
      <c r="AA152">
        <v>26055</v>
      </c>
      <c r="AB152">
        <v>5877</v>
      </c>
      <c r="AC152">
        <v>3993</v>
      </c>
      <c r="AD152">
        <v>836</v>
      </c>
      <c r="AE152">
        <f t="shared" si="59"/>
        <v>15349</v>
      </c>
      <c r="AF152">
        <v>7416</v>
      </c>
      <c r="AG152">
        <v>2473</v>
      </c>
      <c r="AH152">
        <v>816</v>
      </c>
      <c r="AI152">
        <f t="shared" si="60"/>
        <v>1657</v>
      </c>
      <c r="AJ152" t="s">
        <v>1146</v>
      </c>
      <c r="AK152">
        <v>19</v>
      </c>
      <c r="AL152">
        <v>1233</v>
      </c>
      <c r="AM152">
        <v>710</v>
      </c>
      <c r="AN152">
        <v>405</v>
      </c>
      <c r="AO152">
        <v>151</v>
      </c>
      <c r="AP152">
        <v>1327</v>
      </c>
      <c r="AQ152">
        <v>677</v>
      </c>
      <c r="AR152">
        <v>27</v>
      </c>
      <c r="AT152">
        <v>55</v>
      </c>
      <c r="AU152">
        <v>283</v>
      </c>
      <c r="AV152">
        <v>985</v>
      </c>
      <c r="AW152">
        <v>35</v>
      </c>
      <c r="AX152">
        <v>354</v>
      </c>
      <c r="AY152">
        <v>435</v>
      </c>
      <c r="AZ152">
        <v>7543</v>
      </c>
      <c r="BA152">
        <v>110</v>
      </c>
      <c r="BB152">
        <v>803</v>
      </c>
      <c r="BD152">
        <v>856</v>
      </c>
    </row>
    <row r="153" spans="1:56" x14ac:dyDescent="0.25">
      <c r="A153" t="s">
        <v>606</v>
      </c>
      <c r="B153" t="s">
        <v>270</v>
      </c>
      <c r="C153">
        <f t="shared" si="57"/>
        <v>74242</v>
      </c>
      <c r="D153">
        <v>74824</v>
      </c>
      <c r="E153">
        <v>582</v>
      </c>
      <c r="F153">
        <f t="shared" si="58"/>
        <v>74010</v>
      </c>
      <c r="G153">
        <v>74592</v>
      </c>
      <c r="H153">
        <v>582</v>
      </c>
      <c r="I153">
        <f t="shared" si="46"/>
        <v>3153</v>
      </c>
      <c r="J153">
        <f t="shared" si="47"/>
        <v>1604</v>
      </c>
      <c r="K153">
        <f t="shared" si="48"/>
        <v>12315</v>
      </c>
      <c r="L153">
        <f t="shared" si="49"/>
        <v>2688</v>
      </c>
      <c r="M153">
        <f t="shared" si="50"/>
        <v>93</v>
      </c>
      <c r="N153">
        <f t="shared" si="51"/>
        <v>1804</v>
      </c>
      <c r="O153">
        <f t="shared" si="52"/>
        <v>7212</v>
      </c>
      <c r="P153">
        <f t="shared" si="53"/>
        <v>15071</v>
      </c>
      <c r="Q153">
        <f t="shared" si="54"/>
        <v>16070</v>
      </c>
      <c r="R153">
        <f t="shared" si="55"/>
        <v>7018</v>
      </c>
      <c r="S153">
        <f t="shared" si="56"/>
        <v>3191</v>
      </c>
      <c r="U153">
        <v>14061</v>
      </c>
      <c r="V153">
        <v>2749</v>
      </c>
      <c r="W153">
        <v>4744</v>
      </c>
      <c r="X153">
        <v>465</v>
      </c>
      <c r="Y153">
        <v>2650</v>
      </c>
      <c r="Z153">
        <v>7749</v>
      </c>
      <c r="AA153">
        <v>31554</v>
      </c>
      <c r="AB153">
        <v>9349</v>
      </c>
      <c r="AC153">
        <v>3442</v>
      </c>
      <c r="AD153">
        <v>2310</v>
      </c>
      <c r="AE153">
        <f t="shared" si="59"/>
        <v>16453</v>
      </c>
      <c r="AF153">
        <v>7231</v>
      </c>
      <c r="AG153">
        <v>3621</v>
      </c>
      <c r="AH153">
        <v>425</v>
      </c>
      <c r="AI153">
        <f t="shared" si="60"/>
        <v>3196</v>
      </c>
      <c r="AJ153" t="s">
        <v>1059</v>
      </c>
      <c r="AK153">
        <v>5</v>
      </c>
      <c r="AM153">
        <v>213</v>
      </c>
      <c r="AO153">
        <v>522</v>
      </c>
      <c r="AP153">
        <v>15</v>
      </c>
      <c r="AQ153">
        <v>846</v>
      </c>
      <c r="AS153">
        <v>3</v>
      </c>
      <c r="AT153">
        <v>369</v>
      </c>
      <c r="AU153">
        <v>564</v>
      </c>
      <c r="AW153">
        <v>61</v>
      </c>
      <c r="AY153">
        <v>526</v>
      </c>
      <c r="AZ153">
        <v>1220</v>
      </c>
      <c r="BA153">
        <v>383</v>
      </c>
      <c r="BC153">
        <v>30</v>
      </c>
    </row>
    <row r="154" spans="1:56" x14ac:dyDescent="0.25">
      <c r="A154" t="s">
        <v>603</v>
      </c>
      <c r="B154" t="s">
        <v>351</v>
      </c>
      <c r="C154">
        <f t="shared" si="57"/>
        <v>58421</v>
      </c>
      <c r="D154">
        <v>58836</v>
      </c>
      <c r="E154">
        <v>415</v>
      </c>
      <c r="F154">
        <f t="shared" si="58"/>
        <v>57994</v>
      </c>
      <c r="G154">
        <v>58409</v>
      </c>
      <c r="H154">
        <v>415</v>
      </c>
      <c r="I154">
        <f t="shared" si="46"/>
        <v>1988</v>
      </c>
      <c r="J154">
        <f t="shared" si="47"/>
        <v>10163</v>
      </c>
      <c r="K154">
        <f t="shared" si="48"/>
        <v>10047</v>
      </c>
      <c r="L154">
        <f t="shared" si="49"/>
        <v>1851</v>
      </c>
      <c r="M154">
        <f t="shared" si="50"/>
        <v>451</v>
      </c>
      <c r="N154">
        <f t="shared" si="51"/>
        <v>2373</v>
      </c>
      <c r="O154">
        <f t="shared" si="52"/>
        <v>3061</v>
      </c>
      <c r="P154">
        <f t="shared" si="53"/>
        <v>8511</v>
      </c>
      <c r="Q154">
        <f t="shared" si="54"/>
        <v>7354</v>
      </c>
      <c r="R154">
        <f t="shared" si="55"/>
        <v>5834</v>
      </c>
      <c r="S154">
        <f t="shared" si="56"/>
        <v>372</v>
      </c>
      <c r="U154">
        <v>20445</v>
      </c>
      <c r="V154">
        <v>1864</v>
      </c>
      <c r="W154">
        <v>3164</v>
      </c>
      <c r="X154">
        <v>467</v>
      </c>
      <c r="Y154">
        <v>2575</v>
      </c>
      <c r="Z154">
        <v>3335</v>
      </c>
      <c r="AA154">
        <v>16079</v>
      </c>
      <c r="AB154">
        <v>6055</v>
      </c>
      <c r="AC154">
        <v>2624</v>
      </c>
      <c r="AD154">
        <v>0</v>
      </c>
      <c r="AE154">
        <f t="shared" si="59"/>
        <v>7400</v>
      </c>
      <c r="AF154">
        <v>6570</v>
      </c>
      <c r="AG154">
        <v>4337</v>
      </c>
      <c r="AH154">
        <v>3963</v>
      </c>
      <c r="AI154">
        <f t="shared" si="60"/>
        <v>374</v>
      </c>
      <c r="AJ154" t="s">
        <v>1278</v>
      </c>
      <c r="AK154">
        <v>2</v>
      </c>
      <c r="AM154">
        <v>736</v>
      </c>
      <c r="AO154">
        <v>261</v>
      </c>
      <c r="AP154">
        <v>13</v>
      </c>
      <c r="AQ154">
        <v>202</v>
      </c>
      <c r="AS154">
        <v>16</v>
      </c>
      <c r="AU154">
        <v>296</v>
      </c>
      <c r="AW154">
        <v>13</v>
      </c>
      <c r="AY154">
        <v>462</v>
      </c>
      <c r="AZ154">
        <v>9936</v>
      </c>
      <c r="BB154">
        <v>46</v>
      </c>
      <c r="BD154">
        <v>168</v>
      </c>
    </row>
    <row r="155" spans="1:56" x14ac:dyDescent="0.25">
      <c r="A155" t="s">
        <v>604</v>
      </c>
      <c r="B155" t="s">
        <v>195</v>
      </c>
      <c r="C155">
        <f t="shared" si="57"/>
        <v>171671</v>
      </c>
      <c r="D155">
        <v>179940</v>
      </c>
      <c r="E155">
        <v>8269</v>
      </c>
      <c r="F155">
        <f t="shared" si="58"/>
        <v>158713</v>
      </c>
      <c r="G155">
        <v>166982</v>
      </c>
      <c r="H155">
        <v>8269</v>
      </c>
      <c r="I155">
        <f t="shared" si="46"/>
        <v>7872</v>
      </c>
      <c r="J155">
        <f t="shared" si="47"/>
        <v>28683</v>
      </c>
      <c r="K155">
        <f t="shared" si="48"/>
        <v>16931</v>
      </c>
      <c r="L155">
        <f t="shared" si="49"/>
        <v>3599</v>
      </c>
      <c r="M155">
        <f t="shared" si="50"/>
        <v>1037</v>
      </c>
      <c r="N155">
        <f t="shared" si="51"/>
        <v>4931</v>
      </c>
      <c r="O155">
        <f t="shared" si="52"/>
        <v>13231</v>
      </c>
      <c r="P155">
        <f t="shared" si="53"/>
        <v>22395</v>
      </c>
      <c r="Q155">
        <f t="shared" si="54"/>
        <v>25502</v>
      </c>
      <c r="R155">
        <f t="shared" si="55"/>
        <v>6448</v>
      </c>
      <c r="S155">
        <f t="shared" si="56"/>
        <v>1018</v>
      </c>
      <c r="U155">
        <v>29761</v>
      </c>
      <c r="V155">
        <v>4496</v>
      </c>
      <c r="W155">
        <v>8753</v>
      </c>
      <c r="X155">
        <v>1373</v>
      </c>
      <c r="Y155">
        <v>7671</v>
      </c>
      <c r="Z155">
        <v>18391</v>
      </c>
      <c r="AA155">
        <v>54923</v>
      </c>
      <c r="AB155">
        <v>17955</v>
      </c>
      <c r="AC155">
        <v>7293</v>
      </c>
      <c r="AD155">
        <v>701</v>
      </c>
      <c r="AE155">
        <f t="shared" si="59"/>
        <v>28974</v>
      </c>
      <c r="AF155">
        <v>9105</v>
      </c>
      <c r="AG155">
        <v>45467</v>
      </c>
      <c r="AH155">
        <v>42068</v>
      </c>
      <c r="AI155">
        <f t="shared" si="60"/>
        <v>3399</v>
      </c>
      <c r="AJ155" t="s">
        <v>990</v>
      </c>
      <c r="AK155">
        <v>800</v>
      </c>
      <c r="AL155">
        <v>1581</v>
      </c>
      <c r="AM155">
        <v>1120</v>
      </c>
      <c r="AN155">
        <v>1537</v>
      </c>
      <c r="AO155">
        <v>1854</v>
      </c>
      <c r="AP155">
        <v>3306</v>
      </c>
      <c r="AQ155">
        <v>2258</v>
      </c>
      <c r="AR155">
        <v>482</v>
      </c>
      <c r="AS155">
        <v>3</v>
      </c>
      <c r="AT155">
        <v>333</v>
      </c>
      <c r="AU155">
        <v>557</v>
      </c>
      <c r="AV155">
        <v>1971</v>
      </c>
      <c r="AW155">
        <v>178</v>
      </c>
      <c r="AX155">
        <v>719</v>
      </c>
      <c r="AY155">
        <v>884</v>
      </c>
      <c r="AZ155">
        <v>11946</v>
      </c>
      <c r="BA155">
        <v>42</v>
      </c>
      <c r="BB155">
        <v>3430</v>
      </c>
      <c r="BC155">
        <v>176</v>
      </c>
      <c r="BD155">
        <v>3378</v>
      </c>
    </row>
    <row r="156" spans="1:56" x14ac:dyDescent="0.25">
      <c r="A156" t="s">
        <v>610</v>
      </c>
      <c r="B156" t="s">
        <v>392</v>
      </c>
      <c r="C156">
        <f t="shared" si="57"/>
        <v>32221</v>
      </c>
      <c r="D156">
        <v>32221</v>
      </c>
      <c r="E156">
        <v>0</v>
      </c>
      <c r="F156">
        <f t="shared" si="58"/>
        <v>30479</v>
      </c>
      <c r="G156">
        <v>30479</v>
      </c>
      <c r="H156">
        <v>0</v>
      </c>
      <c r="I156">
        <f t="shared" si="46"/>
        <v>1878</v>
      </c>
      <c r="J156">
        <f t="shared" si="47"/>
        <v>4599</v>
      </c>
      <c r="K156">
        <f t="shared" si="48"/>
        <v>3404</v>
      </c>
      <c r="L156">
        <f t="shared" si="49"/>
        <v>850</v>
      </c>
      <c r="M156">
        <f t="shared" si="50"/>
        <v>1486</v>
      </c>
      <c r="N156">
        <f t="shared" si="51"/>
        <v>1093</v>
      </c>
      <c r="O156">
        <f t="shared" si="52"/>
        <v>1872</v>
      </c>
      <c r="P156">
        <f t="shared" si="53"/>
        <v>2669</v>
      </c>
      <c r="Q156">
        <f t="shared" si="54"/>
        <v>6320</v>
      </c>
      <c r="R156">
        <f t="shared" si="55"/>
        <v>2990</v>
      </c>
      <c r="S156">
        <f t="shared" si="56"/>
        <v>414</v>
      </c>
      <c r="U156">
        <v>6248</v>
      </c>
      <c r="V156">
        <v>1029</v>
      </c>
      <c r="W156">
        <v>1937</v>
      </c>
      <c r="X156">
        <v>1601</v>
      </c>
      <c r="Y156">
        <v>1610</v>
      </c>
      <c r="Z156">
        <v>2452</v>
      </c>
      <c r="AA156">
        <v>9434</v>
      </c>
      <c r="AB156">
        <v>1840</v>
      </c>
      <c r="AC156">
        <v>556</v>
      </c>
      <c r="AD156">
        <v>273</v>
      </c>
      <c r="AE156">
        <f t="shared" si="59"/>
        <v>6765</v>
      </c>
      <c r="AF156">
        <v>3676</v>
      </c>
      <c r="AG156">
        <v>4234</v>
      </c>
      <c r="AH156">
        <v>3482</v>
      </c>
      <c r="AI156">
        <f t="shared" si="60"/>
        <v>752</v>
      </c>
      <c r="AJ156" t="s">
        <v>1147</v>
      </c>
      <c r="AL156">
        <v>338</v>
      </c>
      <c r="AM156">
        <v>283</v>
      </c>
      <c r="AN156">
        <v>403</v>
      </c>
      <c r="AO156">
        <v>231</v>
      </c>
      <c r="AP156">
        <v>349</v>
      </c>
      <c r="AQ156">
        <v>499</v>
      </c>
      <c r="AR156">
        <v>18</v>
      </c>
      <c r="AT156">
        <v>115</v>
      </c>
      <c r="AU156">
        <v>655</v>
      </c>
      <c r="AV156">
        <v>118</v>
      </c>
      <c r="AX156">
        <v>179</v>
      </c>
      <c r="AY156">
        <v>125</v>
      </c>
      <c r="AZ156">
        <v>2719</v>
      </c>
      <c r="BA156">
        <v>85</v>
      </c>
      <c r="BB156">
        <v>360</v>
      </c>
    </row>
    <row r="157" spans="1:56" x14ac:dyDescent="0.25">
      <c r="A157" t="s">
        <v>603</v>
      </c>
      <c r="B157" t="s">
        <v>352</v>
      </c>
      <c r="C157">
        <f t="shared" si="57"/>
        <v>175472</v>
      </c>
      <c r="D157">
        <v>181404</v>
      </c>
      <c r="E157">
        <v>5932</v>
      </c>
      <c r="F157">
        <f t="shared" si="58"/>
        <v>173546</v>
      </c>
      <c r="G157">
        <v>179478</v>
      </c>
      <c r="H157">
        <v>5932</v>
      </c>
      <c r="I157">
        <f t="shared" si="46"/>
        <v>11006</v>
      </c>
      <c r="J157">
        <f t="shared" si="47"/>
        <v>32485</v>
      </c>
      <c r="K157">
        <f t="shared" si="48"/>
        <v>17962</v>
      </c>
      <c r="L157">
        <f t="shared" si="49"/>
        <v>4616</v>
      </c>
      <c r="M157">
        <f t="shared" si="50"/>
        <v>3937</v>
      </c>
      <c r="N157">
        <f t="shared" si="51"/>
        <v>4182</v>
      </c>
      <c r="O157">
        <f t="shared" si="52"/>
        <v>9104</v>
      </c>
      <c r="P157">
        <f t="shared" si="53"/>
        <v>22527</v>
      </c>
      <c r="Q157">
        <f t="shared" si="54"/>
        <v>30904</v>
      </c>
      <c r="R157">
        <f t="shared" si="55"/>
        <v>10350</v>
      </c>
      <c r="S157">
        <f t="shared" si="56"/>
        <v>2239</v>
      </c>
      <c r="U157">
        <v>35527</v>
      </c>
      <c r="V157">
        <v>6085</v>
      </c>
      <c r="W157">
        <v>23054</v>
      </c>
      <c r="X157">
        <v>4547</v>
      </c>
      <c r="Y157">
        <v>6142</v>
      </c>
      <c r="Z157">
        <v>13399</v>
      </c>
      <c r="AA157">
        <v>57474</v>
      </c>
      <c r="AB157">
        <v>16197</v>
      </c>
      <c r="AC157">
        <v>6431</v>
      </c>
      <c r="AD157">
        <v>1094</v>
      </c>
      <c r="AE157">
        <f t="shared" si="59"/>
        <v>33752</v>
      </c>
      <c r="AF157">
        <v>14426</v>
      </c>
      <c r="AG157">
        <v>20750</v>
      </c>
      <c r="AH157">
        <v>14303</v>
      </c>
      <c r="AI157">
        <f t="shared" si="60"/>
        <v>6447</v>
      </c>
      <c r="AJ157" t="s">
        <v>1117</v>
      </c>
      <c r="AK157">
        <v>161</v>
      </c>
      <c r="AL157">
        <v>4047</v>
      </c>
      <c r="AM157">
        <v>1901</v>
      </c>
      <c r="AN157">
        <v>2175</v>
      </c>
      <c r="AO157">
        <v>2144</v>
      </c>
      <c r="AP157">
        <v>2151</v>
      </c>
      <c r="AQ157">
        <v>1729</v>
      </c>
      <c r="AR157">
        <v>231</v>
      </c>
      <c r="AS157">
        <v>45</v>
      </c>
      <c r="AT157">
        <v>565</v>
      </c>
      <c r="AU157">
        <v>2988</v>
      </c>
      <c r="AV157">
        <v>2277</v>
      </c>
      <c r="AW157">
        <v>75</v>
      </c>
      <c r="AX157">
        <v>1394</v>
      </c>
      <c r="AY157">
        <v>1560</v>
      </c>
      <c r="AZ157">
        <v>16005</v>
      </c>
      <c r="BA157">
        <v>403</v>
      </c>
      <c r="BB157">
        <v>2445</v>
      </c>
      <c r="BD157">
        <v>1195</v>
      </c>
    </row>
    <row r="158" spans="1:56" x14ac:dyDescent="0.25">
      <c r="A158" t="s">
        <v>608</v>
      </c>
      <c r="B158" t="s">
        <v>471</v>
      </c>
      <c r="C158">
        <f t="shared" si="57"/>
        <v>158610</v>
      </c>
      <c r="D158">
        <v>161135</v>
      </c>
      <c r="E158">
        <v>2525</v>
      </c>
      <c r="F158">
        <f t="shared" si="58"/>
        <v>156087</v>
      </c>
      <c r="G158">
        <v>158612</v>
      </c>
      <c r="H158">
        <v>2525</v>
      </c>
      <c r="I158">
        <f t="shared" si="46"/>
        <v>8178</v>
      </c>
      <c r="J158">
        <f t="shared" si="47"/>
        <v>26640</v>
      </c>
      <c r="K158">
        <f t="shared" si="48"/>
        <v>15213</v>
      </c>
      <c r="L158">
        <f t="shared" si="49"/>
        <v>3231</v>
      </c>
      <c r="M158">
        <f t="shared" si="50"/>
        <v>844</v>
      </c>
      <c r="N158">
        <f t="shared" si="51"/>
        <v>1791</v>
      </c>
      <c r="O158">
        <f t="shared" si="52"/>
        <v>7394</v>
      </c>
      <c r="P158">
        <f t="shared" si="53"/>
        <v>53734</v>
      </c>
      <c r="Q158">
        <f t="shared" si="54"/>
        <v>31203</v>
      </c>
      <c r="R158">
        <f t="shared" si="55"/>
        <v>7441</v>
      </c>
      <c r="S158">
        <f t="shared" si="56"/>
        <v>2502</v>
      </c>
      <c r="U158">
        <v>30001</v>
      </c>
      <c r="V158">
        <v>5506</v>
      </c>
      <c r="W158">
        <v>5517</v>
      </c>
      <c r="X158">
        <v>1299</v>
      </c>
      <c r="Y158">
        <v>3799</v>
      </c>
      <c r="Z158">
        <v>10363</v>
      </c>
      <c r="AA158">
        <v>90794</v>
      </c>
      <c r="AB158">
        <v>32742</v>
      </c>
      <c r="AC158">
        <v>20568</v>
      </c>
      <c r="AD158">
        <v>4097</v>
      </c>
      <c r="AE158">
        <f t="shared" si="59"/>
        <v>33387</v>
      </c>
      <c r="AF158">
        <v>8777</v>
      </c>
      <c r="AG158">
        <v>5079</v>
      </c>
      <c r="AH158">
        <v>29</v>
      </c>
      <c r="AI158">
        <f t="shared" si="60"/>
        <v>5050</v>
      </c>
      <c r="AJ158" t="s">
        <v>1209</v>
      </c>
      <c r="AK158">
        <v>816</v>
      </c>
      <c r="AL158">
        <v>1732</v>
      </c>
      <c r="AM158">
        <v>882</v>
      </c>
      <c r="AN158">
        <v>454</v>
      </c>
      <c r="AO158">
        <v>1359</v>
      </c>
      <c r="AP158">
        <v>1610</v>
      </c>
      <c r="AQ158">
        <v>1813</v>
      </c>
      <c r="AR158">
        <v>195</v>
      </c>
      <c r="AS158">
        <v>13</v>
      </c>
      <c r="AT158">
        <v>442</v>
      </c>
      <c r="AU158">
        <v>1417</v>
      </c>
      <c r="AV158">
        <v>1165</v>
      </c>
      <c r="AW158">
        <v>10</v>
      </c>
      <c r="AX158">
        <v>2265</v>
      </c>
      <c r="AY158">
        <v>1188</v>
      </c>
      <c r="AZ158">
        <v>13600</v>
      </c>
      <c r="BA158">
        <v>680</v>
      </c>
      <c r="BB158">
        <v>1504</v>
      </c>
      <c r="BD158">
        <v>3673</v>
      </c>
    </row>
    <row r="159" spans="1:56" x14ac:dyDescent="0.25">
      <c r="A159" t="s">
        <v>600</v>
      </c>
      <c r="B159" t="s">
        <v>311</v>
      </c>
      <c r="C159">
        <f t="shared" si="57"/>
        <v>55433</v>
      </c>
      <c r="D159">
        <v>55961</v>
      </c>
      <c r="E159">
        <v>528</v>
      </c>
      <c r="F159">
        <f t="shared" si="58"/>
        <v>51901</v>
      </c>
      <c r="G159">
        <v>52429</v>
      </c>
      <c r="H159">
        <v>528</v>
      </c>
      <c r="I159">
        <f t="shared" si="46"/>
        <v>5631</v>
      </c>
      <c r="J159">
        <f t="shared" si="47"/>
        <v>12393</v>
      </c>
      <c r="K159">
        <f t="shared" si="48"/>
        <v>5068</v>
      </c>
      <c r="L159">
        <f t="shared" si="49"/>
        <v>1671</v>
      </c>
      <c r="M159">
        <f t="shared" si="50"/>
        <v>278</v>
      </c>
      <c r="N159">
        <f t="shared" si="51"/>
        <v>1523</v>
      </c>
      <c r="O159">
        <f t="shared" si="52"/>
        <v>2225</v>
      </c>
      <c r="P159">
        <f t="shared" si="53"/>
        <v>6725</v>
      </c>
      <c r="Q159">
        <f t="shared" si="54"/>
        <v>6900</v>
      </c>
      <c r="R159">
        <f t="shared" si="55"/>
        <v>5859</v>
      </c>
      <c r="S159">
        <f t="shared" si="56"/>
        <v>5105</v>
      </c>
      <c r="U159">
        <v>13525</v>
      </c>
      <c r="V159">
        <v>1912</v>
      </c>
      <c r="W159">
        <v>2712</v>
      </c>
      <c r="X159">
        <v>325</v>
      </c>
      <c r="Y159">
        <v>2292</v>
      </c>
      <c r="Z159">
        <v>4097</v>
      </c>
      <c r="AA159">
        <v>15266</v>
      </c>
      <c r="AB159">
        <v>3803</v>
      </c>
      <c r="AC159">
        <v>3203</v>
      </c>
      <c r="AD159">
        <v>23</v>
      </c>
      <c r="AE159">
        <f t="shared" si="59"/>
        <v>8237</v>
      </c>
      <c r="AF159">
        <v>6428</v>
      </c>
      <c r="AG159">
        <v>9404</v>
      </c>
      <c r="AH159">
        <v>1903</v>
      </c>
      <c r="AI159">
        <f t="shared" si="60"/>
        <v>7501</v>
      </c>
      <c r="AJ159" t="s">
        <v>1229</v>
      </c>
      <c r="AK159">
        <v>1019</v>
      </c>
      <c r="AL159">
        <v>1377</v>
      </c>
      <c r="AM159">
        <v>175</v>
      </c>
      <c r="AN159">
        <v>394</v>
      </c>
      <c r="AO159">
        <v>454</v>
      </c>
      <c r="AP159">
        <v>1418</v>
      </c>
      <c r="AQ159">
        <v>643</v>
      </c>
      <c r="AR159">
        <v>126</v>
      </c>
      <c r="AT159">
        <v>47</v>
      </c>
      <c r="AU159">
        <v>2</v>
      </c>
      <c r="AV159">
        <v>2030</v>
      </c>
      <c r="AW159">
        <v>4</v>
      </c>
      <c r="AX159">
        <v>237</v>
      </c>
      <c r="AY159">
        <v>3319</v>
      </c>
      <c r="AZ159">
        <v>5138</v>
      </c>
      <c r="BA159">
        <v>15</v>
      </c>
      <c r="BB159">
        <v>1322</v>
      </c>
      <c r="BD159">
        <v>304</v>
      </c>
    </row>
    <row r="160" spans="1:56" x14ac:dyDescent="0.25">
      <c r="A160" t="s">
        <v>603</v>
      </c>
      <c r="B160" t="s">
        <v>354</v>
      </c>
      <c r="C160">
        <f t="shared" si="57"/>
        <v>71387</v>
      </c>
      <c r="D160">
        <v>72991</v>
      </c>
      <c r="E160">
        <v>1604</v>
      </c>
      <c r="F160">
        <f t="shared" si="58"/>
        <v>66911</v>
      </c>
      <c r="G160">
        <v>68515</v>
      </c>
      <c r="H160">
        <v>1604</v>
      </c>
      <c r="I160">
        <f t="shared" si="46"/>
        <v>2618</v>
      </c>
      <c r="J160">
        <f t="shared" si="47"/>
        <v>11793</v>
      </c>
      <c r="K160">
        <f t="shared" si="48"/>
        <v>7972</v>
      </c>
      <c r="L160">
        <f t="shared" si="49"/>
        <v>1639</v>
      </c>
      <c r="M160">
        <f t="shared" si="50"/>
        <v>23</v>
      </c>
      <c r="N160">
        <f t="shared" si="51"/>
        <v>1692</v>
      </c>
      <c r="O160">
        <f t="shared" si="52"/>
        <v>6214</v>
      </c>
      <c r="P160">
        <f t="shared" si="53"/>
        <v>12801</v>
      </c>
      <c r="Q160">
        <f t="shared" si="54"/>
        <v>14942</v>
      </c>
      <c r="R160">
        <f t="shared" si="55"/>
        <v>7640</v>
      </c>
      <c r="S160">
        <f t="shared" si="56"/>
        <v>1017</v>
      </c>
      <c r="U160">
        <v>14636</v>
      </c>
      <c r="V160">
        <v>2094</v>
      </c>
      <c r="W160">
        <v>3529</v>
      </c>
      <c r="X160">
        <v>99</v>
      </c>
      <c r="Y160">
        <v>2768</v>
      </c>
      <c r="Z160">
        <v>7971</v>
      </c>
      <c r="AA160">
        <v>29708</v>
      </c>
      <c r="AB160">
        <v>9786</v>
      </c>
      <c r="AC160">
        <v>2513</v>
      </c>
      <c r="AD160">
        <v>594</v>
      </c>
      <c r="AE160">
        <f t="shared" si="59"/>
        <v>16815</v>
      </c>
      <c r="AF160">
        <v>8257</v>
      </c>
      <c r="AG160">
        <v>3929</v>
      </c>
      <c r="AH160">
        <v>2476</v>
      </c>
      <c r="AI160">
        <f t="shared" si="60"/>
        <v>1453</v>
      </c>
      <c r="AJ160" t="s">
        <v>1118</v>
      </c>
      <c r="AK160">
        <v>31</v>
      </c>
      <c r="AL160">
        <v>405</v>
      </c>
      <c r="AM160">
        <v>282</v>
      </c>
      <c r="AN160">
        <v>335</v>
      </c>
      <c r="AO160">
        <v>501</v>
      </c>
      <c r="AP160">
        <v>1256</v>
      </c>
      <c r="AQ160">
        <v>745</v>
      </c>
      <c r="AR160">
        <v>331</v>
      </c>
      <c r="AT160">
        <v>76</v>
      </c>
      <c r="AU160">
        <v>425</v>
      </c>
      <c r="AV160">
        <v>940</v>
      </c>
      <c r="AW160">
        <v>57</v>
      </c>
      <c r="AX160">
        <v>398</v>
      </c>
      <c r="AY160">
        <v>545</v>
      </c>
      <c r="AZ160">
        <v>6119</v>
      </c>
      <c r="BA160">
        <v>32</v>
      </c>
      <c r="BB160">
        <v>1841</v>
      </c>
      <c r="BD160">
        <v>92</v>
      </c>
    </row>
    <row r="161" spans="1:56" x14ac:dyDescent="0.25">
      <c r="A161" t="s">
        <v>603</v>
      </c>
      <c r="B161" t="s">
        <v>549</v>
      </c>
      <c r="C161">
        <f t="shared" si="57"/>
        <v>138222</v>
      </c>
      <c r="D161">
        <v>139132</v>
      </c>
      <c r="E161">
        <v>910</v>
      </c>
      <c r="F161">
        <f t="shared" si="58"/>
        <v>151198</v>
      </c>
      <c r="G161">
        <v>152108</v>
      </c>
      <c r="H161">
        <v>910</v>
      </c>
      <c r="I161">
        <f t="shared" si="46"/>
        <v>6540</v>
      </c>
      <c r="J161">
        <f t="shared" si="47"/>
        <v>29631</v>
      </c>
      <c r="K161">
        <f t="shared" si="48"/>
        <v>9486</v>
      </c>
      <c r="L161">
        <f t="shared" si="49"/>
        <v>3897</v>
      </c>
      <c r="M161">
        <f t="shared" si="50"/>
        <v>1295</v>
      </c>
      <c r="N161">
        <f t="shared" si="51"/>
        <v>4384</v>
      </c>
      <c r="O161">
        <f t="shared" si="52"/>
        <v>7484</v>
      </c>
      <c r="P161">
        <f t="shared" si="53"/>
        <v>18328</v>
      </c>
      <c r="Q161">
        <f t="shared" si="54"/>
        <v>22333</v>
      </c>
      <c r="R161">
        <f t="shared" si="55"/>
        <v>12603</v>
      </c>
      <c r="S161">
        <f t="shared" si="56"/>
        <v>3061</v>
      </c>
      <c r="U161">
        <v>25404</v>
      </c>
      <c r="V161">
        <v>4648</v>
      </c>
      <c r="W161">
        <v>10035</v>
      </c>
      <c r="X161">
        <v>1513</v>
      </c>
      <c r="Y161">
        <v>6326</v>
      </c>
      <c r="Z161">
        <v>10567</v>
      </c>
      <c r="AA161">
        <v>46136</v>
      </c>
      <c r="AB161">
        <v>14046</v>
      </c>
      <c r="AC161">
        <v>5213</v>
      </c>
      <c r="AD161">
        <v>1024</v>
      </c>
      <c r="AE161">
        <f t="shared" si="59"/>
        <v>25853</v>
      </c>
      <c r="AF161">
        <v>17171</v>
      </c>
      <c r="AG161">
        <v>17332</v>
      </c>
      <c r="AH161">
        <v>11868</v>
      </c>
      <c r="AI161">
        <f t="shared" si="60"/>
        <v>5464</v>
      </c>
      <c r="AJ161" t="s">
        <v>1293</v>
      </c>
      <c r="AK161">
        <v>6</v>
      </c>
      <c r="AL161">
        <v>2397</v>
      </c>
      <c r="AM161">
        <v>2657</v>
      </c>
      <c r="AN161">
        <v>1911</v>
      </c>
      <c r="AO161">
        <v>710</v>
      </c>
      <c r="AP161">
        <v>2373</v>
      </c>
      <c r="AQ161">
        <v>1415</v>
      </c>
      <c r="AR161">
        <v>527</v>
      </c>
      <c r="AT161">
        <v>218</v>
      </c>
      <c r="AU161">
        <v>342</v>
      </c>
      <c r="AV161">
        <v>1471</v>
      </c>
      <c r="AW161">
        <v>1</v>
      </c>
      <c r="AX161">
        <v>750</v>
      </c>
      <c r="AY161">
        <v>1335</v>
      </c>
      <c r="AZ161">
        <v>14583</v>
      </c>
      <c r="BA161">
        <v>74</v>
      </c>
      <c r="BB161">
        <v>3446</v>
      </c>
      <c r="BD161">
        <v>1955</v>
      </c>
    </row>
    <row r="162" spans="1:56" x14ac:dyDescent="0.25">
      <c r="A162" t="s">
        <v>603</v>
      </c>
      <c r="B162" t="s">
        <v>435</v>
      </c>
      <c r="C162">
        <f t="shared" si="57"/>
        <v>46574</v>
      </c>
      <c r="D162">
        <v>47173</v>
      </c>
      <c r="E162">
        <v>599</v>
      </c>
      <c r="F162">
        <f t="shared" si="58"/>
        <v>42107</v>
      </c>
      <c r="G162">
        <v>42706</v>
      </c>
      <c r="H162">
        <v>599</v>
      </c>
      <c r="I162">
        <f t="shared" si="46"/>
        <v>2239</v>
      </c>
      <c r="J162">
        <f t="shared" si="47"/>
        <v>8060</v>
      </c>
      <c r="K162">
        <f t="shared" si="48"/>
        <v>6084</v>
      </c>
      <c r="L162">
        <f t="shared" si="49"/>
        <v>1368</v>
      </c>
      <c r="M162">
        <f t="shared" si="50"/>
        <v>817</v>
      </c>
      <c r="N162">
        <f t="shared" si="51"/>
        <v>924</v>
      </c>
      <c r="O162">
        <f t="shared" si="52"/>
        <v>2618</v>
      </c>
      <c r="P162">
        <f t="shared" si="53"/>
        <v>7699</v>
      </c>
      <c r="Q162">
        <f t="shared" si="54"/>
        <v>11139</v>
      </c>
      <c r="R162">
        <f t="shared" si="55"/>
        <v>4212</v>
      </c>
      <c r="S162">
        <f t="shared" si="56"/>
        <v>62</v>
      </c>
      <c r="U162">
        <v>11199</v>
      </c>
      <c r="V162">
        <v>1686</v>
      </c>
      <c r="W162">
        <v>2446</v>
      </c>
      <c r="X162">
        <v>1041</v>
      </c>
      <c r="Y162">
        <v>1496</v>
      </c>
      <c r="Z162">
        <v>3514</v>
      </c>
      <c r="AA162">
        <v>19637</v>
      </c>
      <c r="AB162">
        <v>4922</v>
      </c>
      <c r="AC162">
        <v>2517</v>
      </c>
      <c r="AD162">
        <v>296</v>
      </c>
      <c r="AE162">
        <f t="shared" si="59"/>
        <v>11902</v>
      </c>
      <c r="AF162">
        <v>5073</v>
      </c>
      <c r="AG162">
        <v>1081</v>
      </c>
      <c r="AH162">
        <v>211</v>
      </c>
      <c r="AI162">
        <f t="shared" si="60"/>
        <v>870</v>
      </c>
      <c r="AJ162" t="s">
        <v>1236</v>
      </c>
      <c r="AK162">
        <v>6</v>
      </c>
      <c r="AL162">
        <v>802</v>
      </c>
      <c r="AM162">
        <v>333</v>
      </c>
      <c r="AN162">
        <v>528</v>
      </c>
      <c r="AO162">
        <v>255</v>
      </c>
      <c r="AP162">
        <v>641</v>
      </c>
      <c r="AQ162">
        <v>522</v>
      </c>
      <c r="AR162">
        <v>50</v>
      </c>
      <c r="AT162">
        <v>224</v>
      </c>
      <c r="AU162">
        <v>341</v>
      </c>
      <c r="AV162">
        <v>365</v>
      </c>
      <c r="AW162">
        <v>13</v>
      </c>
      <c r="AX162">
        <v>305</v>
      </c>
      <c r="AY162">
        <v>442</v>
      </c>
      <c r="AZ162">
        <v>4673</v>
      </c>
      <c r="BA162">
        <v>327</v>
      </c>
      <c r="BB162">
        <v>436</v>
      </c>
      <c r="BD162">
        <v>36</v>
      </c>
    </row>
    <row r="163" spans="1:56" x14ac:dyDescent="0.25">
      <c r="A163" t="s">
        <v>599</v>
      </c>
      <c r="B163" t="s">
        <v>436</v>
      </c>
      <c r="C163">
        <f t="shared" si="57"/>
        <v>33924</v>
      </c>
      <c r="D163">
        <v>34198</v>
      </c>
      <c r="E163">
        <v>274</v>
      </c>
      <c r="F163">
        <f t="shared" si="58"/>
        <v>32088</v>
      </c>
      <c r="G163">
        <v>32362</v>
      </c>
      <c r="H163">
        <v>274</v>
      </c>
      <c r="I163">
        <f t="shared" si="46"/>
        <v>1714</v>
      </c>
      <c r="J163">
        <f t="shared" si="47"/>
        <v>7936</v>
      </c>
      <c r="K163">
        <f t="shared" si="48"/>
        <v>1817</v>
      </c>
      <c r="L163">
        <f t="shared" si="49"/>
        <v>1093</v>
      </c>
      <c r="M163">
        <f t="shared" si="50"/>
        <v>649</v>
      </c>
      <c r="N163">
        <f t="shared" si="51"/>
        <v>642</v>
      </c>
      <c r="O163">
        <f t="shared" si="52"/>
        <v>2128</v>
      </c>
      <c r="P163">
        <f t="shared" si="53"/>
        <v>4603</v>
      </c>
      <c r="Q163">
        <f t="shared" si="54"/>
        <v>7924</v>
      </c>
      <c r="R163">
        <f t="shared" si="55"/>
        <v>3164</v>
      </c>
      <c r="S163">
        <f t="shared" si="56"/>
        <v>444</v>
      </c>
      <c r="U163">
        <v>6363</v>
      </c>
      <c r="V163">
        <v>1229</v>
      </c>
      <c r="W163">
        <v>1796</v>
      </c>
      <c r="X163">
        <v>790</v>
      </c>
      <c r="Y163">
        <v>1079</v>
      </c>
      <c r="Z163">
        <v>3084</v>
      </c>
      <c r="AA163">
        <v>13442</v>
      </c>
      <c r="AB163">
        <v>2730</v>
      </c>
      <c r="AC163">
        <v>1884</v>
      </c>
      <c r="AD163">
        <v>242</v>
      </c>
      <c r="AE163">
        <f t="shared" si="59"/>
        <v>8586</v>
      </c>
      <c r="AF163">
        <v>3552</v>
      </c>
      <c r="AG163">
        <v>2863</v>
      </c>
      <c r="AH163">
        <v>1039</v>
      </c>
      <c r="AI163">
        <f t="shared" si="60"/>
        <v>1824</v>
      </c>
      <c r="AJ163" t="s">
        <v>1244</v>
      </c>
      <c r="AK163">
        <v>40</v>
      </c>
      <c r="AL163">
        <v>1340</v>
      </c>
      <c r="AM163">
        <v>9</v>
      </c>
      <c r="AN163">
        <v>379</v>
      </c>
      <c r="AO163">
        <v>310</v>
      </c>
      <c r="AP163">
        <v>646</v>
      </c>
      <c r="AQ163">
        <v>399</v>
      </c>
      <c r="AR163">
        <v>38</v>
      </c>
      <c r="AS163">
        <v>13</v>
      </c>
      <c r="AT163">
        <v>128</v>
      </c>
      <c r="AU163">
        <v>429</v>
      </c>
      <c r="AV163">
        <v>322</v>
      </c>
      <c r="AW163">
        <v>10</v>
      </c>
      <c r="AX163">
        <v>126</v>
      </c>
      <c r="AY163">
        <v>440</v>
      </c>
      <c r="AZ163">
        <v>4106</v>
      </c>
      <c r="BA163">
        <v>64</v>
      </c>
      <c r="BB163">
        <v>598</v>
      </c>
      <c r="BD163">
        <v>253</v>
      </c>
    </row>
    <row r="164" spans="1:56" x14ac:dyDescent="0.25">
      <c r="A164" t="s">
        <v>608</v>
      </c>
      <c r="B164" t="s">
        <v>472</v>
      </c>
      <c r="C164">
        <f t="shared" si="57"/>
        <v>112638</v>
      </c>
      <c r="D164">
        <v>124330</v>
      </c>
      <c r="E164">
        <v>11692</v>
      </c>
      <c r="F164">
        <f t="shared" si="58"/>
        <v>104400</v>
      </c>
      <c r="G164">
        <v>116092</v>
      </c>
      <c r="H164">
        <v>11692</v>
      </c>
      <c r="I164">
        <f t="shared" si="46"/>
        <v>4539</v>
      </c>
      <c r="J164">
        <f t="shared" si="47"/>
        <v>19050</v>
      </c>
      <c r="K164">
        <f t="shared" si="48"/>
        <v>20672</v>
      </c>
      <c r="L164">
        <f t="shared" si="49"/>
        <v>2638</v>
      </c>
      <c r="M164">
        <f t="shared" si="50"/>
        <v>500</v>
      </c>
      <c r="N164">
        <f t="shared" si="51"/>
        <v>1541</v>
      </c>
      <c r="O164">
        <f t="shared" si="52"/>
        <v>4653</v>
      </c>
      <c r="P164">
        <f t="shared" si="53"/>
        <v>33951</v>
      </c>
      <c r="Q164">
        <f t="shared" si="54"/>
        <v>27104</v>
      </c>
      <c r="R164">
        <f t="shared" si="55"/>
        <v>5851</v>
      </c>
      <c r="S164">
        <f t="shared" si="56"/>
        <v>741</v>
      </c>
      <c r="U164">
        <v>31223</v>
      </c>
      <c r="V164">
        <v>3469</v>
      </c>
      <c r="W164">
        <v>4661</v>
      </c>
      <c r="X164">
        <v>691</v>
      </c>
      <c r="Y164">
        <v>2514</v>
      </c>
      <c r="Z164">
        <v>6077</v>
      </c>
      <c r="AA164">
        <v>64887</v>
      </c>
      <c r="AB164">
        <v>20166</v>
      </c>
      <c r="AC164">
        <v>10891</v>
      </c>
      <c r="AD164">
        <v>3771</v>
      </c>
      <c r="AE164">
        <f t="shared" si="59"/>
        <v>30059</v>
      </c>
      <c r="AF164">
        <v>8060</v>
      </c>
      <c r="AG164">
        <v>2748</v>
      </c>
      <c r="AH164">
        <v>298</v>
      </c>
      <c r="AI164">
        <f t="shared" si="60"/>
        <v>2450</v>
      </c>
      <c r="AJ164" t="s">
        <v>1202</v>
      </c>
      <c r="AK164">
        <v>231</v>
      </c>
      <c r="AL164">
        <v>1478</v>
      </c>
      <c r="AM164">
        <v>947</v>
      </c>
      <c r="AN164">
        <v>1262</v>
      </c>
      <c r="AO164">
        <v>859</v>
      </c>
      <c r="AP164">
        <v>565</v>
      </c>
      <c r="AQ164">
        <v>932</v>
      </c>
      <c r="AR164">
        <v>41</v>
      </c>
      <c r="AS164">
        <v>32</v>
      </c>
      <c r="AT164">
        <v>159</v>
      </c>
      <c r="AU164">
        <v>658</v>
      </c>
      <c r="AV164">
        <v>1211</v>
      </c>
      <c r="AW164">
        <v>6</v>
      </c>
      <c r="AX164">
        <v>825</v>
      </c>
      <c r="AY164">
        <v>607</v>
      </c>
      <c r="AZ164">
        <v>9944</v>
      </c>
      <c r="BA164">
        <v>267</v>
      </c>
      <c r="BB164">
        <v>2688</v>
      </c>
      <c r="BD164">
        <v>877</v>
      </c>
    </row>
    <row r="165" spans="1:56" x14ac:dyDescent="0.25">
      <c r="A165" t="s">
        <v>600</v>
      </c>
      <c r="B165" t="s">
        <v>312</v>
      </c>
      <c r="C165">
        <f t="shared" si="57"/>
        <v>24198</v>
      </c>
      <c r="D165">
        <v>24198</v>
      </c>
      <c r="E165">
        <v>0</v>
      </c>
      <c r="F165">
        <f t="shared" si="58"/>
        <v>20241</v>
      </c>
      <c r="G165">
        <v>20241</v>
      </c>
      <c r="H165">
        <v>0</v>
      </c>
      <c r="I165">
        <f t="shared" si="46"/>
        <v>24</v>
      </c>
      <c r="J165">
        <f t="shared" si="47"/>
        <v>6704</v>
      </c>
      <c r="K165">
        <f t="shared" si="48"/>
        <v>2619</v>
      </c>
      <c r="L165">
        <f t="shared" si="49"/>
        <v>840</v>
      </c>
      <c r="M165">
        <f t="shared" si="50"/>
        <v>32</v>
      </c>
      <c r="N165">
        <f t="shared" si="51"/>
        <v>675</v>
      </c>
      <c r="O165">
        <f t="shared" si="52"/>
        <v>1139</v>
      </c>
      <c r="P165">
        <f t="shared" si="53"/>
        <v>2749</v>
      </c>
      <c r="Q165">
        <f t="shared" si="54"/>
        <v>3804</v>
      </c>
      <c r="R165">
        <f t="shared" si="55"/>
        <v>2539</v>
      </c>
      <c r="S165">
        <f t="shared" si="56"/>
        <v>431</v>
      </c>
      <c r="U165">
        <v>5472</v>
      </c>
      <c r="V165">
        <v>1071</v>
      </c>
      <c r="W165">
        <v>1702</v>
      </c>
      <c r="X165">
        <v>106</v>
      </c>
      <c r="Y165">
        <v>783</v>
      </c>
      <c r="Z165">
        <v>1742</v>
      </c>
      <c r="AA165">
        <v>7355</v>
      </c>
      <c r="AB165">
        <v>2435</v>
      </c>
      <c r="AC165">
        <v>245</v>
      </c>
      <c r="AD165">
        <v>210</v>
      </c>
      <c r="AE165">
        <f t="shared" si="59"/>
        <v>4465</v>
      </c>
      <c r="AF165">
        <v>3145</v>
      </c>
      <c r="AG165">
        <v>2822</v>
      </c>
      <c r="AH165">
        <v>1384</v>
      </c>
      <c r="AI165">
        <f t="shared" si="60"/>
        <v>1438</v>
      </c>
      <c r="AJ165" t="s">
        <v>1085</v>
      </c>
      <c r="AL165">
        <v>1007</v>
      </c>
      <c r="AM165">
        <v>9</v>
      </c>
      <c r="AN165">
        <v>597</v>
      </c>
      <c r="AO165">
        <v>3</v>
      </c>
      <c r="AP165">
        <v>600</v>
      </c>
      <c r="AQ165">
        <v>7</v>
      </c>
      <c r="AR165">
        <v>101</v>
      </c>
      <c r="AT165">
        <v>74</v>
      </c>
      <c r="AU165">
        <v>4</v>
      </c>
      <c r="AV165">
        <v>440</v>
      </c>
      <c r="AX165">
        <v>231</v>
      </c>
      <c r="AY165">
        <v>1</v>
      </c>
      <c r="AZ165">
        <v>2852</v>
      </c>
      <c r="BB165">
        <v>661</v>
      </c>
      <c r="BD165">
        <v>141</v>
      </c>
    </row>
    <row r="166" spans="1:56" x14ac:dyDescent="0.25">
      <c r="A166" t="s">
        <v>600</v>
      </c>
      <c r="B166" t="s">
        <v>313</v>
      </c>
      <c r="C166">
        <f t="shared" si="57"/>
        <v>68852</v>
      </c>
      <c r="D166">
        <v>68878</v>
      </c>
      <c r="E166">
        <v>26</v>
      </c>
      <c r="F166">
        <f t="shared" si="58"/>
        <v>63332</v>
      </c>
      <c r="G166">
        <v>63358</v>
      </c>
      <c r="H166">
        <v>26</v>
      </c>
      <c r="I166">
        <f t="shared" si="46"/>
        <v>5435</v>
      </c>
      <c r="J166">
        <f t="shared" si="47"/>
        <v>12918</v>
      </c>
      <c r="K166">
        <f t="shared" si="48"/>
        <v>5362</v>
      </c>
      <c r="L166">
        <f t="shared" si="49"/>
        <v>1583</v>
      </c>
      <c r="M166">
        <f t="shared" si="50"/>
        <v>1567</v>
      </c>
      <c r="N166">
        <f t="shared" si="51"/>
        <v>1474</v>
      </c>
      <c r="O166">
        <f t="shared" si="52"/>
        <v>3879</v>
      </c>
      <c r="P166">
        <f t="shared" si="53"/>
        <v>7304</v>
      </c>
      <c r="Q166">
        <f t="shared" si="54"/>
        <v>11066</v>
      </c>
      <c r="R166">
        <f t="shared" si="55"/>
        <v>5991</v>
      </c>
      <c r="S166">
        <f t="shared" si="56"/>
        <v>834</v>
      </c>
      <c r="U166">
        <v>12545</v>
      </c>
      <c r="V166">
        <v>1755</v>
      </c>
      <c r="W166">
        <v>4113</v>
      </c>
      <c r="X166">
        <v>1836</v>
      </c>
      <c r="Y166">
        <v>2470</v>
      </c>
      <c r="Z166">
        <v>5378</v>
      </c>
      <c r="AA166">
        <v>21288</v>
      </c>
      <c r="AB166">
        <v>4700</v>
      </c>
      <c r="AC166">
        <v>1564</v>
      </c>
      <c r="AD166">
        <v>1358</v>
      </c>
      <c r="AE166">
        <f t="shared" si="59"/>
        <v>13666</v>
      </c>
      <c r="AF166">
        <v>9438</v>
      </c>
      <c r="AG166">
        <v>10055</v>
      </c>
      <c r="AH166">
        <v>8227</v>
      </c>
      <c r="AI166">
        <f t="shared" si="60"/>
        <v>1828</v>
      </c>
      <c r="AJ166" t="s">
        <v>1086</v>
      </c>
      <c r="AL166">
        <v>994</v>
      </c>
      <c r="AM166">
        <v>2513</v>
      </c>
      <c r="AN166">
        <v>934</v>
      </c>
      <c r="AO166">
        <v>481</v>
      </c>
      <c r="AP166">
        <v>1018</v>
      </c>
      <c r="AQ166">
        <v>882</v>
      </c>
      <c r="AR166">
        <v>114</v>
      </c>
      <c r="AS166">
        <v>41</v>
      </c>
      <c r="AT166">
        <v>228</v>
      </c>
      <c r="AU166">
        <v>371</v>
      </c>
      <c r="AV166">
        <v>504</v>
      </c>
      <c r="AX166">
        <v>172</v>
      </c>
      <c r="AY166">
        <v>789</v>
      </c>
      <c r="AZ166">
        <v>6394</v>
      </c>
      <c r="BA166">
        <v>358</v>
      </c>
      <c r="BB166">
        <v>2242</v>
      </c>
      <c r="BD166">
        <v>318</v>
      </c>
    </row>
    <row r="167" spans="1:56" x14ac:dyDescent="0.25">
      <c r="A167" t="s">
        <v>603</v>
      </c>
      <c r="B167" t="s">
        <v>355</v>
      </c>
      <c r="C167">
        <f t="shared" si="57"/>
        <v>151459</v>
      </c>
      <c r="D167">
        <v>152430</v>
      </c>
      <c r="E167">
        <v>971</v>
      </c>
      <c r="F167">
        <f t="shared" si="58"/>
        <v>148963</v>
      </c>
      <c r="G167">
        <v>149934</v>
      </c>
      <c r="H167">
        <v>971</v>
      </c>
      <c r="I167">
        <f t="shared" si="46"/>
        <v>8132</v>
      </c>
      <c r="J167">
        <f t="shared" si="47"/>
        <v>26025</v>
      </c>
      <c r="K167">
        <f t="shared" si="48"/>
        <v>17261</v>
      </c>
      <c r="L167">
        <f t="shared" si="49"/>
        <v>3477</v>
      </c>
      <c r="M167">
        <f t="shared" si="50"/>
        <v>373</v>
      </c>
      <c r="N167">
        <f t="shared" si="51"/>
        <v>5918</v>
      </c>
      <c r="O167">
        <f t="shared" si="52"/>
        <v>9421</v>
      </c>
      <c r="P167">
        <f t="shared" si="53"/>
        <v>12431</v>
      </c>
      <c r="Q167">
        <f t="shared" si="54"/>
        <v>21515</v>
      </c>
      <c r="R167">
        <f t="shared" si="55"/>
        <v>10289</v>
      </c>
      <c r="S167">
        <f t="shared" si="56"/>
        <v>1280</v>
      </c>
      <c r="U167">
        <v>31840</v>
      </c>
      <c r="V167">
        <v>4656</v>
      </c>
      <c r="W167">
        <v>8179</v>
      </c>
      <c r="X167">
        <v>798</v>
      </c>
      <c r="Y167">
        <v>7915</v>
      </c>
      <c r="Z167">
        <v>12732</v>
      </c>
      <c r="AA167">
        <v>38528</v>
      </c>
      <c r="AB167">
        <v>12851</v>
      </c>
      <c r="AC167">
        <v>274</v>
      </c>
      <c r="AD167">
        <v>1072</v>
      </c>
      <c r="AE167">
        <f t="shared" si="59"/>
        <v>24331</v>
      </c>
      <c r="AF167">
        <v>13218</v>
      </c>
      <c r="AG167">
        <v>34564</v>
      </c>
      <c r="AH167">
        <v>30583</v>
      </c>
      <c r="AI167">
        <f t="shared" si="60"/>
        <v>3981</v>
      </c>
      <c r="AJ167" t="s">
        <v>1230</v>
      </c>
      <c r="AK167">
        <v>1</v>
      </c>
      <c r="AL167">
        <v>2700</v>
      </c>
      <c r="AM167">
        <v>1212</v>
      </c>
      <c r="AN167">
        <v>1717</v>
      </c>
      <c r="AO167">
        <v>1866</v>
      </c>
      <c r="AP167">
        <v>1445</v>
      </c>
      <c r="AQ167">
        <v>1512</v>
      </c>
      <c r="AR167">
        <v>485</v>
      </c>
      <c r="AT167">
        <v>425</v>
      </c>
      <c r="AU167">
        <v>1692</v>
      </c>
      <c r="AV167">
        <v>762</v>
      </c>
      <c r="AW167">
        <v>4</v>
      </c>
      <c r="AX167">
        <v>1175</v>
      </c>
      <c r="AY167">
        <v>1599</v>
      </c>
      <c r="AZ167">
        <v>12980</v>
      </c>
      <c r="BA167">
        <v>246</v>
      </c>
      <c r="BB167">
        <v>2570</v>
      </c>
      <c r="BD167">
        <v>1766</v>
      </c>
    </row>
    <row r="168" spans="1:56" x14ac:dyDescent="0.25">
      <c r="A168" t="s">
        <v>600</v>
      </c>
      <c r="B168" t="s">
        <v>314</v>
      </c>
      <c r="C168">
        <f t="shared" si="57"/>
        <v>24013</v>
      </c>
      <c r="D168">
        <v>24086</v>
      </c>
      <c r="E168">
        <v>73</v>
      </c>
      <c r="F168">
        <f t="shared" si="58"/>
        <v>23546</v>
      </c>
      <c r="G168">
        <v>23619</v>
      </c>
      <c r="H168">
        <v>73</v>
      </c>
      <c r="I168">
        <f t="shared" si="46"/>
        <v>1105</v>
      </c>
      <c r="J168">
        <f t="shared" si="47"/>
        <v>840</v>
      </c>
      <c r="K168">
        <f t="shared" si="48"/>
        <v>6202</v>
      </c>
      <c r="L168">
        <f t="shared" si="49"/>
        <v>1360</v>
      </c>
      <c r="M168">
        <f t="shared" si="50"/>
        <v>140</v>
      </c>
      <c r="N168">
        <f t="shared" si="51"/>
        <v>317</v>
      </c>
      <c r="O168">
        <f t="shared" si="52"/>
        <v>2252</v>
      </c>
      <c r="P168">
        <f t="shared" si="53"/>
        <v>2419</v>
      </c>
      <c r="Q168">
        <f t="shared" si="54"/>
        <v>4976</v>
      </c>
      <c r="R168">
        <f t="shared" si="55"/>
        <v>2242</v>
      </c>
      <c r="S168">
        <f t="shared" si="56"/>
        <v>875</v>
      </c>
      <c r="U168">
        <v>7388</v>
      </c>
      <c r="V168">
        <v>1367</v>
      </c>
      <c r="W168">
        <v>1955</v>
      </c>
      <c r="X168">
        <v>140</v>
      </c>
      <c r="Y168">
        <v>327</v>
      </c>
      <c r="Z168">
        <v>2263</v>
      </c>
      <c r="AA168">
        <v>7395</v>
      </c>
      <c r="AB168">
        <v>1971</v>
      </c>
      <c r="AC168">
        <v>295</v>
      </c>
      <c r="AD168">
        <v>153</v>
      </c>
      <c r="AE168">
        <f t="shared" si="59"/>
        <v>4976</v>
      </c>
      <c r="AF168">
        <v>2376</v>
      </c>
      <c r="AG168">
        <v>875</v>
      </c>
      <c r="AH168">
        <v>0</v>
      </c>
      <c r="AI168">
        <f t="shared" si="60"/>
        <v>875</v>
      </c>
      <c r="AJ168" t="s">
        <v>1087</v>
      </c>
      <c r="AM168">
        <v>134</v>
      </c>
      <c r="AO168">
        <v>11</v>
      </c>
      <c r="AQ168">
        <v>10</v>
      </c>
      <c r="AU168">
        <v>597</v>
      </c>
      <c r="AX168">
        <v>7</v>
      </c>
      <c r="AY168">
        <v>353</v>
      </c>
      <c r="AZ168">
        <v>833</v>
      </c>
    </row>
    <row r="169" spans="1:56" x14ac:dyDescent="0.25">
      <c r="A169" t="s">
        <v>602</v>
      </c>
      <c r="B169" t="s">
        <v>173</v>
      </c>
      <c r="C169">
        <f t="shared" si="57"/>
        <v>578456</v>
      </c>
      <c r="D169">
        <v>590242</v>
      </c>
      <c r="E169">
        <v>11786</v>
      </c>
      <c r="F169">
        <f t="shared" si="58"/>
        <v>667851</v>
      </c>
      <c r="G169">
        <v>679637</v>
      </c>
      <c r="H169">
        <v>11786</v>
      </c>
      <c r="I169">
        <f t="shared" si="46"/>
        <v>40634</v>
      </c>
      <c r="J169">
        <f t="shared" si="47"/>
        <v>81185</v>
      </c>
      <c r="K169">
        <f t="shared" si="48"/>
        <v>58194</v>
      </c>
      <c r="L169">
        <f t="shared" si="49"/>
        <v>10341</v>
      </c>
      <c r="M169">
        <f t="shared" si="50"/>
        <v>4209</v>
      </c>
      <c r="N169">
        <f t="shared" si="51"/>
        <v>10570</v>
      </c>
      <c r="O169">
        <f t="shared" si="52"/>
        <v>24505</v>
      </c>
      <c r="P169">
        <f t="shared" si="53"/>
        <v>118635</v>
      </c>
      <c r="Q169">
        <f t="shared" si="54"/>
        <v>171665</v>
      </c>
      <c r="R169">
        <f t="shared" si="55"/>
        <v>27082</v>
      </c>
      <c r="S169">
        <f t="shared" si="56"/>
        <v>2066</v>
      </c>
      <c r="U169">
        <v>122186</v>
      </c>
      <c r="V169">
        <v>12831</v>
      </c>
      <c r="W169">
        <v>25979</v>
      </c>
      <c r="X169">
        <v>5598</v>
      </c>
      <c r="Y169">
        <v>17137</v>
      </c>
      <c r="Z169">
        <v>35266</v>
      </c>
      <c r="AA169">
        <v>306997</v>
      </c>
      <c r="AB169">
        <v>109857</v>
      </c>
      <c r="AC169">
        <v>15313</v>
      </c>
      <c r="AD169">
        <v>7109</v>
      </c>
      <c r="AE169">
        <f t="shared" si="59"/>
        <v>174718</v>
      </c>
      <c r="AF169">
        <v>33064</v>
      </c>
      <c r="AG169">
        <v>31184</v>
      </c>
      <c r="AH169">
        <v>24066</v>
      </c>
      <c r="AI169">
        <f t="shared" si="60"/>
        <v>7118</v>
      </c>
      <c r="AJ169" t="s">
        <v>968</v>
      </c>
      <c r="AK169">
        <v>36</v>
      </c>
      <c r="AL169">
        <v>5016</v>
      </c>
      <c r="AM169">
        <v>1966</v>
      </c>
      <c r="AN169">
        <v>4016</v>
      </c>
      <c r="AO169">
        <v>3298</v>
      </c>
      <c r="AP169">
        <v>7463</v>
      </c>
      <c r="AQ169">
        <v>5185</v>
      </c>
      <c r="AR169">
        <v>1382</v>
      </c>
      <c r="AS169">
        <v>71</v>
      </c>
      <c r="AT169">
        <v>1318</v>
      </c>
      <c r="AU169">
        <v>4751</v>
      </c>
      <c r="AV169">
        <v>4138</v>
      </c>
      <c r="AW169">
        <v>21</v>
      </c>
      <c r="AX169">
        <v>2469</v>
      </c>
      <c r="AY169">
        <v>25002</v>
      </c>
      <c r="AZ169">
        <v>38990</v>
      </c>
      <c r="BA169">
        <v>304</v>
      </c>
      <c r="BB169">
        <v>2749</v>
      </c>
      <c r="BD169">
        <v>13644</v>
      </c>
    </row>
    <row r="170" spans="1:56" x14ac:dyDescent="0.25">
      <c r="A170" t="s">
        <v>603</v>
      </c>
      <c r="B170" t="s">
        <v>357</v>
      </c>
      <c r="C170">
        <f t="shared" si="57"/>
        <v>491158</v>
      </c>
      <c r="D170">
        <v>529092</v>
      </c>
      <c r="E170">
        <v>37934</v>
      </c>
      <c r="F170">
        <f t="shared" si="58"/>
        <v>483025</v>
      </c>
      <c r="G170">
        <v>520959</v>
      </c>
      <c r="H170">
        <v>37934</v>
      </c>
      <c r="I170">
        <f t="shared" si="46"/>
        <v>22863</v>
      </c>
      <c r="J170">
        <f t="shared" si="47"/>
        <v>102756</v>
      </c>
      <c r="K170">
        <f t="shared" si="48"/>
        <v>87781</v>
      </c>
      <c r="L170">
        <f t="shared" si="49"/>
        <v>11564</v>
      </c>
      <c r="M170">
        <f t="shared" si="50"/>
        <v>6642</v>
      </c>
      <c r="N170">
        <f t="shared" si="51"/>
        <v>17363</v>
      </c>
      <c r="O170">
        <f t="shared" si="52"/>
        <v>28428</v>
      </c>
      <c r="P170">
        <f t="shared" si="53"/>
        <v>68499</v>
      </c>
      <c r="Q170">
        <f t="shared" si="54"/>
        <v>111498</v>
      </c>
      <c r="R170">
        <f t="shared" si="55"/>
        <v>21454</v>
      </c>
      <c r="S170">
        <f t="shared" si="56"/>
        <v>2778</v>
      </c>
      <c r="U170">
        <v>113157</v>
      </c>
      <c r="V170">
        <v>12850</v>
      </c>
      <c r="W170">
        <v>48929</v>
      </c>
      <c r="X170">
        <v>7930</v>
      </c>
      <c r="Y170">
        <v>22862</v>
      </c>
      <c r="Z170">
        <v>44159</v>
      </c>
      <c r="AA170">
        <v>218499</v>
      </c>
      <c r="AB170">
        <v>61048</v>
      </c>
      <c r="AC170">
        <v>38708</v>
      </c>
      <c r="AD170">
        <v>2948</v>
      </c>
      <c r="AE170">
        <f t="shared" si="59"/>
        <v>115795</v>
      </c>
      <c r="AF170">
        <v>31217</v>
      </c>
      <c r="AG170">
        <v>29489</v>
      </c>
      <c r="AH170">
        <v>21171</v>
      </c>
      <c r="AI170">
        <f t="shared" si="60"/>
        <v>8318</v>
      </c>
      <c r="AJ170" t="s">
        <v>1119</v>
      </c>
      <c r="AK170">
        <v>172</v>
      </c>
      <c r="AL170">
        <v>5368</v>
      </c>
      <c r="AM170">
        <v>2085</v>
      </c>
      <c r="AN170">
        <v>7678</v>
      </c>
      <c r="AO170">
        <v>4481</v>
      </c>
      <c r="AP170">
        <v>11250</v>
      </c>
      <c r="AQ170">
        <v>4439</v>
      </c>
      <c r="AR170">
        <v>1060</v>
      </c>
      <c r="AS170">
        <v>64</v>
      </c>
      <c r="AT170">
        <v>1224</v>
      </c>
      <c r="AU170">
        <v>8781</v>
      </c>
      <c r="AV170">
        <v>13853</v>
      </c>
      <c r="AW170">
        <v>156</v>
      </c>
      <c r="AX170">
        <v>1130</v>
      </c>
      <c r="AY170">
        <v>2560</v>
      </c>
      <c r="AZ170">
        <v>22816</v>
      </c>
      <c r="BA170">
        <v>77</v>
      </c>
      <c r="BB170">
        <v>4220</v>
      </c>
      <c r="BC170">
        <v>48</v>
      </c>
      <c r="BD170">
        <v>34157</v>
      </c>
    </row>
    <row r="171" spans="1:56" x14ac:dyDescent="0.25">
      <c r="A171" t="s">
        <v>603</v>
      </c>
      <c r="B171" t="s">
        <v>358</v>
      </c>
      <c r="C171">
        <f t="shared" si="57"/>
        <v>67823</v>
      </c>
      <c r="D171">
        <v>70906</v>
      </c>
      <c r="E171">
        <v>3083</v>
      </c>
      <c r="F171">
        <f t="shared" si="58"/>
        <v>61462</v>
      </c>
      <c r="G171">
        <v>64545</v>
      </c>
      <c r="H171">
        <v>3083</v>
      </c>
      <c r="I171">
        <f t="shared" si="46"/>
        <v>3646</v>
      </c>
      <c r="J171">
        <f t="shared" si="47"/>
        <v>11474</v>
      </c>
      <c r="K171">
        <f t="shared" si="48"/>
        <v>10353</v>
      </c>
      <c r="L171">
        <f t="shared" si="49"/>
        <v>1799</v>
      </c>
      <c r="M171">
        <f t="shared" si="50"/>
        <v>7377</v>
      </c>
      <c r="N171">
        <f t="shared" si="51"/>
        <v>1466</v>
      </c>
      <c r="O171">
        <f t="shared" si="52"/>
        <v>4063</v>
      </c>
      <c r="P171">
        <f t="shared" si="53"/>
        <v>8564</v>
      </c>
      <c r="Q171">
        <f t="shared" si="54"/>
        <v>13309</v>
      </c>
      <c r="R171">
        <f t="shared" si="55"/>
        <v>4649</v>
      </c>
      <c r="S171">
        <f t="shared" si="56"/>
        <v>434</v>
      </c>
      <c r="U171">
        <v>15823</v>
      </c>
      <c r="V171">
        <v>2193</v>
      </c>
      <c r="W171">
        <v>3362</v>
      </c>
      <c r="X171">
        <v>7521</v>
      </c>
      <c r="Y171">
        <v>2960</v>
      </c>
      <c r="Z171">
        <v>6167</v>
      </c>
      <c r="AA171">
        <v>23462</v>
      </c>
      <c r="AB171">
        <v>7416</v>
      </c>
      <c r="AC171">
        <v>385</v>
      </c>
      <c r="AD171">
        <v>905</v>
      </c>
      <c r="AE171">
        <f t="shared" si="59"/>
        <v>14756</v>
      </c>
      <c r="AF171">
        <v>6846</v>
      </c>
      <c r="AG171">
        <v>2572</v>
      </c>
      <c r="AH171">
        <v>1377</v>
      </c>
      <c r="AI171">
        <f t="shared" si="60"/>
        <v>1195</v>
      </c>
      <c r="AJ171" t="s">
        <v>1120</v>
      </c>
      <c r="AL171">
        <v>761</v>
      </c>
      <c r="AM171">
        <v>601</v>
      </c>
      <c r="AN171">
        <v>1596</v>
      </c>
      <c r="AO171">
        <v>590</v>
      </c>
      <c r="AP171">
        <v>1514</v>
      </c>
      <c r="AQ171">
        <v>1422</v>
      </c>
      <c r="AR171">
        <v>72</v>
      </c>
      <c r="AS171">
        <v>2</v>
      </c>
      <c r="AT171">
        <v>142</v>
      </c>
      <c r="AU171">
        <v>419</v>
      </c>
      <c r="AV171">
        <v>548</v>
      </c>
      <c r="AW171">
        <v>10</v>
      </c>
      <c r="AX171">
        <v>384</v>
      </c>
      <c r="AY171">
        <v>477</v>
      </c>
      <c r="AZ171">
        <v>4993</v>
      </c>
      <c r="BA171">
        <v>125</v>
      </c>
      <c r="BB171">
        <v>1322</v>
      </c>
      <c r="BD171">
        <v>142</v>
      </c>
    </row>
    <row r="172" spans="1:56" x14ac:dyDescent="0.25">
      <c r="A172" t="s">
        <v>603</v>
      </c>
      <c r="B172" t="s">
        <v>359</v>
      </c>
      <c r="C172">
        <f t="shared" si="57"/>
        <v>211001</v>
      </c>
      <c r="D172">
        <v>223175</v>
      </c>
      <c r="E172">
        <v>12174</v>
      </c>
      <c r="F172">
        <f t="shared" si="58"/>
        <v>185909</v>
      </c>
      <c r="G172">
        <v>198083</v>
      </c>
      <c r="H172">
        <v>12174</v>
      </c>
      <c r="I172">
        <f t="shared" si="46"/>
        <v>10176</v>
      </c>
      <c r="J172">
        <f t="shared" si="47"/>
        <v>47126</v>
      </c>
      <c r="K172">
        <f t="shared" si="48"/>
        <v>20207</v>
      </c>
      <c r="L172">
        <f t="shared" si="49"/>
        <v>6173</v>
      </c>
      <c r="M172">
        <f t="shared" si="50"/>
        <v>4512</v>
      </c>
      <c r="N172">
        <f t="shared" si="51"/>
        <v>5029</v>
      </c>
      <c r="O172">
        <f t="shared" si="52"/>
        <v>10494</v>
      </c>
      <c r="P172">
        <f t="shared" si="53"/>
        <v>39674</v>
      </c>
      <c r="Q172">
        <f t="shared" si="54"/>
        <v>38037</v>
      </c>
      <c r="R172">
        <f t="shared" si="55"/>
        <v>15372</v>
      </c>
      <c r="S172">
        <f t="shared" si="56"/>
        <v>2727</v>
      </c>
      <c r="U172">
        <v>44612</v>
      </c>
      <c r="V172">
        <v>7874</v>
      </c>
      <c r="W172">
        <v>8655</v>
      </c>
      <c r="X172">
        <v>4739</v>
      </c>
      <c r="Y172">
        <v>7960</v>
      </c>
      <c r="Z172">
        <v>16174</v>
      </c>
      <c r="AA172">
        <v>88859</v>
      </c>
      <c r="AB172">
        <v>37522</v>
      </c>
      <c r="AC172">
        <v>3903</v>
      </c>
      <c r="AD172">
        <v>4920</v>
      </c>
      <c r="AE172">
        <f t="shared" si="59"/>
        <v>42514</v>
      </c>
      <c r="AF172">
        <v>18645</v>
      </c>
      <c r="AG172">
        <v>25657</v>
      </c>
      <c r="AH172">
        <v>17874</v>
      </c>
      <c r="AI172">
        <f t="shared" si="60"/>
        <v>7783</v>
      </c>
      <c r="AJ172" t="s">
        <v>1289</v>
      </c>
      <c r="AK172">
        <v>161</v>
      </c>
      <c r="AL172">
        <v>4895</v>
      </c>
      <c r="AM172">
        <v>1884</v>
      </c>
      <c r="AN172">
        <v>1389</v>
      </c>
      <c r="AO172">
        <v>2124</v>
      </c>
      <c r="AP172">
        <v>3556</v>
      </c>
      <c r="AQ172">
        <v>2060</v>
      </c>
      <c r="AR172">
        <v>871</v>
      </c>
      <c r="AS172">
        <v>5</v>
      </c>
      <c r="AT172">
        <v>222</v>
      </c>
      <c r="AU172">
        <v>693</v>
      </c>
      <c r="AV172">
        <v>2188</v>
      </c>
      <c r="AW172">
        <v>32</v>
      </c>
      <c r="AX172">
        <v>1669</v>
      </c>
      <c r="AY172">
        <v>3072</v>
      </c>
      <c r="AZ172">
        <v>21333</v>
      </c>
      <c r="BA172">
        <v>145</v>
      </c>
      <c r="BB172">
        <v>4332</v>
      </c>
      <c r="BD172">
        <v>6671</v>
      </c>
    </row>
    <row r="173" spans="1:56" x14ac:dyDescent="0.25">
      <c r="A173" t="s">
        <v>605</v>
      </c>
      <c r="B173" t="s">
        <v>496</v>
      </c>
      <c r="C173">
        <f t="shared" si="57"/>
        <v>283433</v>
      </c>
      <c r="D173">
        <v>290397</v>
      </c>
      <c r="E173">
        <v>6964</v>
      </c>
      <c r="F173">
        <f t="shared" si="58"/>
        <v>261220</v>
      </c>
      <c r="G173">
        <v>268184</v>
      </c>
      <c r="H173">
        <v>6964</v>
      </c>
      <c r="I173">
        <f t="shared" si="46"/>
        <v>10148</v>
      </c>
      <c r="J173">
        <f t="shared" si="47"/>
        <v>45057</v>
      </c>
      <c r="K173">
        <f t="shared" si="48"/>
        <v>23599</v>
      </c>
      <c r="L173">
        <f t="shared" si="49"/>
        <v>6606</v>
      </c>
      <c r="M173">
        <f t="shared" si="50"/>
        <v>6461</v>
      </c>
      <c r="N173">
        <f t="shared" si="51"/>
        <v>9402</v>
      </c>
      <c r="O173">
        <f t="shared" si="52"/>
        <v>18476</v>
      </c>
      <c r="P173">
        <f t="shared" si="53"/>
        <v>53319</v>
      </c>
      <c r="Q173">
        <f t="shared" si="54"/>
        <v>55116</v>
      </c>
      <c r="R173">
        <f t="shared" si="55"/>
        <v>18184</v>
      </c>
      <c r="S173">
        <f t="shared" si="56"/>
        <v>1574</v>
      </c>
      <c r="U173">
        <v>49387</v>
      </c>
      <c r="V173">
        <v>7877</v>
      </c>
      <c r="W173">
        <v>33562</v>
      </c>
      <c r="X173">
        <v>8047</v>
      </c>
      <c r="Y173">
        <v>14814</v>
      </c>
      <c r="Z173">
        <v>21273</v>
      </c>
      <c r="AA173">
        <v>116700</v>
      </c>
      <c r="AB173">
        <v>46196</v>
      </c>
      <c r="AC173">
        <v>7038</v>
      </c>
      <c r="AD173">
        <v>6246</v>
      </c>
      <c r="AE173">
        <f t="shared" si="59"/>
        <v>57220</v>
      </c>
      <c r="AF173">
        <v>21292</v>
      </c>
      <c r="AG173">
        <v>17445</v>
      </c>
      <c r="AH173">
        <v>12836</v>
      </c>
      <c r="AI173">
        <f t="shared" si="60"/>
        <v>4609</v>
      </c>
      <c r="AJ173" t="s">
        <v>1223</v>
      </c>
      <c r="AL173">
        <v>3035</v>
      </c>
      <c r="AM173">
        <v>99</v>
      </c>
      <c r="AN173">
        <v>3009</v>
      </c>
      <c r="AO173">
        <v>774</v>
      </c>
      <c r="AP173">
        <v>2023</v>
      </c>
      <c r="AQ173">
        <v>4338</v>
      </c>
      <c r="AR173">
        <v>1074</v>
      </c>
      <c r="AS173">
        <v>81</v>
      </c>
      <c r="AT173">
        <v>1505</v>
      </c>
      <c r="AU173">
        <v>758</v>
      </c>
      <c r="AV173">
        <v>3185</v>
      </c>
      <c r="AW173">
        <v>264</v>
      </c>
      <c r="AX173">
        <v>1007</v>
      </c>
      <c r="AY173">
        <v>3834</v>
      </c>
      <c r="AZ173">
        <v>21954</v>
      </c>
      <c r="BB173">
        <v>2104</v>
      </c>
      <c r="BD173">
        <v>6161</v>
      </c>
    </row>
    <row r="174" spans="1:56" x14ac:dyDescent="0.25">
      <c r="A174" t="s">
        <v>608</v>
      </c>
      <c r="B174" t="s">
        <v>473</v>
      </c>
      <c r="C174">
        <f t="shared" si="57"/>
        <v>76331</v>
      </c>
      <c r="D174">
        <v>83094</v>
      </c>
      <c r="E174">
        <v>6763</v>
      </c>
      <c r="F174">
        <f t="shared" si="58"/>
        <v>71858</v>
      </c>
      <c r="G174">
        <v>78621</v>
      </c>
      <c r="H174">
        <v>6763</v>
      </c>
      <c r="I174">
        <f t="shared" si="46"/>
        <v>4556</v>
      </c>
      <c r="J174">
        <f t="shared" si="47"/>
        <v>15127</v>
      </c>
      <c r="K174">
        <f t="shared" si="48"/>
        <v>15731</v>
      </c>
      <c r="L174">
        <f t="shared" si="49"/>
        <v>2930</v>
      </c>
      <c r="M174">
        <f t="shared" si="50"/>
        <v>656</v>
      </c>
      <c r="N174">
        <f t="shared" si="51"/>
        <v>1463</v>
      </c>
      <c r="O174">
        <f t="shared" si="52"/>
        <v>4710</v>
      </c>
      <c r="P174">
        <f t="shared" si="53"/>
        <v>11078</v>
      </c>
      <c r="Q174">
        <f t="shared" si="54"/>
        <v>17183</v>
      </c>
      <c r="R174">
        <f t="shared" si="55"/>
        <v>6045</v>
      </c>
      <c r="S174">
        <f t="shared" si="56"/>
        <v>672</v>
      </c>
      <c r="U174">
        <v>24910</v>
      </c>
      <c r="V174">
        <v>3412</v>
      </c>
      <c r="W174">
        <v>3138</v>
      </c>
      <c r="X174">
        <v>1134</v>
      </c>
      <c r="Y174">
        <v>2267</v>
      </c>
      <c r="Z174">
        <v>6502</v>
      </c>
      <c r="AA174">
        <v>30232</v>
      </c>
      <c r="AB174">
        <v>7613</v>
      </c>
      <c r="AC174">
        <v>3833</v>
      </c>
      <c r="AD174">
        <v>610</v>
      </c>
      <c r="AE174">
        <f t="shared" si="59"/>
        <v>18176</v>
      </c>
      <c r="AF174">
        <v>8353</v>
      </c>
      <c r="AG174">
        <v>3146</v>
      </c>
      <c r="AH174">
        <v>50</v>
      </c>
      <c r="AI174">
        <f t="shared" si="60"/>
        <v>3096</v>
      </c>
      <c r="AJ174" t="s">
        <v>1231</v>
      </c>
      <c r="AK174">
        <v>316</v>
      </c>
      <c r="AL174">
        <v>2108</v>
      </c>
      <c r="AM174">
        <v>1011</v>
      </c>
      <c r="AN174">
        <v>1297</v>
      </c>
      <c r="AO174">
        <v>988</v>
      </c>
      <c r="AP174">
        <v>804</v>
      </c>
      <c r="AQ174">
        <v>691</v>
      </c>
      <c r="AR174">
        <v>113</v>
      </c>
      <c r="AS174">
        <v>83</v>
      </c>
      <c r="AT174">
        <v>395</v>
      </c>
      <c r="AU174">
        <v>245</v>
      </c>
      <c r="AW174">
        <v>124</v>
      </c>
      <c r="AX174">
        <v>358</v>
      </c>
      <c r="AY174">
        <v>1045</v>
      </c>
      <c r="AZ174">
        <v>8134</v>
      </c>
      <c r="BA174">
        <v>53</v>
      </c>
      <c r="BB174">
        <v>940</v>
      </c>
      <c r="BD174">
        <v>978</v>
      </c>
    </row>
    <row r="175" spans="1:56" x14ac:dyDescent="0.25">
      <c r="A175" t="s">
        <v>606</v>
      </c>
      <c r="B175" t="s">
        <v>271</v>
      </c>
      <c r="C175">
        <f t="shared" si="57"/>
        <v>57537</v>
      </c>
      <c r="D175">
        <v>58329</v>
      </c>
      <c r="E175">
        <v>792</v>
      </c>
      <c r="F175">
        <f t="shared" si="58"/>
        <v>54708</v>
      </c>
      <c r="G175">
        <v>55500</v>
      </c>
      <c r="H175">
        <v>792</v>
      </c>
      <c r="I175">
        <f t="shared" si="46"/>
        <v>2988</v>
      </c>
      <c r="J175">
        <f t="shared" si="47"/>
        <v>11231</v>
      </c>
      <c r="K175">
        <f t="shared" si="48"/>
        <v>5219</v>
      </c>
      <c r="L175">
        <f t="shared" si="49"/>
        <v>1725</v>
      </c>
      <c r="M175">
        <f t="shared" si="50"/>
        <v>155</v>
      </c>
      <c r="N175">
        <f t="shared" si="51"/>
        <v>1358</v>
      </c>
      <c r="O175">
        <f t="shared" si="52"/>
        <v>3837</v>
      </c>
      <c r="P175">
        <f t="shared" si="53"/>
        <v>7928</v>
      </c>
      <c r="Q175">
        <f t="shared" si="54"/>
        <v>13024</v>
      </c>
      <c r="R175">
        <f t="shared" si="55"/>
        <v>5228</v>
      </c>
      <c r="S175">
        <f t="shared" si="56"/>
        <v>1521</v>
      </c>
      <c r="U175">
        <v>12208</v>
      </c>
      <c r="V175">
        <v>2128</v>
      </c>
      <c r="W175">
        <v>4669</v>
      </c>
      <c r="X175">
        <v>270</v>
      </c>
      <c r="Y175">
        <v>2094</v>
      </c>
      <c r="Z175">
        <v>5270</v>
      </c>
      <c r="AA175">
        <v>21713</v>
      </c>
      <c r="AB175">
        <v>5993</v>
      </c>
      <c r="AC175">
        <v>1831</v>
      </c>
      <c r="AD175">
        <v>237</v>
      </c>
      <c r="AE175">
        <f t="shared" si="59"/>
        <v>13652</v>
      </c>
      <c r="AF175">
        <v>6365</v>
      </c>
      <c r="AG175">
        <v>3612</v>
      </c>
      <c r="AH175">
        <v>866</v>
      </c>
      <c r="AI175">
        <f t="shared" si="60"/>
        <v>2746</v>
      </c>
      <c r="AJ175" t="s">
        <v>1049</v>
      </c>
      <c r="AK175">
        <v>80</v>
      </c>
      <c r="AL175">
        <v>1145</v>
      </c>
      <c r="AM175">
        <v>257</v>
      </c>
      <c r="AN175">
        <v>880</v>
      </c>
      <c r="AO175">
        <v>767</v>
      </c>
      <c r="AP175">
        <v>666</v>
      </c>
      <c r="AQ175">
        <v>481</v>
      </c>
      <c r="AR175">
        <v>255</v>
      </c>
      <c r="AT175">
        <v>115</v>
      </c>
      <c r="AU175">
        <v>414</v>
      </c>
      <c r="AV175">
        <v>1006</v>
      </c>
      <c r="AW175">
        <v>22</v>
      </c>
      <c r="AX175">
        <v>381</v>
      </c>
      <c r="AY175">
        <v>907</v>
      </c>
      <c r="AZ175">
        <v>6082</v>
      </c>
      <c r="BA175">
        <v>60</v>
      </c>
      <c r="BB175">
        <v>568</v>
      </c>
      <c r="BD175">
        <v>133</v>
      </c>
    </row>
    <row r="176" spans="1:56" x14ac:dyDescent="0.25">
      <c r="A176" t="s">
        <v>601</v>
      </c>
      <c r="B176" t="s">
        <v>233</v>
      </c>
      <c r="C176">
        <f t="shared" si="57"/>
        <v>102102</v>
      </c>
      <c r="D176">
        <v>105669</v>
      </c>
      <c r="E176">
        <v>3567</v>
      </c>
      <c r="F176">
        <f t="shared" si="58"/>
        <v>97267</v>
      </c>
      <c r="G176">
        <v>100834</v>
      </c>
      <c r="H176">
        <v>3567</v>
      </c>
      <c r="I176">
        <f t="shared" si="46"/>
        <v>4711</v>
      </c>
      <c r="J176">
        <f t="shared" si="47"/>
        <v>22012</v>
      </c>
      <c r="K176">
        <f t="shared" si="48"/>
        <v>3073</v>
      </c>
      <c r="L176">
        <f t="shared" si="49"/>
        <v>3020</v>
      </c>
      <c r="M176">
        <f t="shared" si="50"/>
        <v>3785</v>
      </c>
      <c r="N176">
        <f t="shared" si="51"/>
        <v>2873</v>
      </c>
      <c r="O176">
        <f t="shared" si="52"/>
        <v>7304</v>
      </c>
      <c r="P176">
        <f t="shared" si="53"/>
        <v>17726</v>
      </c>
      <c r="Q176">
        <f t="shared" si="54"/>
        <v>23304</v>
      </c>
      <c r="R176">
        <f t="shared" si="55"/>
        <v>8986</v>
      </c>
      <c r="S176">
        <f t="shared" si="56"/>
        <v>3118</v>
      </c>
      <c r="U176">
        <v>25833</v>
      </c>
      <c r="V176">
        <v>3059</v>
      </c>
      <c r="W176">
        <v>5262</v>
      </c>
      <c r="X176">
        <v>3790</v>
      </c>
      <c r="Y176">
        <v>4102</v>
      </c>
      <c r="Z176">
        <v>7877</v>
      </c>
      <c r="AA176">
        <v>41357</v>
      </c>
      <c r="AB176">
        <v>10781</v>
      </c>
      <c r="AC176">
        <v>5884</v>
      </c>
      <c r="AD176">
        <v>1067</v>
      </c>
      <c r="AE176">
        <f t="shared" si="59"/>
        <v>23625</v>
      </c>
      <c r="AF176">
        <v>9980</v>
      </c>
      <c r="AG176">
        <v>4409</v>
      </c>
      <c r="AH176">
        <v>1262</v>
      </c>
      <c r="AI176">
        <f t="shared" si="60"/>
        <v>3147</v>
      </c>
      <c r="AJ176" t="s">
        <v>1252</v>
      </c>
      <c r="AK176">
        <v>29</v>
      </c>
      <c r="AM176">
        <v>994</v>
      </c>
      <c r="AO176">
        <v>573</v>
      </c>
      <c r="AQ176">
        <v>1229</v>
      </c>
      <c r="AS176">
        <v>5</v>
      </c>
      <c r="AU176">
        <v>767</v>
      </c>
      <c r="AW176">
        <v>39</v>
      </c>
      <c r="AY176">
        <v>748</v>
      </c>
      <c r="AZ176">
        <v>22012</v>
      </c>
      <c r="BA176">
        <v>321</v>
      </c>
      <c r="BC176">
        <v>6</v>
      </c>
    </row>
    <row r="177" spans="1:56" x14ac:dyDescent="0.25">
      <c r="A177" t="s">
        <v>603</v>
      </c>
      <c r="B177" t="s">
        <v>360</v>
      </c>
      <c r="C177">
        <f t="shared" ref="C177:C196" si="61">SUM(D177,-E177)</f>
        <v>53822</v>
      </c>
      <c r="D177">
        <v>55578</v>
      </c>
      <c r="E177">
        <v>1756</v>
      </c>
      <c r="F177">
        <f t="shared" ref="F177:F196" si="62">SUM(G177,-H177)</f>
        <v>52806</v>
      </c>
      <c r="G177">
        <v>54562</v>
      </c>
      <c r="H177">
        <v>1756</v>
      </c>
      <c r="I177">
        <f t="shared" si="46"/>
        <v>4857</v>
      </c>
      <c r="J177">
        <f t="shared" si="47"/>
        <v>970</v>
      </c>
      <c r="K177">
        <f t="shared" si="48"/>
        <v>12805</v>
      </c>
      <c r="L177">
        <f t="shared" si="49"/>
        <v>2140</v>
      </c>
      <c r="M177">
        <f t="shared" si="50"/>
        <v>1183</v>
      </c>
      <c r="N177">
        <f t="shared" si="51"/>
        <v>1056</v>
      </c>
      <c r="O177">
        <f t="shared" si="52"/>
        <v>5205</v>
      </c>
      <c r="P177">
        <f t="shared" si="53"/>
        <v>7673</v>
      </c>
      <c r="Q177">
        <f t="shared" si="54"/>
        <v>10306</v>
      </c>
      <c r="R177">
        <f t="shared" si="55"/>
        <v>5704</v>
      </c>
      <c r="S177">
        <f t="shared" si="56"/>
        <v>1292</v>
      </c>
      <c r="U177">
        <v>14117</v>
      </c>
      <c r="V177">
        <v>2140</v>
      </c>
      <c r="W177">
        <v>2604</v>
      </c>
      <c r="X177">
        <v>1187</v>
      </c>
      <c r="Y177">
        <v>3270</v>
      </c>
      <c r="Z177">
        <v>6671</v>
      </c>
      <c r="AA177">
        <v>17993</v>
      </c>
      <c r="AB177">
        <v>5872</v>
      </c>
      <c r="AC177">
        <v>1801</v>
      </c>
      <c r="AD177">
        <v>0</v>
      </c>
      <c r="AE177">
        <f t="shared" ref="AE177:AE196" si="63">SUM(AA177,-AB177,-AC177,-AD177)</f>
        <v>10320</v>
      </c>
      <c r="AF177">
        <v>6201</v>
      </c>
      <c r="AG177">
        <v>1395</v>
      </c>
      <c r="AH177">
        <v>0</v>
      </c>
      <c r="AI177">
        <f t="shared" ref="AI177:AI196" si="64">SUM(AG177,-AH177)</f>
        <v>1395</v>
      </c>
      <c r="AJ177" t="s">
        <v>1121</v>
      </c>
      <c r="AK177">
        <v>103</v>
      </c>
      <c r="AM177">
        <v>497</v>
      </c>
      <c r="AO177">
        <v>1466</v>
      </c>
      <c r="AQ177">
        <v>2214</v>
      </c>
      <c r="AS177">
        <v>4</v>
      </c>
      <c r="AU177">
        <v>217</v>
      </c>
      <c r="AY177">
        <v>342</v>
      </c>
      <c r="AZ177">
        <v>970</v>
      </c>
      <c r="BA177">
        <v>14</v>
      </c>
    </row>
    <row r="178" spans="1:56" x14ac:dyDescent="0.25">
      <c r="A178" t="s">
        <v>601</v>
      </c>
      <c r="B178" t="s">
        <v>234</v>
      </c>
      <c r="C178">
        <f t="shared" si="61"/>
        <v>80479</v>
      </c>
      <c r="D178">
        <v>81515</v>
      </c>
      <c r="E178">
        <v>1036</v>
      </c>
      <c r="F178">
        <f t="shared" si="62"/>
        <v>73131</v>
      </c>
      <c r="G178">
        <v>74167</v>
      </c>
      <c r="H178">
        <v>1036</v>
      </c>
      <c r="I178">
        <f t="shared" si="46"/>
        <v>3498</v>
      </c>
      <c r="J178">
        <f t="shared" si="47"/>
        <v>14491</v>
      </c>
      <c r="K178">
        <f t="shared" si="48"/>
        <v>7058</v>
      </c>
      <c r="L178">
        <f t="shared" si="49"/>
        <v>1970</v>
      </c>
      <c r="M178">
        <f t="shared" si="50"/>
        <v>1072</v>
      </c>
      <c r="N178">
        <f t="shared" si="51"/>
        <v>1794</v>
      </c>
      <c r="O178">
        <f t="shared" si="52"/>
        <v>5338</v>
      </c>
      <c r="P178">
        <f t="shared" si="53"/>
        <v>12683</v>
      </c>
      <c r="Q178">
        <f t="shared" si="54"/>
        <v>17166</v>
      </c>
      <c r="R178">
        <f t="shared" si="55"/>
        <v>7828</v>
      </c>
      <c r="S178">
        <f t="shared" si="56"/>
        <v>919</v>
      </c>
      <c r="U178">
        <v>15013</v>
      </c>
      <c r="V178">
        <v>2308</v>
      </c>
      <c r="W178">
        <v>7269</v>
      </c>
      <c r="X178">
        <v>1240</v>
      </c>
      <c r="Y178">
        <v>3093</v>
      </c>
      <c r="Z178">
        <v>6179</v>
      </c>
      <c r="AA178">
        <v>33065</v>
      </c>
      <c r="AB178">
        <v>9309</v>
      </c>
      <c r="AC178">
        <v>2837</v>
      </c>
      <c r="AD178">
        <v>705</v>
      </c>
      <c r="AE178">
        <f t="shared" si="63"/>
        <v>20214</v>
      </c>
      <c r="AF178">
        <v>9220</v>
      </c>
      <c r="AG178">
        <v>4128</v>
      </c>
      <c r="AH178">
        <v>1525</v>
      </c>
      <c r="AI178">
        <f t="shared" si="64"/>
        <v>2603</v>
      </c>
      <c r="AJ178" t="s">
        <v>1021</v>
      </c>
      <c r="AK178">
        <v>17</v>
      </c>
      <c r="AL178">
        <v>1667</v>
      </c>
      <c r="AM178">
        <v>908</v>
      </c>
      <c r="AN178">
        <v>484</v>
      </c>
      <c r="AO178">
        <v>325</v>
      </c>
      <c r="AP178">
        <v>516</v>
      </c>
      <c r="AQ178">
        <v>1015</v>
      </c>
      <c r="AR178">
        <v>284</v>
      </c>
      <c r="AS178">
        <v>36</v>
      </c>
      <c r="AT178">
        <v>132</v>
      </c>
      <c r="AU178">
        <v>327</v>
      </c>
      <c r="AV178">
        <v>769</v>
      </c>
      <c r="AW178">
        <v>73</v>
      </c>
      <c r="AX178">
        <v>265</v>
      </c>
      <c r="AY178">
        <v>767</v>
      </c>
      <c r="AZ178">
        <v>7188</v>
      </c>
      <c r="BA178">
        <v>30</v>
      </c>
      <c r="BB178">
        <v>3018</v>
      </c>
      <c r="BD178">
        <v>168</v>
      </c>
    </row>
    <row r="179" spans="1:56" x14ac:dyDescent="0.25">
      <c r="A179" t="s">
        <v>599</v>
      </c>
      <c r="B179" t="s">
        <v>437</v>
      </c>
      <c r="C179">
        <f t="shared" si="61"/>
        <v>52098</v>
      </c>
      <c r="D179">
        <v>52897</v>
      </c>
      <c r="E179">
        <v>799</v>
      </c>
      <c r="F179">
        <f t="shared" si="62"/>
        <v>49961</v>
      </c>
      <c r="G179">
        <v>50760</v>
      </c>
      <c r="H179">
        <v>799</v>
      </c>
      <c r="I179">
        <f t="shared" si="46"/>
        <v>2284</v>
      </c>
      <c r="J179">
        <f t="shared" si="47"/>
        <v>11030</v>
      </c>
      <c r="K179">
        <f t="shared" si="48"/>
        <v>6719</v>
      </c>
      <c r="L179">
        <f t="shared" si="49"/>
        <v>1534</v>
      </c>
      <c r="M179">
        <f t="shared" si="50"/>
        <v>574</v>
      </c>
      <c r="N179">
        <f t="shared" si="51"/>
        <v>1249</v>
      </c>
      <c r="O179">
        <f t="shared" si="52"/>
        <v>2931</v>
      </c>
      <c r="P179">
        <f t="shared" si="53"/>
        <v>8960</v>
      </c>
      <c r="Q179">
        <f t="shared" si="54"/>
        <v>9554</v>
      </c>
      <c r="R179">
        <f t="shared" si="55"/>
        <v>5105</v>
      </c>
      <c r="S179">
        <f t="shared" si="56"/>
        <v>397</v>
      </c>
      <c r="U179">
        <v>14761</v>
      </c>
      <c r="V179">
        <v>2043</v>
      </c>
      <c r="W179">
        <v>2927</v>
      </c>
      <c r="X179">
        <v>753</v>
      </c>
      <c r="Y179">
        <v>1563</v>
      </c>
      <c r="Z179">
        <v>3276</v>
      </c>
      <c r="AA179">
        <v>20295</v>
      </c>
      <c r="AB179">
        <v>5944</v>
      </c>
      <c r="AC179">
        <v>2812</v>
      </c>
      <c r="AD179">
        <v>372</v>
      </c>
      <c r="AE179">
        <f t="shared" si="63"/>
        <v>11167</v>
      </c>
      <c r="AF179">
        <v>6046</v>
      </c>
      <c r="AG179">
        <v>1233</v>
      </c>
      <c r="AH179">
        <v>182</v>
      </c>
      <c r="AI179">
        <f t="shared" si="64"/>
        <v>1051</v>
      </c>
      <c r="AJ179" t="s">
        <v>1179</v>
      </c>
      <c r="AK179">
        <v>205</v>
      </c>
      <c r="AL179">
        <v>449</v>
      </c>
      <c r="AM179">
        <v>489</v>
      </c>
      <c r="AN179">
        <v>452</v>
      </c>
      <c r="AO179">
        <v>227</v>
      </c>
      <c r="AP179">
        <v>118</v>
      </c>
      <c r="AQ179">
        <v>257</v>
      </c>
      <c r="AR179">
        <v>57</v>
      </c>
      <c r="AS179">
        <v>22</v>
      </c>
      <c r="AT179">
        <v>157</v>
      </c>
      <c r="AU179">
        <v>355</v>
      </c>
      <c r="AV179">
        <v>194</v>
      </c>
      <c r="AX179">
        <v>509</v>
      </c>
      <c r="AY179">
        <v>729</v>
      </c>
      <c r="AZ179">
        <v>7313</v>
      </c>
      <c r="BB179">
        <v>1613</v>
      </c>
      <c r="BD179">
        <v>168</v>
      </c>
    </row>
    <row r="180" spans="1:56" x14ac:dyDescent="0.25">
      <c r="A180" t="s">
        <v>601</v>
      </c>
      <c r="B180" t="s">
        <v>272</v>
      </c>
      <c r="C180">
        <f t="shared" si="61"/>
        <v>27049</v>
      </c>
      <c r="D180">
        <v>27357</v>
      </c>
      <c r="E180">
        <v>308</v>
      </c>
      <c r="F180">
        <f t="shared" si="62"/>
        <v>25615</v>
      </c>
      <c r="G180">
        <v>25923</v>
      </c>
      <c r="H180">
        <v>308</v>
      </c>
      <c r="I180">
        <f t="shared" si="46"/>
        <v>1435</v>
      </c>
      <c r="J180">
        <f t="shared" si="47"/>
        <v>7509</v>
      </c>
      <c r="K180">
        <f t="shared" si="48"/>
        <v>2903</v>
      </c>
      <c r="L180">
        <f t="shared" si="49"/>
        <v>955</v>
      </c>
      <c r="M180">
        <f t="shared" si="50"/>
        <v>12</v>
      </c>
      <c r="N180">
        <f t="shared" si="51"/>
        <v>794</v>
      </c>
      <c r="O180">
        <f t="shared" si="52"/>
        <v>964</v>
      </c>
      <c r="P180">
        <f t="shared" si="53"/>
        <v>3527</v>
      </c>
      <c r="Q180">
        <f t="shared" si="54"/>
        <v>5217</v>
      </c>
      <c r="R180">
        <f t="shared" si="55"/>
        <v>2630</v>
      </c>
      <c r="S180">
        <f t="shared" si="56"/>
        <v>150</v>
      </c>
      <c r="U180">
        <v>6947</v>
      </c>
      <c r="V180">
        <v>1268</v>
      </c>
      <c r="W180">
        <v>1917</v>
      </c>
      <c r="X180">
        <v>12</v>
      </c>
      <c r="Y180">
        <v>1207</v>
      </c>
      <c r="Z180">
        <v>1964</v>
      </c>
      <c r="AA180">
        <v>9337</v>
      </c>
      <c r="AB180">
        <v>2703</v>
      </c>
      <c r="AC180">
        <v>725</v>
      </c>
      <c r="AD180">
        <v>165</v>
      </c>
      <c r="AE180">
        <f t="shared" si="63"/>
        <v>5744</v>
      </c>
      <c r="AF180">
        <v>3864</v>
      </c>
      <c r="AG180">
        <v>841</v>
      </c>
      <c r="AH180">
        <v>0</v>
      </c>
      <c r="AI180">
        <f t="shared" si="64"/>
        <v>841</v>
      </c>
      <c r="AJ180" t="s">
        <v>1050</v>
      </c>
      <c r="AL180">
        <v>691</v>
      </c>
      <c r="AM180">
        <v>356</v>
      </c>
      <c r="AN180">
        <v>878</v>
      </c>
      <c r="AO180">
        <v>69</v>
      </c>
      <c r="AP180">
        <v>931</v>
      </c>
      <c r="AQ180">
        <v>342</v>
      </c>
      <c r="AR180">
        <v>71</v>
      </c>
      <c r="AU180">
        <v>414</v>
      </c>
      <c r="AV180">
        <v>242</v>
      </c>
      <c r="AW180">
        <v>57</v>
      </c>
      <c r="AX180">
        <v>256</v>
      </c>
      <c r="AY180">
        <v>163</v>
      </c>
      <c r="AZ180">
        <v>3881</v>
      </c>
      <c r="BA180">
        <v>34</v>
      </c>
      <c r="BB180">
        <v>493</v>
      </c>
      <c r="BD180">
        <v>66</v>
      </c>
    </row>
    <row r="181" spans="1:56" x14ac:dyDescent="0.25">
      <c r="A181" t="s">
        <v>607</v>
      </c>
      <c r="B181" t="s">
        <v>153</v>
      </c>
      <c r="C181">
        <f t="shared" si="61"/>
        <v>30214</v>
      </c>
      <c r="D181">
        <v>31978</v>
      </c>
      <c r="E181">
        <v>1764</v>
      </c>
      <c r="F181">
        <f t="shared" si="62"/>
        <v>28237</v>
      </c>
      <c r="G181">
        <v>30001</v>
      </c>
      <c r="H181">
        <v>1764</v>
      </c>
      <c r="I181">
        <f t="shared" si="46"/>
        <v>1718</v>
      </c>
      <c r="J181">
        <f t="shared" si="47"/>
        <v>6833</v>
      </c>
      <c r="K181">
        <f t="shared" si="48"/>
        <v>4771</v>
      </c>
      <c r="L181">
        <f t="shared" si="49"/>
        <v>1288</v>
      </c>
      <c r="M181">
        <f t="shared" si="50"/>
        <v>88</v>
      </c>
      <c r="N181">
        <f t="shared" si="51"/>
        <v>506</v>
      </c>
      <c r="O181">
        <f t="shared" si="52"/>
        <v>1354</v>
      </c>
      <c r="P181">
        <f t="shared" si="53"/>
        <v>6136</v>
      </c>
      <c r="Q181">
        <f t="shared" si="54"/>
        <v>4408</v>
      </c>
      <c r="R181">
        <f t="shared" si="55"/>
        <v>2104</v>
      </c>
      <c r="S181">
        <f t="shared" si="56"/>
        <v>824</v>
      </c>
      <c r="U181">
        <v>8815</v>
      </c>
      <c r="V181">
        <v>1948</v>
      </c>
      <c r="W181">
        <v>1866</v>
      </c>
      <c r="X181">
        <v>106</v>
      </c>
      <c r="Y181">
        <v>1150</v>
      </c>
      <c r="Z181">
        <v>1751</v>
      </c>
      <c r="AA181">
        <v>11526</v>
      </c>
      <c r="AB181">
        <v>3963</v>
      </c>
      <c r="AC181">
        <v>1991</v>
      </c>
      <c r="AD181">
        <v>299</v>
      </c>
      <c r="AE181">
        <f t="shared" si="63"/>
        <v>5273</v>
      </c>
      <c r="AF181">
        <v>3025</v>
      </c>
      <c r="AG181">
        <v>1791</v>
      </c>
      <c r="AH181">
        <v>734</v>
      </c>
      <c r="AI181">
        <f t="shared" si="64"/>
        <v>1057</v>
      </c>
      <c r="AJ181" t="s">
        <v>959</v>
      </c>
      <c r="AK181">
        <v>9</v>
      </c>
      <c r="AL181">
        <v>224</v>
      </c>
      <c r="AM181">
        <v>538</v>
      </c>
      <c r="AN181">
        <v>383</v>
      </c>
      <c r="AO181">
        <v>81</v>
      </c>
      <c r="AP181">
        <v>316</v>
      </c>
      <c r="AQ181">
        <v>559</v>
      </c>
      <c r="AR181">
        <v>85</v>
      </c>
      <c r="AS181">
        <v>4</v>
      </c>
      <c r="AT181">
        <v>14</v>
      </c>
      <c r="AU181">
        <v>299</v>
      </c>
      <c r="AV181">
        <v>353</v>
      </c>
      <c r="AX181">
        <v>660</v>
      </c>
      <c r="AY181">
        <v>228</v>
      </c>
      <c r="AZ181">
        <v>3816</v>
      </c>
      <c r="BB181">
        <v>865</v>
      </c>
      <c r="BD181">
        <v>117</v>
      </c>
    </row>
    <row r="182" spans="1:56" x14ac:dyDescent="0.25">
      <c r="A182" t="s">
        <v>604</v>
      </c>
      <c r="B182" t="s">
        <v>196</v>
      </c>
      <c r="C182">
        <f t="shared" si="61"/>
        <v>62636</v>
      </c>
      <c r="D182">
        <v>63960</v>
      </c>
      <c r="E182">
        <v>1324</v>
      </c>
      <c r="F182">
        <f t="shared" si="62"/>
        <v>54571</v>
      </c>
      <c r="G182">
        <v>55895</v>
      </c>
      <c r="H182">
        <v>1324</v>
      </c>
      <c r="I182">
        <f t="shared" si="46"/>
        <v>2475</v>
      </c>
      <c r="J182">
        <f t="shared" si="47"/>
        <v>14561</v>
      </c>
      <c r="K182">
        <f t="shared" si="48"/>
        <v>8751</v>
      </c>
      <c r="L182">
        <f t="shared" si="49"/>
        <v>1770</v>
      </c>
      <c r="M182">
        <f t="shared" si="50"/>
        <v>284</v>
      </c>
      <c r="N182">
        <f t="shared" si="51"/>
        <v>1084</v>
      </c>
      <c r="O182">
        <f t="shared" si="52"/>
        <v>2539</v>
      </c>
      <c r="P182">
        <f t="shared" si="53"/>
        <v>7009</v>
      </c>
      <c r="Q182">
        <f t="shared" si="54"/>
        <v>12294</v>
      </c>
      <c r="R182">
        <f t="shared" si="55"/>
        <v>4482</v>
      </c>
      <c r="S182">
        <f t="shared" si="56"/>
        <v>603</v>
      </c>
      <c r="U182">
        <v>12672</v>
      </c>
      <c r="V182">
        <v>1961</v>
      </c>
      <c r="W182">
        <v>2763</v>
      </c>
      <c r="X182">
        <v>411</v>
      </c>
      <c r="Y182">
        <v>1818</v>
      </c>
      <c r="Z182">
        <v>3929</v>
      </c>
      <c r="AA182">
        <v>26209</v>
      </c>
      <c r="AB182">
        <v>6953</v>
      </c>
      <c r="AC182">
        <v>4925</v>
      </c>
      <c r="AD182">
        <v>584</v>
      </c>
      <c r="AE182">
        <f t="shared" si="63"/>
        <v>13747</v>
      </c>
      <c r="AF182">
        <v>6061</v>
      </c>
      <c r="AG182">
        <v>8136</v>
      </c>
      <c r="AH182">
        <v>6238</v>
      </c>
      <c r="AI182">
        <f t="shared" si="64"/>
        <v>1898</v>
      </c>
      <c r="AJ182" t="s">
        <v>991</v>
      </c>
      <c r="AK182">
        <v>25</v>
      </c>
      <c r="AL182">
        <v>1270</v>
      </c>
      <c r="AM182">
        <v>728</v>
      </c>
      <c r="AN182">
        <v>851</v>
      </c>
      <c r="AO182">
        <v>431</v>
      </c>
      <c r="AP182">
        <v>959</v>
      </c>
      <c r="AQ182">
        <v>509</v>
      </c>
      <c r="AR182">
        <v>225</v>
      </c>
      <c r="AS182">
        <v>27</v>
      </c>
      <c r="AT182">
        <v>100</v>
      </c>
      <c r="AU182">
        <v>242</v>
      </c>
      <c r="AV182">
        <v>651</v>
      </c>
      <c r="AX182">
        <v>191</v>
      </c>
      <c r="AY182">
        <v>489</v>
      </c>
      <c r="AZ182">
        <v>3432</v>
      </c>
      <c r="BA182">
        <v>24</v>
      </c>
      <c r="BB182">
        <v>1429</v>
      </c>
      <c r="BD182">
        <v>5453</v>
      </c>
    </row>
    <row r="183" spans="1:56" x14ac:dyDescent="0.25">
      <c r="A183" t="s">
        <v>601</v>
      </c>
      <c r="B183" t="s">
        <v>235</v>
      </c>
      <c r="C183">
        <f t="shared" si="61"/>
        <v>49044</v>
      </c>
      <c r="D183">
        <v>51426</v>
      </c>
      <c r="E183">
        <v>2382</v>
      </c>
      <c r="F183">
        <f t="shared" si="62"/>
        <v>47558</v>
      </c>
      <c r="G183">
        <v>49940</v>
      </c>
      <c r="H183">
        <v>2382</v>
      </c>
      <c r="I183">
        <f t="shared" si="46"/>
        <v>2219</v>
      </c>
      <c r="J183">
        <f t="shared" si="47"/>
        <v>8629</v>
      </c>
      <c r="K183">
        <f t="shared" si="48"/>
        <v>9271</v>
      </c>
      <c r="L183">
        <f t="shared" si="49"/>
        <v>1911</v>
      </c>
      <c r="M183">
        <f t="shared" si="50"/>
        <v>641</v>
      </c>
      <c r="N183">
        <f t="shared" si="51"/>
        <v>1672</v>
      </c>
      <c r="O183">
        <f t="shared" si="52"/>
        <v>2677</v>
      </c>
      <c r="P183">
        <f t="shared" si="53"/>
        <v>7966</v>
      </c>
      <c r="Q183">
        <f t="shared" si="54"/>
        <v>7205</v>
      </c>
      <c r="R183">
        <f t="shared" si="55"/>
        <v>5147</v>
      </c>
      <c r="S183">
        <f t="shared" si="56"/>
        <v>1422</v>
      </c>
      <c r="U183">
        <v>13666</v>
      </c>
      <c r="V183">
        <v>2089</v>
      </c>
      <c r="W183">
        <v>2480</v>
      </c>
      <c r="X183">
        <v>761</v>
      </c>
      <c r="Y183">
        <v>2271</v>
      </c>
      <c r="Z183">
        <v>3361</v>
      </c>
      <c r="AA183">
        <v>17526</v>
      </c>
      <c r="AB183">
        <v>5275</v>
      </c>
      <c r="AC183">
        <v>2035</v>
      </c>
      <c r="AD183">
        <v>1049</v>
      </c>
      <c r="AE183">
        <f t="shared" si="63"/>
        <v>9167</v>
      </c>
      <c r="AF183">
        <v>6186</v>
      </c>
      <c r="AG183">
        <v>3086</v>
      </c>
      <c r="AH183">
        <v>832</v>
      </c>
      <c r="AI183">
        <f t="shared" si="64"/>
        <v>2254</v>
      </c>
      <c r="AJ183" t="s">
        <v>1022</v>
      </c>
      <c r="AK183">
        <v>0</v>
      </c>
      <c r="AL183">
        <v>832</v>
      </c>
      <c r="AM183">
        <v>732</v>
      </c>
      <c r="AN183">
        <v>307</v>
      </c>
      <c r="AO183">
        <v>374</v>
      </c>
      <c r="AP183">
        <v>310</v>
      </c>
      <c r="AQ183">
        <v>444</v>
      </c>
      <c r="AR183">
        <v>155</v>
      </c>
      <c r="AS183">
        <v>3</v>
      </c>
      <c r="AT183">
        <v>117</v>
      </c>
      <c r="AU183">
        <v>291</v>
      </c>
      <c r="AV183">
        <v>355</v>
      </c>
      <c r="AX183">
        <v>178</v>
      </c>
      <c r="AY183">
        <v>256</v>
      </c>
      <c r="AZ183">
        <v>4139</v>
      </c>
      <c r="BA183">
        <v>119</v>
      </c>
      <c r="BB183">
        <v>1843</v>
      </c>
      <c r="BD183">
        <v>393</v>
      </c>
    </row>
    <row r="184" spans="1:56" x14ac:dyDescent="0.25">
      <c r="A184" t="s">
        <v>608</v>
      </c>
      <c r="B184" t="s">
        <v>474</v>
      </c>
      <c r="C184">
        <f t="shared" si="61"/>
        <v>54715</v>
      </c>
      <c r="D184">
        <v>56786</v>
      </c>
      <c r="E184">
        <v>2071</v>
      </c>
      <c r="F184">
        <f t="shared" si="62"/>
        <v>52833</v>
      </c>
      <c r="G184">
        <v>54904</v>
      </c>
      <c r="H184">
        <v>2071</v>
      </c>
      <c r="I184">
        <f t="shared" si="46"/>
        <v>3553</v>
      </c>
      <c r="J184">
        <f t="shared" si="47"/>
        <v>8794</v>
      </c>
      <c r="K184">
        <f t="shared" si="48"/>
        <v>9514</v>
      </c>
      <c r="L184">
        <f t="shared" si="49"/>
        <v>1672</v>
      </c>
      <c r="M184">
        <f t="shared" si="50"/>
        <v>636</v>
      </c>
      <c r="N184">
        <f t="shared" si="51"/>
        <v>837</v>
      </c>
      <c r="O184">
        <f t="shared" si="52"/>
        <v>3193</v>
      </c>
      <c r="P184">
        <f t="shared" si="53"/>
        <v>10269</v>
      </c>
      <c r="Q184">
        <f t="shared" si="54"/>
        <v>10249</v>
      </c>
      <c r="R184">
        <f t="shared" si="55"/>
        <v>3354</v>
      </c>
      <c r="S184">
        <f t="shared" si="56"/>
        <v>2292</v>
      </c>
      <c r="U184">
        <v>14108</v>
      </c>
      <c r="V184">
        <v>1800</v>
      </c>
      <c r="W184">
        <v>3124</v>
      </c>
      <c r="X184">
        <v>1112</v>
      </c>
      <c r="Y184">
        <v>1750</v>
      </c>
      <c r="Z184">
        <v>4788</v>
      </c>
      <c r="AA184">
        <v>21429</v>
      </c>
      <c r="AB184">
        <v>6757</v>
      </c>
      <c r="AC184">
        <v>68</v>
      </c>
      <c r="AD184">
        <v>3595</v>
      </c>
      <c r="AE184">
        <f t="shared" si="63"/>
        <v>11009</v>
      </c>
      <c r="AF184">
        <v>4994</v>
      </c>
      <c r="AG184">
        <v>3681</v>
      </c>
      <c r="AH184">
        <v>164</v>
      </c>
      <c r="AI184">
        <f t="shared" si="64"/>
        <v>3517</v>
      </c>
      <c r="AJ184" t="s">
        <v>1232</v>
      </c>
      <c r="AK184">
        <v>33</v>
      </c>
      <c r="AL184">
        <v>1192</v>
      </c>
      <c r="AM184">
        <v>706</v>
      </c>
      <c r="AN184">
        <v>934</v>
      </c>
      <c r="AO184">
        <v>623</v>
      </c>
      <c r="AP184">
        <v>972</v>
      </c>
      <c r="AQ184">
        <v>742</v>
      </c>
      <c r="AR184">
        <v>171</v>
      </c>
      <c r="AS184">
        <v>22</v>
      </c>
      <c r="AT184">
        <v>454</v>
      </c>
      <c r="AU184">
        <v>339</v>
      </c>
      <c r="AV184">
        <v>526</v>
      </c>
      <c r="AW184">
        <v>27</v>
      </c>
      <c r="AX184">
        <v>101</v>
      </c>
      <c r="AY184">
        <v>693</v>
      </c>
      <c r="AZ184">
        <v>3901</v>
      </c>
      <c r="BA184">
        <v>368</v>
      </c>
      <c r="BB184">
        <v>392</v>
      </c>
      <c r="BD184">
        <v>151</v>
      </c>
    </row>
    <row r="185" spans="1:56" x14ac:dyDescent="0.25">
      <c r="A185" t="s">
        <v>603</v>
      </c>
      <c r="B185" t="s">
        <v>361</v>
      </c>
      <c r="C185">
        <f t="shared" si="61"/>
        <v>88095</v>
      </c>
      <c r="D185">
        <v>88808</v>
      </c>
      <c r="E185">
        <v>713</v>
      </c>
      <c r="F185">
        <f t="shared" si="62"/>
        <v>88488</v>
      </c>
      <c r="G185">
        <v>89201</v>
      </c>
      <c r="H185">
        <v>713</v>
      </c>
      <c r="I185">
        <f t="shared" si="46"/>
        <v>6821</v>
      </c>
      <c r="J185">
        <f t="shared" si="47"/>
        <v>19140</v>
      </c>
      <c r="K185">
        <f t="shared" si="48"/>
        <v>6537</v>
      </c>
      <c r="L185">
        <f t="shared" si="49"/>
        <v>1742</v>
      </c>
      <c r="M185">
        <f t="shared" si="50"/>
        <v>308</v>
      </c>
      <c r="N185">
        <f t="shared" si="51"/>
        <v>2864</v>
      </c>
      <c r="O185">
        <f t="shared" si="52"/>
        <v>4363</v>
      </c>
      <c r="P185">
        <f t="shared" si="53"/>
        <v>19363</v>
      </c>
      <c r="Q185">
        <f t="shared" si="54"/>
        <v>17679</v>
      </c>
      <c r="R185">
        <f t="shared" si="55"/>
        <v>4265</v>
      </c>
      <c r="S185">
        <f t="shared" si="56"/>
        <v>382</v>
      </c>
      <c r="U185">
        <v>16774</v>
      </c>
      <c r="V185">
        <v>2894</v>
      </c>
      <c r="W185">
        <v>4650</v>
      </c>
      <c r="X185">
        <v>505</v>
      </c>
      <c r="Y185">
        <v>3739</v>
      </c>
      <c r="Z185">
        <v>7562</v>
      </c>
      <c r="AA185">
        <v>40664</v>
      </c>
      <c r="AB185">
        <v>14886</v>
      </c>
      <c r="AC185">
        <v>3385</v>
      </c>
      <c r="AD185">
        <v>3051</v>
      </c>
      <c r="AE185">
        <f t="shared" si="63"/>
        <v>19342</v>
      </c>
      <c r="AF185">
        <v>7588</v>
      </c>
      <c r="AG185">
        <v>4432</v>
      </c>
      <c r="AH185">
        <v>2741</v>
      </c>
      <c r="AI185">
        <f t="shared" si="64"/>
        <v>1691</v>
      </c>
      <c r="AJ185" t="s">
        <v>1122</v>
      </c>
      <c r="AK185">
        <v>14</v>
      </c>
      <c r="AL185">
        <v>1295</v>
      </c>
      <c r="AM185">
        <v>1424</v>
      </c>
      <c r="AN185">
        <v>1899</v>
      </c>
      <c r="AO185">
        <v>1029</v>
      </c>
      <c r="AP185">
        <v>2170</v>
      </c>
      <c r="AQ185">
        <v>601</v>
      </c>
      <c r="AR185">
        <v>274</v>
      </c>
      <c r="AT185">
        <v>197</v>
      </c>
      <c r="AU185">
        <v>724</v>
      </c>
      <c r="AV185">
        <v>1323</v>
      </c>
      <c r="AW185">
        <v>15</v>
      </c>
      <c r="AX185">
        <v>1137</v>
      </c>
      <c r="AY185">
        <v>1086</v>
      </c>
      <c r="AZ185">
        <v>9151</v>
      </c>
      <c r="BA185">
        <v>25</v>
      </c>
      <c r="BB185">
        <v>1638</v>
      </c>
      <c r="BC185">
        <v>1903</v>
      </c>
      <c r="BD185">
        <v>56</v>
      </c>
    </row>
    <row r="186" spans="1:56" x14ac:dyDescent="0.25">
      <c r="A186" t="s">
        <v>608</v>
      </c>
      <c r="B186" t="s">
        <v>475</v>
      </c>
      <c r="C186">
        <f t="shared" si="61"/>
        <v>622266</v>
      </c>
      <c r="D186">
        <v>645723</v>
      </c>
      <c r="E186">
        <v>23457</v>
      </c>
      <c r="F186">
        <f t="shared" si="62"/>
        <v>489366</v>
      </c>
      <c r="G186">
        <v>512823</v>
      </c>
      <c r="H186">
        <v>23457</v>
      </c>
      <c r="I186">
        <f t="shared" si="46"/>
        <v>33588</v>
      </c>
      <c r="J186">
        <f t="shared" si="47"/>
        <v>113426</v>
      </c>
      <c r="K186">
        <f t="shared" si="48"/>
        <v>55934</v>
      </c>
      <c r="L186">
        <f t="shared" si="49"/>
        <v>11020</v>
      </c>
      <c r="M186">
        <f t="shared" si="50"/>
        <v>6447</v>
      </c>
      <c r="N186">
        <f t="shared" si="51"/>
        <v>7356</v>
      </c>
      <c r="O186">
        <f t="shared" si="52"/>
        <v>24754</v>
      </c>
      <c r="P186">
        <f t="shared" si="53"/>
        <v>93445</v>
      </c>
      <c r="Q186">
        <f t="shared" si="54"/>
        <v>250242</v>
      </c>
      <c r="R186">
        <f t="shared" si="55"/>
        <v>25012</v>
      </c>
      <c r="S186">
        <f t="shared" si="56"/>
        <v>5337</v>
      </c>
      <c r="U186">
        <v>116713</v>
      </c>
      <c r="V186">
        <v>15160</v>
      </c>
      <c r="W186">
        <v>28516</v>
      </c>
      <c r="X186">
        <v>8934</v>
      </c>
      <c r="Y186">
        <v>11970</v>
      </c>
      <c r="Z186">
        <v>43575</v>
      </c>
      <c r="AA186">
        <v>369615</v>
      </c>
      <c r="AB186">
        <v>75557</v>
      </c>
      <c r="AC186">
        <v>22073</v>
      </c>
      <c r="AD186">
        <v>10468</v>
      </c>
      <c r="AE186">
        <f t="shared" si="63"/>
        <v>261517</v>
      </c>
      <c r="AF186">
        <v>33360</v>
      </c>
      <c r="AG186">
        <v>17880</v>
      </c>
      <c r="AH186">
        <v>3723</v>
      </c>
      <c r="AI186">
        <f t="shared" si="64"/>
        <v>14157</v>
      </c>
      <c r="AJ186" t="s">
        <v>1210</v>
      </c>
      <c r="AK186">
        <v>2958</v>
      </c>
      <c r="AL186">
        <v>5862</v>
      </c>
      <c r="AM186">
        <v>2070</v>
      </c>
      <c r="AN186">
        <v>6278</v>
      </c>
      <c r="AO186">
        <v>4032</v>
      </c>
      <c r="AP186">
        <v>14789</v>
      </c>
      <c r="AQ186">
        <v>2798</v>
      </c>
      <c r="AR186">
        <v>1816</v>
      </c>
      <c r="AS186">
        <v>668</v>
      </c>
      <c r="AT186">
        <v>1819</v>
      </c>
      <c r="AU186">
        <v>6098</v>
      </c>
      <c r="AV186">
        <v>6979</v>
      </c>
      <c r="AW186">
        <v>224</v>
      </c>
      <c r="AX186">
        <v>3916</v>
      </c>
      <c r="AY186">
        <v>14647</v>
      </c>
      <c r="AZ186">
        <v>46132</v>
      </c>
      <c r="BA186">
        <v>93</v>
      </c>
      <c r="BB186">
        <v>11182</v>
      </c>
      <c r="BD186">
        <v>14653</v>
      </c>
    </row>
    <row r="187" spans="1:56" x14ac:dyDescent="0.25">
      <c r="A187" t="s">
        <v>600</v>
      </c>
      <c r="B187" t="s">
        <v>315</v>
      </c>
      <c r="C187">
        <f t="shared" si="61"/>
        <v>97184</v>
      </c>
      <c r="D187">
        <v>97184</v>
      </c>
      <c r="E187">
        <v>0</v>
      </c>
      <c r="F187">
        <f t="shared" si="62"/>
        <v>91833</v>
      </c>
      <c r="G187">
        <v>91833</v>
      </c>
      <c r="H187">
        <v>0</v>
      </c>
      <c r="I187">
        <f t="shared" si="46"/>
        <v>4694</v>
      </c>
      <c r="J187">
        <f t="shared" si="47"/>
        <v>19983</v>
      </c>
      <c r="K187">
        <f t="shared" si="48"/>
        <v>8743</v>
      </c>
      <c r="L187">
        <f t="shared" si="49"/>
        <v>3200</v>
      </c>
      <c r="M187">
        <f t="shared" si="50"/>
        <v>1699</v>
      </c>
      <c r="N187">
        <f t="shared" si="51"/>
        <v>2581</v>
      </c>
      <c r="O187">
        <f t="shared" si="52"/>
        <v>7138</v>
      </c>
      <c r="P187">
        <f t="shared" si="53"/>
        <v>13848</v>
      </c>
      <c r="Q187">
        <f t="shared" si="54"/>
        <v>19803</v>
      </c>
      <c r="R187">
        <f t="shared" si="55"/>
        <v>10084</v>
      </c>
      <c r="S187">
        <f t="shared" si="56"/>
        <v>779</v>
      </c>
      <c r="U187">
        <v>18443</v>
      </c>
      <c r="V187">
        <v>3940</v>
      </c>
      <c r="W187">
        <v>6511</v>
      </c>
      <c r="X187">
        <v>2211</v>
      </c>
      <c r="Y187">
        <v>3555</v>
      </c>
      <c r="Z187">
        <v>10174</v>
      </c>
      <c r="AA187">
        <v>37036</v>
      </c>
      <c r="AB187">
        <v>11026</v>
      </c>
      <c r="AC187">
        <v>2326</v>
      </c>
      <c r="AD187">
        <v>686</v>
      </c>
      <c r="AE187">
        <f t="shared" si="63"/>
        <v>22998</v>
      </c>
      <c r="AF187">
        <v>12373</v>
      </c>
      <c r="AG187">
        <v>2941</v>
      </c>
      <c r="AH187">
        <v>0</v>
      </c>
      <c r="AI187">
        <f t="shared" si="64"/>
        <v>2941</v>
      </c>
      <c r="AJ187" t="s">
        <v>1088</v>
      </c>
      <c r="AK187">
        <v>129</v>
      </c>
      <c r="AL187">
        <v>2033</v>
      </c>
      <c r="AM187">
        <v>1532</v>
      </c>
      <c r="AN187">
        <v>757</v>
      </c>
      <c r="AO187">
        <v>946</v>
      </c>
      <c r="AP187">
        <v>2090</v>
      </c>
      <c r="AQ187">
        <v>974</v>
      </c>
      <c r="AT187">
        <v>512</v>
      </c>
      <c r="AU187">
        <v>304</v>
      </c>
      <c r="AV187">
        <v>1575</v>
      </c>
      <c r="AW187">
        <v>49</v>
      </c>
      <c r="AX187">
        <v>691</v>
      </c>
      <c r="AY187">
        <v>638</v>
      </c>
      <c r="AZ187">
        <v>9062</v>
      </c>
      <c r="BA187">
        <v>122</v>
      </c>
      <c r="BB187">
        <v>3073</v>
      </c>
      <c r="BD187">
        <v>190</v>
      </c>
    </row>
    <row r="188" spans="1:56" x14ac:dyDescent="0.25">
      <c r="A188" t="s">
        <v>608</v>
      </c>
      <c r="B188" t="s">
        <v>476</v>
      </c>
      <c r="C188">
        <f t="shared" si="61"/>
        <v>45654</v>
      </c>
      <c r="D188">
        <v>46287</v>
      </c>
      <c r="E188">
        <v>633</v>
      </c>
      <c r="F188">
        <f t="shared" si="62"/>
        <v>44609</v>
      </c>
      <c r="G188">
        <v>45242</v>
      </c>
      <c r="H188">
        <v>633</v>
      </c>
      <c r="I188">
        <f t="shared" si="46"/>
        <v>2503</v>
      </c>
      <c r="J188">
        <f t="shared" si="47"/>
        <v>8366</v>
      </c>
      <c r="K188">
        <f t="shared" si="48"/>
        <v>4360</v>
      </c>
      <c r="L188">
        <f t="shared" si="49"/>
        <v>1594</v>
      </c>
      <c r="M188">
        <f t="shared" si="50"/>
        <v>216</v>
      </c>
      <c r="N188">
        <f t="shared" si="51"/>
        <v>1212</v>
      </c>
      <c r="O188">
        <f t="shared" si="52"/>
        <v>1729</v>
      </c>
      <c r="P188">
        <f t="shared" si="53"/>
        <v>7377</v>
      </c>
      <c r="Q188">
        <f t="shared" si="54"/>
        <v>10092</v>
      </c>
      <c r="R188">
        <f t="shared" si="55"/>
        <v>3772</v>
      </c>
      <c r="S188">
        <f t="shared" si="56"/>
        <v>2778</v>
      </c>
      <c r="U188">
        <v>8605</v>
      </c>
      <c r="V188">
        <v>1781</v>
      </c>
      <c r="W188">
        <v>3042</v>
      </c>
      <c r="X188">
        <v>472</v>
      </c>
      <c r="Y188">
        <v>1905</v>
      </c>
      <c r="Z188">
        <v>2391</v>
      </c>
      <c r="AA188">
        <v>19191</v>
      </c>
      <c r="AB188">
        <v>4982</v>
      </c>
      <c r="AC188">
        <v>2104</v>
      </c>
      <c r="AD188">
        <v>374</v>
      </c>
      <c r="AE188">
        <f t="shared" si="63"/>
        <v>11731</v>
      </c>
      <c r="AF188">
        <v>4960</v>
      </c>
      <c r="AG188">
        <v>3940</v>
      </c>
      <c r="AH188">
        <v>0</v>
      </c>
      <c r="AI188">
        <f t="shared" si="64"/>
        <v>3940</v>
      </c>
      <c r="AJ188" t="s">
        <v>1211</v>
      </c>
      <c r="AK188">
        <v>119</v>
      </c>
      <c r="AL188">
        <v>1043</v>
      </c>
      <c r="AM188">
        <v>672</v>
      </c>
      <c r="AN188">
        <v>516</v>
      </c>
      <c r="AO188">
        <v>274</v>
      </c>
      <c r="AP188">
        <v>388</v>
      </c>
      <c r="AQ188">
        <v>555</v>
      </c>
      <c r="AR188">
        <v>138</v>
      </c>
      <c r="AS188">
        <v>78</v>
      </c>
      <c r="AT188">
        <v>178</v>
      </c>
      <c r="AU188">
        <v>297</v>
      </c>
      <c r="AV188">
        <v>457</v>
      </c>
      <c r="AW188">
        <v>46</v>
      </c>
      <c r="AX188">
        <v>141</v>
      </c>
      <c r="AY188">
        <v>418</v>
      </c>
      <c r="AZ188">
        <v>3827</v>
      </c>
      <c r="BA188">
        <v>44</v>
      </c>
      <c r="BB188">
        <v>1595</v>
      </c>
      <c r="BD188">
        <v>83</v>
      </c>
    </row>
    <row r="189" spans="1:56" x14ac:dyDescent="0.25">
      <c r="A189" t="s">
        <v>599</v>
      </c>
      <c r="B189" t="s">
        <v>698</v>
      </c>
      <c r="C189">
        <f t="shared" si="61"/>
        <v>222710</v>
      </c>
      <c r="D189">
        <v>231173</v>
      </c>
      <c r="E189">
        <v>8463</v>
      </c>
      <c r="F189">
        <f t="shared" si="62"/>
        <v>219968</v>
      </c>
      <c r="G189">
        <v>228431</v>
      </c>
      <c r="H189">
        <v>8463</v>
      </c>
      <c r="I189">
        <f t="shared" si="46"/>
        <v>9470</v>
      </c>
      <c r="J189">
        <f t="shared" si="47"/>
        <v>38504</v>
      </c>
      <c r="K189">
        <f t="shared" si="48"/>
        <v>23785</v>
      </c>
      <c r="L189">
        <f t="shared" si="49"/>
        <v>4316</v>
      </c>
      <c r="M189">
        <f t="shared" si="50"/>
        <v>22922</v>
      </c>
      <c r="N189">
        <f t="shared" si="51"/>
        <v>6405</v>
      </c>
      <c r="O189">
        <f t="shared" si="52"/>
        <v>14652</v>
      </c>
      <c r="P189">
        <f t="shared" si="53"/>
        <v>32071</v>
      </c>
      <c r="Q189">
        <f t="shared" si="54"/>
        <v>40219</v>
      </c>
      <c r="R189">
        <f t="shared" si="55"/>
        <v>15014</v>
      </c>
      <c r="S189">
        <f t="shared" si="56"/>
        <v>950</v>
      </c>
      <c r="U189">
        <v>42548</v>
      </c>
      <c r="V189">
        <v>5172</v>
      </c>
      <c r="W189">
        <v>7759</v>
      </c>
      <c r="X189">
        <v>23846</v>
      </c>
      <c r="Y189">
        <v>9019</v>
      </c>
      <c r="Z189">
        <v>20994</v>
      </c>
      <c r="AA189">
        <v>79489</v>
      </c>
      <c r="AB189">
        <v>17359</v>
      </c>
      <c r="AC189">
        <v>14271</v>
      </c>
      <c r="AD189">
        <v>1916</v>
      </c>
      <c r="AE189">
        <f t="shared" si="63"/>
        <v>45943</v>
      </c>
      <c r="AF189">
        <v>20013</v>
      </c>
      <c r="AG189">
        <v>22333</v>
      </c>
      <c r="AH189">
        <v>18524</v>
      </c>
      <c r="AI189">
        <f t="shared" si="64"/>
        <v>3809</v>
      </c>
      <c r="AJ189" t="s">
        <v>1297</v>
      </c>
      <c r="AK189">
        <v>55</v>
      </c>
      <c r="AL189">
        <v>2804</v>
      </c>
      <c r="AM189">
        <v>1395</v>
      </c>
      <c r="AN189">
        <v>3604</v>
      </c>
      <c r="AO189">
        <v>2282</v>
      </c>
      <c r="AP189">
        <v>4060</v>
      </c>
      <c r="AQ189">
        <v>2343</v>
      </c>
      <c r="AR189">
        <v>271</v>
      </c>
      <c r="AS189">
        <v>43</v>
      </c>
      <c r="AT189">
        <v>881</v>
      </c>
      <c r="AU189">
        <v>1221</v>
      </c>
      <c r="AV189">
        <v>2197</v>
      </c>
      <c r="AW189">
        <v>48</v>
      </c>
      <c r="AX189">
        <v>808</v>
      </c>
      <c r="AY189">
        <v>1456</v>
      </c>
      <c r="AZ189">
        <v>17307</v>
      </c>
      <c r="BA189">
        <v>627</v>
      </c>
      <c r="BB189">
        <v>5097</v>
      </c>
      <c r="BD189">
        <v>1475</v>
      </c>
    </row>
    <row r="190" spans="1:56" x14ac:dyDescent="0.25">
      <c r="A190" t="s">
        <v>598</v>
      </c>
      <c r="B190" t="s">
        <v>135</v>
      </c>
      <c r="C190">
        <f t="shared" si="61"/>
        <v>108364</v>
      </c>
      <c r="D190">
        <v>108594</v>
      </c>
      <c r="E190">
        <v>230</v>
      </c>
      <c r="F190">
        <f t="shared" si="62"/>
        <v>105368</v>
      </c>
      <c r="G190">
        <v>105598</v>
      </c>
      <c r="H190">
        <v>230</v>
      </c>
      <c r="I190">
        <f t="shared" si="46"/>
        <v>5980</v>
      </c>
      <c r="J190">
        <f t="shared" si="47"/>
        <v>23672</v>
      </c>
      <c r="K190">
        <f t="shared" si="48"/>
        <v>4016</v>
      </c>
      <c r="L190">
        <f t="shared" si="49"/>
        <v>1710</v>
      </c>
      <c r="M190">
        <f t="shared" si="50"/>
        <v>1737</v>
      </c>
      <c r="N190">
        <f t="shared" si="51"/>
        <v>4554</v>
      </c>
      <c r="O190">
        <f t="shared" si="52"/>
        <v>4605</v>
      </c>
      <c r="P190">
        <f t="shared" si="53"/>
        <v>19543</v>
      </c>
      <c r="Q190">
        <f t="shared" si="54"/>
        <v>18888</v>
      </c>
      <c r="R190">
        <f t="shared" si="55"/>
        <v>5784</v>
      </c>
      <c r="S190">
        <f t="shared" si="56"/>
        <v>1362</v>
      </c>
      <c r="U190">
        <v>13879</v>
      </c>
      <c r="V190">
        <v>2418</v>
      </c>
      <c r="W190">
        <v>7300</v>
      </c>
      <c r="X190">
        <v>2866</v>
      </c>
      <c r="Y190">
        <v>5817</v>
      </c>
      <c r="Z190">
        <v>10548</v>
      </c>
      <c r="AA190">
        <v>42754</v>
      </c>
      <c r="AB190">
        <v>13353</v>
      </c>
      <c r="AC190">
        <v>6435</v>
      </c>
      <c r="AD190">
        <v>1109</v>
      </c>
      <c r="AE190">
        <f t="shared" si="63"/>
        <v>21857</v>
      </c>
      <c r="AF190">
        <v>8402</v>
      </c>
      <c r="AG190">
        <v>14610</v>
      </c>
      <c r="AH190">
        <v>11924</v>
      </c>
      <c r="AI190">
        <f t="shared" si="64"/>
        <v>2686</v>
      </c>
      <c r="AJ190" t="s">
        <v>980</v>
      </c>
      <c r="AK190">
        <v>29</v>
      </c>
      <c r="AL190">
        <v>1295</v>
      </c>
      <c r="AM190">
        <v>1391</v>
      </c>
      <c r="AN190">
        <v>1227</v>
      </c>
      <c r="AO190">
        <v>844</v>
      </c>
      <c r="AP190">
        <v>5099</v>
      </c>
      <c r="AQ190">
        <v>929</v>
      </c>
      <c r="AR190">
        <v>334</v>
      </c>
      <c r="AS190">
        <v>250</v>
      </c>
      <c r="AT190">
        <v>879</v>
      </c>
      <c r="AU190">
        <v>1365</v>
      </c>
      <c r="AV190">
        <v>1116</v>
      </c>
      <c r="AW190">
        <v>102</v>
      </c>
      <c r="AX190">
        <v>606</v>
      </c>
      <c r="AY190">
        <v>1050</v>
      </c>
      <c r="AZ190">
        <v>8813</v>
      </c>
      <c r="BA190">
        <v>20</v>
      </c>
      <c r="BB190">
        <v>2949</v>
      </c>
      <c r="BD190">
        <v>1354</v>
      </c>
    </row>
    <row r="191" spans="1:56" x14ac:dyDescent="0.25">
      <c r="A191" t="s">
        <v>610</v>
      </c>
      <c r="B191" t="s">
        <v>393</v>
      </c>
      <c r="C191">
        <f t="shared" si="61"/>
        <v>157758</v>
      </c>
      <c r="D191">
        <v>158755</v>
      </c>
      <c r="E191">
        <v>997</v>
      </c>
      <c r="F191">
        <f t="shared" si="62"/>
        <v>157759</v>
      </c>
      <c r="G191">
        <v>158756</v>
      </c>
      <c r="H191">
        <v>997</v>
      </c>
      <c r="I191">
        <f t="shared" si="46"/>
        <v>8065</v>
      </c>
      <c r="J191">
        <f t="shared" si="47"/>
        <v>25272</v>
      </c>
      <c r="K191">
        <f t="shared" si="48"/>
        <v>11079</v>
      </c>
      <c r="L191">
        <f t="shared" si="49"/>
        <v>3660</v>
      </c>
      <c r="M191">
        <f t="shared" si="50"/>
        <v>1891</v>
      </c>
      <c r="N191">
        <f t="shared" si="51"/>
        <v>4071</v>
      </c>
      <c r="O191">
        <f t="shared" si="52"/>
        <v>10380</v>
      </c>
      <c r="P191">
        <f t="shared" si="53"/>
        <v>35726</v>
      </c>
      <c r="Q191">
        <f t="shared" si="54"/>
        <v>33313</v>
      </c>
      <c r="R191">
        <f t="shared" si="55"/>
        <v>9466</v>
      </c>
      <c r="S191">
        <f t="shared" si="56"/>
        <v>1039</v>
      </c>
      <c r="U191">
        <v>24251</v>
      </c>
      <c r="V191">
        <v>5139</v>
      </c>
      <c r="W191">
        <v>11788</v>
      </c>
      <c r="X191">
        <v>2356</v>
      </c>
      <c r="Y191">
        <v>6887</v>
      </c>
      <c r="Z191">
        <v>14635</v>
      </c>
      <c r="AA191">
        <v>70816</v>
      </c>
      <c r="AB191">
        <v>28004</v>
      </c>
      <c r="AC191">
        <v>5612</v>
      </c>
      <c r="AD191">
        <v>2187</v>
      </c>
      <c r="AE191">
        <f t="shared" si="63"/>
        <v>35013</v>
      </c>
      <c r="AF191">
        <v>12744</v>
      </c>
      <c r="AG191">
        <v>10139</v>
      </c>
      <c r="AH191">
        <v>7338</v>
      </c>
      <c r="AI191">
        <f t="shared" si="64"/>
        <v>2801</v>
      </c>
      <c r="AJ191" t="s">
        <v>1148</v>
      </c>
      <c r="AK191">
        <v>39</v>
      </c>
      <c r="AL191">
        <v>1723</v>
      </c>
      <c r="AM191">
        <v>709</v>
      </c>
      <c r="AN191">
        <v>2569</v>
      </c>
      <c r="AO191">
        <v>1936</v>
      </c>
      <c r="AP191">
        <v>2319</v>
      </c>
      <c r="AQ191">
        <v>1913</v>
      </c>
      <c r="AR191">
        <v>903</v>
      </c>
      <c r="AS191">
        <v>39</v>
      </c>
      <c r="AT191">
        <v>426</v>
      </c>
      <c r="AU191">
        <v>1876</v>
      </c>
      <c r="AV191">
        <v>2457</v>
      </c>
      <c r="AX191">
        <v>1479</v>
      </c>
      <c r="AY191">
        <v>1065</v>
      </c>
      <c r="AZ191">
        <v>12107</v>
      </c>
      <c r="BA191">
        <v>488</v>
      </c>
      <c r="BB191">
        <v>1212</v>
      </c>
      <c r="BD191">
        <v>77</v>
      </c>
    </row>
    <row r="192" spans="1:56" x14ac:dyDescent="0.25">
      <c r="A192" t="s">
        <v>603</v>
      </c>
      <c r="B192" t="s">
        <v>362</v>
      </c>
      <c r="C192">
        <f t="shared" si="61"/>
        <v>45549</v>
      </c>
      <c r="D192">
        <v>46013</v>
      </c>
      <c r="E192">
        <v>464</v>
      </c>
      <c r="F192">
        <f t="shared" si="62"/>
        <v>42918</v>
      </c>
      <c r="G192">
        <v>43382</v>
      </c>
      <c r="H192">
        <v>464</v>
      </c>
      <c r="I192">
        <f t="shared" si="46"/>
        <v>2755</v>
      </c>
      <c r="J192">
        <f t="shared" si="47"/>
        <v>11030</v>
      </c>
      <c r="K192">
        <f t="shared" si="48"/>
        <v>4502</v>
      </c>
      <c r="L192">
        <f t="shared" si="49"/>
        <v>1211</v>
      </c>
      <c r="M192">
        <f t="shared" si="50"/>
        <v>633</v>
      </c>
      <c r="N192">
        <f t="shared" si="51"/>
        <v>1001</v>
      </c>
      <c r="O192">
        <f t="shared" si="52"/>
        <v>2541</v>
      </c>
      <c r="P192">
        <f t="shared" si="53"/>
        <v>3287</v>
      </c>
      <c r="Q192">
        <f t="shared" si="54"/>
        <v>6295</v>
      </c>
      <c r="R192">
        <f t="shared" si="55"/>
        <v>4496</v>
      </c>
      <c r="S192">
        <f t="shared" si="56"/>
        <v>396</v>
      </c>
      <c r="U192">
        <v>11396</v>
      </c>
      <c r="V192">
        <v>1570</v>
      </c>
      <c r="W192">
        <v>2504</v>
      </c>
      <c r="X192">
        <v>910</v>
      </c>
      <c r="Y192">
        <v>1711</v>
      </c>
      <c r="Z192">
        <v>3647</v>
      </c>
      <c r="AA192">
        <v>11027</v>
      </c>
      <c r="AB192">
        <v>3183</v>
      </c>
      <c r="AC192">
        <v>219</v>
      </c>
      <c r="AD192">
        <v>456</v>
      </c>
      <c r="AE192">
        <f t="shared" si="63"/>
        <v>7169</v>
      </c>
      <c r="AF192">
        <v>5613</v>
      </c>
      <c r="AG192">
        <v>7635</v>
      </c>
      <c r="AH192">
        <v>6175</v>
      </c>
      <c r="AI192">
        <f t="shared" si="64"/>
        <v>1460</v>
      </c>
      <c r="AJ192" t="s">
        <v>1274</v>
      </c>
      <c r="AK192">
        <v>2</v>
      </c>
      <c r="AL192">
        <v>1062</v>
      </c>
      <c r="AM192">
        <v>389</v>
      </c>
      <c r="AN192">
        <v>728</v>
      </c>
      <c r="AO192">
        <v>349</v>
      </c>
      <c r="AP192">
        <v>757</v>
      </c>
      <c r="AQ192">
        <v>632</v>
      </c>
      <c r="AR192">
        <v>78</v>
      </c>
      <c r="AS192">
        <v>34</v>
      </c>
      <c r="AT192">
        <v>243</v>
      </c>
      <c r="AU192">
        <v>337</v>
      </c>
      <c r="AV192">
        <v>476</v>
      </c>
      <c r="AX192">
        <v>359</v>
      </c>
      <c r="AY192">
        <v>1012</v>
      </c>
      <c r="AZ192">
        <v>5882</v>
      </c>
      <c r="BB192">
        <v>874</v>
      </c>
      <c r="BD192">
        <v>571</v>
      </c>
    </row>
    <row r="193" spans="1:56" x14ac:dyDescent="0.25">
      <c r="A193" t="s">
        <v>598</v>
      </c>
      <c r="B193" t="s">
        <v>136</v>
      </c>
      <c r="C193">
        <f t="shared" si="61"/>
        <v>76894</v>
      </c>
      <c r="D193">
        <v>78675</v>
      </c>
      <c r="E193">
        <v>1781</v>
      </c>
      <c r="F193">
        <f t="shared" si="62"/>
        <v>79509</v>
      </c>
      <c r="G193">
        <v>81290</v>
      </c>
      <c r="H193">
        <v>1781</v>
      </c>
      <c r="I193">
        <f t="shared" si="46"/>
        <v>3613</v>
      </c>
      <c r="J193">
        <f t="shared" si="47"/>
        <v>16501</v>
      </c>
      <c r="K193">
        <f t="shared" si="48"/>
        <v>6598</v>
      </c>
      <c r="L193">
        <f t="shared" si="49"/>
        <v>1857</v>
      </c>
      <c r="M193">
        <f t="shared" si="50"/>
        <v>942</v>
      </c>
      <c r="N193">
        <f t="shared" si="51"/>
        <v>2310</v>
      </c>
      <c r="O193">
        <f t="shared" si="52"/>
        <v>4796</v>
      </c>
      <c r="P193">
        <f t="shared" si="53"/>
        <v>10003</v>
      </c>
      <c r="Q193">
        <f t="shared" si="54"/>
        <v>19305</v>
      </c>
      <c r="R193">
        <f t="shared" si="55"/>
        <v>7332</v>
      </c>
      <c r="S193">
        <f t="shared" si="56"/>
        <v>861</v>
      </c>
      <c r="U193">
        <v>14076</v>
      </c>
      <c r="V193">
        <v>2158</v>
      </c>
      <c r="W193">
        <v>5018</v>
      </c>
      <c r="X193">
        <v>1235</v>
      </c>
      <c r="Y193">
        <v>3306</v>
      </c>
      <c r="Z193">
        <v>7074</v>
      </c>
      <c r="AA193">
        <v>32496</v>
      </c>
      <c r="AB193">
        <v>9847</v>
      </c>
      <c r="AC193">
        <v>458</v>
      </c>
      <c r="AD193">
        <v>1104</v>
      </c>
      <c r="AE193">
        <f t="shared" si="63"/>
        <v>21087</v>
      </c>
      <c r="AF193">
        <v>9320</v>
      </c>
      <c r="AG193">
        <v>3992</v>
      </c>
      <c r="AH193">
        <v>1578</v>
      </c>
      <c r="AI193">
        <f t="shared" si="64"/>
        <v>2414</v>
      </c>
      <c r="AJ193" t="s">
        <v>1265</v>
      </c>
      <c r="AK193">
        <v>199</v>
      </c>
      <c r="AL193">
        <v>1354</v>
      </c>
      <c r="AM193">
        <v>697</v>
      </c>
      <c r="AN193">
        <v>1291</v>
      </c>
      <c r="AO193">
        <v>556</v>
      </c>
      <c r="AP193">
        <v>1722</v>
      </c>
      <c r="AQ193">
        <v>730</v>
      </c>
      <c r="AR193">
        <v>266</v>
      </c>
      <c r="AS193">
        <v>38</v>
      </c>
      <c r="AT193">
        <v>255</v>
      </c>
      <c r="AU193">
        <v>959</v>
      </c>
      <c r="AV193">
        <v>1080</v>
      </c>
      <c r="AW193">
        <v>7</v>
      </c>
      <c r="AX193">
        <v>294</v>
      </c>
      <c r="AY193">
        <v>402</v>
      </c>
      <c r="AZ193">
        <v>7076</v>
      </c>
      <c r="BA193">
        <v>25</v>
      </c>
      <c r="BB193">
        <v>1757</v>
      </c>
      <c r="BD193">
        <v>1406</v>
      </c>
    </row>
    <row r="194" spans="1:56" x14ac:dyDescent="0.25">
      <c r="A194" t="s">
        <v>607</v>
      </c>
      <c r="B194" t="s">
        <v>749</v>
      </c>
      <c r="C194">
        <f t="shared" si="61"/>
        <v>203314</v>
      </c>
      <c r="D194">
        <v>208218</v>
      </c>
      <c r="E194">
        <v>4904</v>
      </c>
      <c r="F194">
        <f t="shared" si="62"/>
        <v>-4904</v>
      </c>
      <c r="G194" t="s">
        <v>843</v>
      </c>
      <c r="H194">
        <v>4904</v>
      </c>
      <c r="I194">
        <f t="shared" si="46"/>
        <v>8436</v>
      </c>
      <c r="J194">
        <f t="shared" si="47"/>
        <v>52113</v>
      </c>
      <c r="K194">
        <f t="shared" si="48"/>
        <v>26118</v>
      </c>
      <c r="L194">
        <f t="shared" si="49"/>
        <v>3379</v>
      </c>
      <c r="M194">
        <f t="shared" si="50"/>
        <v>445</v>
      </c>
      <c r="N194">
        <f t="shared" si="51"/>
        <v>5639</v>
      </c>
      <c r="O194">
        <f t="shared" si="52"/>
        <v>11274</v>
      </c>
      <c r="P194">
        <f t="shared" si="53"/>
        <v>38758</v>
      </c>
      <c r="Q194">
        <f t="shared" si="54"/>
        <v>42650</v>
      </c>
      <c r="R194">
        <f t="shared" si="55"/>
        <v>11937</v>
      </c>
      <c r="S194">
        <f t="shared" si="56"/>
        <v>2499</v>
      </c>
      <c r="U194">
        <v>48031</v>
      </c>
      <c r="V194">
        <v>4088</v>
      </c>
      <c r="W194">
        <v>7270</v>
      </c>
      <c r="X194">
        <v>960</v>
      </c>
      <c r="Y194">
        <v>8308</v>
      </c>
      <c r="Z194">
        <v>16582</v>
      </c>
      <c r="AA194">
        <v>101684</v>
      </c>
      <c r="AB194">
        <v>35714</v>
      </c>
      <c r="AC194">
        <v>16253</v>
      </c>
      <c r="AD194">
        <v>3368</v>
      </c>
      <c r="AE194">
        <f t="shared" si="63"/>
        <v>46349</v>
      </c>
      <c r="AF194">
        <v>15789</v>
      </c>
      <c r="AG194">
        <v>5506</v>
      </c>
      <c r="AH194">
        <v>244</v>
      </c>
      <c r="AI194">
        <f t="shared" si="64"/>
        <v>5262</v>
      </c>
      <c r="AJ194" t="s">
        <v>1300</v>
      </c>
      <c r="AK194">
        <v>55</v>
      </c>
      <c r="AL194">
        <v>2708</v>
      </c>
      <c r="AM194">
        <v>1328</v>
      </c>
      <c r="AN194">
        <v>2524</v>
      </c>
      <c r="AO194">
        <v>1857</v>
      </c>
      <c r="AP194">
        <v>3451</v>
      </c>
      <c r="AQ194">
        <v>1652</v>
      </c>
      <c r="AR194">
        <v>1017</v>
      </c>
      <c r="AS194">
        <v>5</v>
      </c>
      <c r="AT194">
        <v>510</v>
      </c>
      <c r="AU194">
        <v>1837</v>
      </c>
      <c r="AV194">
        <v>707</v>
      </c>
      <c r="AW194">
        <v>33</v>
      </c>
      <c r="AX194">
        <v>676</v>
      </c>
      <c r="AY194">
        <v>1340</v>
      </c>
      <c r="AZ194">
        <v>20573</v>
      </c>
      <c r="BA194">
        <v>329</v>
      </c>
      <c r="BB194">
        <v>3370</v>
      </c>
      <c r="BD194">
        <v>16577</v>
      </c>
    </row>
    <row r="195" spans="1:56" x14ac:dyDescent="0.25">
      <c r="A195" t="s">
        <v>608</v>
      </c>
      <c r="B195" t="s">
        <v>438</v>
      </c>
      <c r="C195">
        <f t="shared" si="61"/>
        <v>26967</v>
      </c>
      <c r="D195">
        <v>27071</v>
      </c>
      <c r="E195">
        <v>104</v>
      </c>
      <c r="F195">
        <f t="shared" si="62"/>
        <v>26524</v>
      </c>
      <c r="G195">
        <v>26628</v>
      </c>
      <c r="H195">
        <v>104</v>
      </c>
      <c r="I195">
        <f t="shared" ref="I195:I258" si="65">SUM(AK195,AM195,AO195,AQ195,AS195,AU195,AW195,AY195,BA195,BC195)</f>
        <v>1365</v>
      </c>
      <c r="J195">
        <f t="shared" ref="J195:J258" si="66">SUM(AL195,AN195,AP195,AR195,AT195,AV195,AX195,AZ195,BB195,BD195)</f>
        <v>525</v>
      </c>
      <c r="K195">
        <f t="shared" ref="K195:K258" si="67">SUM(U195,-AY195,-AZ195)</f>
        <v>3878</v>
      </c>
      <c r="L195">
        <f t="shared" ref="L195:L258" si="68">SUM(V195,-AW195,-AX195)</f>
        <v>861</v>
      </c>
      <c r="M195">
        <f t="shared" ref="M195:M258" si="69">SUM(X195,-AS195,-AT195)</f>
        <v>500</v>
      </c>
      <c r="N195">
        <f t="shared" ref="N195:N258" si="70">SUM(Y195,-AQ195,-AR195)</f>
        <v>479</v>
      </c>
      <c r="O195">
        <f t="shared" ref="O195:O258" si="71">SUM(Z195,-AO195,-AP195)</f>
        <v>1622</v>
      </c>
      <c r="P195">
        <f t="shared" ref="P195:P258" si="72">SUM(AB195,AC195,AD195,-BC195,-BD195)</f>
        <v>4842</v>
      </c>
      <c r="Q195">
        <f t="shared" ref="Q195:Q258" si="73">SUM(AE195,-BA195,-BB195)</f>
        <v>6296</v>
      </c>
      <c r="R195">
        <f t="shared" ref="R195:R258" si="74">SUM(AF195,-AM195,-AN195)</f>
        <v>2249</v>
      </c>
      <c r="S195">
        <f t="shared" ref="S195:S258" si="75">SUM(AI195,-AK195,-AL195)</f>
        <v>958</v>
      </c>
      <c r="U195">
        <v>4493</v>
      </c>
      <c r="V195">
        <v>893</v>
      </c>
      <c r="W195">
        <v>1577</v>
      </c>
      <c r="X195">
        <v>514</v>
      </c>
      <c r="Y195">
        <v>704</v>
      </c>
      <c r="Z195">
        <v>1760</v>
      </c>
      <c r="AA195">
        <v>11348</v>
      </c>
      <c r="AB195">
        <v>2194</v>
      </c>
      <c r="AC195">
        <v>2398</v>
      </c>
      <c r="AD195">
        <v>250</v>
      </c>
      <c r="AE195">
        <f t="shared" si="63"/>
        <v>6506</v>
      </c>
      <c r="AF195">
        <v>2495</v>
      </c>
      <c r="AG195">
        <v>3287</v>
      </c>
      <c r="AH195">
        <v>2324</v>
      </c>
      <c r="AI195">
        <f t="shared" si="64"/>
        <v>963</v>
      </c>
      <c r="AJ195" t="s">
        <v>1180</v>
      </c>
      <c r="AK195">
        <v>5</v>
      </c>
      <c r="AM195">
        <v>246</v>
      </c>
      <c r="AO195">
        <v>138</v>
      </c>
      <c r="AQ195">
        <v>225</v>
      </c>
      <c r="AS195">
        <v>14</v>
      </c>
      <c r="AU195">
        <v>405</v>
      </c>
      <c r="AW195">
        <v>32</v>
      </c>
      <c r="AY195">
        <v>90</v>
      </c>
      <c r="AZ195">
        <v>525</v>
      </c>
      <c r="BA195">
        <v>210</v>
      </c>
    </row>
    <row r="196" spans="1:56" x14ac:dyDescent="0.25">
      <c r="A196" t="s">
        <v>599</v>
      </c>
      <c r="B196" t="s">
        <v>439</v>
      </c>
      <c r="C196">
        <f t="shared" si="61"/>
        <v>101670</v>
      </c>
      <c r="D196">
        <v>102792</v>
      </c>
      <c r="E196">
        <v>1122</v>
      </c>
      <c r="F196">
        <f t="shared" si="62"/>
        <v>97201</v>
      </c>
      <c r="G196">
        <v>98323</v>
      </c>
      <c r="H196">
        <v>1122</v>
      </c>
      <c r="I196">
        <f t="shared" si="65"/>
        <v>4615</v>
      </c>
      <c r="J196">
        <f t="shared" si="66"/>
        <v>17548</v>
      </c>
      <c r="K196">
        <f t="shared" si="67"/>
        <v>14079</v>
      </c>
      <c r="L196">
        <f t="shared" si="68"/>
        <v>3165</v>
      </c>
      <c r="M196">
        <f t="shared" si="69"/>
        <v>727</v>
      </c>
      <c r="N196">
        <f t="shared" si="70"/>
        <v>2115</v>
      </c>
      <c r="O196">
        <f t="shared" si="71"/>
        <v>6332</v>
      </c>
      <c r="P196">
        <f t="shared" si="72"/>
        <v>13483</v>
      </c>
      <c r="Q196">
        <f t="shared" si="73"/>
        <v>18572</v>
      </c>
      <c r="R196">
        <f t="shared" si="74"/>
        <v>9767</v>
      </c>
      <c r="S196">
        <f t="shared" si="75"/>
        <v>628</v>
      </c>
      <c r="U196">
        <v>23387</v>
      </c>
      <c r="V196">
        <v>4099</v>
      </c>
      <c r="W196">
        <v>6807</v>
      </c>
      <c r="X196">
        <v>1772</v>
      </c>
      <c r="Y196">
        <v>3326</v>
      </c>
      <c r="Z196">
        <v>8128</v>
      </c>
      <c r="AA196">
        <v>33967</v>
      </c>
      <c r="AB196">
        <v>10053</v>
      </c>
      <c r="AC196">
        <v>3036</v>
      </c>
      <c r="AD196">
        <v>431</v>
      </c>
      <c r="AE196">
        <f t="shared" si="63"/>
        <v>20447</v>
      </c>
      <c r="AF196">
        <v>11763</v>
      </c>
      <c r="AG196">
        <v>9543</v>
      </c>
      <c r="AH196">
        <v>6690</v>
      </c>
      <c r="AI196">
        <f t="shared" si="64"/>
        <v>2853</v>
      </c>
      <c r="AJ196" t="s">
        <v>1255</v>
      </c>
      <c r="AK196">
        <v>107</v>
      </c>
      <c r="AL196">
        <v>2118</v>
      </c>
      <c r="AM196">
        <v>988</v>
      </c>
      <c r="AN196">
        <v>1008</v>
      </c>
      <c r="AO196">
        <v>814</v>
      </c>
      <c r="AP196">
        <v>982</v>
      </c>
      <c r="AQ196">
        <v>1013</v>
      </c>
      <c r="AR196">
        <v>198</v>
      </c>
      <c r="AS196">
        <v>8</v>
      </c>
      <c r="AT196">
        <v>1037</v>
      </c>
      <c r="AU196">
        <v>542</v>
      </c>
      <c r="AV196">
        <v>1194</v>
      </c>
      <c r="AW196">
        <v>113</v>
      </c>
      <c r="AX196">
        <v>821</v>
      </c>
      <c r="AY196">
        <v>915</v>
      </c>
      <c r="AZ196">
        <v>8393</v>
      </c>
      <c r="BA196">
        <v>115</v>
      </c>
      <c r="BB196">
        <v>1760</v>
      </c>
      <c r="BD196">
        <v>37</v>
      </c>
    </row>
    <row r="197" spans="1:56" x14ac:dyDescent="0.25">
      <c r="A197" t="s">
        <v>603</v>
      </c>
      <c r="B197" t="s">
        <v>750</v>
      </c>
      <c r="C197" s="312">
        <v>102495</v>
      </c>
      <c r="D197">
        <v>0</v>
      </c>
      <c r="E197">
        <v>0</v>
      </c>
      <c r="F197">
        <v>102495</v>
      </c>
      <c r="G197">
        <v>102495</v>
      </c>
      <c r="H197">
        <v>0</v>
      </c>
      <c r="I197">
        <f t="shared" si="65"/>
        <v>0</v>
      </c>
      <c r="J197">
        <f t="shared" si="66"/>
        <v>0</v>
      </c>
      <c r="K197">
        <f t="shared" si="67"/>
        <v>0</v>
      </c>
      <c r="L197">
        <f t="shared" si="68"/>
        <v>0</v>
      </c>
      <c r="M197">
        <f t="shared" si="69"/>
        <v>0</v>
      </c>
      <c r="N197">
        <f t="shared" si="70"/>
        <v>0</v>
      </c>
      <c r="O197">
        <f t="shared" si="71"/>
        <v>0</v>
      </c>
      <c r="P197">
        <f t="shared" si="72"/>
        <v>0</v>
      </c>
      <c r="Q197">
        <f t="shared" si="73"/>
        <v>0</v>
      </c>
      <c r="R197">
        <f t="shared" si="74"/>
        <v>0</v>
      </c>
      <c r="S197">
        <f t="shared" si="75"/>
        <v>0</v>
      </c>
      <c r="AJ197" t="s">
        <v>1310</v>
      </c>
      <c r="AK197">
        <v>0</v>
      </c>
      <c r="AL197">
        <v>0</v>
      </c>
      <c r="AM197">
        <v>0</v>
      </c>
      <c r="AN197">
        <v>0</v>
      </c>
      <c r="AO197">
        <v>0</v>
      </c>
      <c r="AP197">
        <v>0</v>
      </c>
      <c r="AQ197">
        <v>0</v>
      </c>
      <c r="AR197">
        <v>0</v>
      </c>
      <c r="AS197">
        <v>0</v>
      </c>
      <c r="AT197">
        <v>0</v>
      </c>
      <c r="AU197">
        <v>0</v>
      </c>
      <c r="AV197">
        <v>0</v>
      </c>
      <c r="AW197">
        <v>0</v>
      </c>
      <c r="AX197">
        <v>0</v>
      </c>
      <c r="AY197">
        <v>0</v>
      </c>
      <c r="AZ197">
        <v>0</v>
      </c>
      <c r="BA197">
        <v>0</v>
      </c>
      <c r="BB197">
        <v>0</v>
      </c>
      <c r="BD197">
        <v>0</v>
      </c>
    </row>
    <row r="198" spans="1:56" x14ac:dyDescent="0.25">
      <c r="A198" t="s">
        <v>601</v>
      </c>
      <c r="B198" t="s">
        <v>236</v>
      </c>
      <c r="C198">
        <f t="shared" ref="C198:C207" si="76">SUM(D198,-E198)</f>
        <v>85105</v>
      </c>
      <c r="D198">
        <v>87108</v>
      </c>
      <c r="E198">
        <v>2003</v>
      </c>
      <c r="F198">
        <f t="shared" ref="F198:F207" si="77">SUM(G198,-H198)</f>
        <v>79776</v>
      </c>
      <c r="G198">
        <v>81779</v>
      </c>
      <c r="H198">
        <v>2003</v>
      </c>
      <c r="I198">
        <f t="shared" si="65"/>
        <v>4163</v>
      </c>
      <c r="J198">
        <f t="shared" si="66"/>
        <v>21751</v>
      </c>
      <c r="K198">
        <f t="shared" si="67"/>
        <v>9583</v>
      </c>
      <c r="L198">
        <f t="shared" si="68"/>
        <v>1944</v>
      </c>
      <c r="M198">
        <f t="shared" si="69"/>
        <v>520</v>
      </c>
      <c r="N198">
        <f t="shared" si="70"/>
        <v>2542</v>
      </c>
      <c r="O198">
        <f t="shared" si="71"/>
        <v>4903</v>
      </c>
      <c r="P198">
        <f t="shared" si="72"/>
        <v>14576</v>
      </c>
      <c r="Q198">
        <f t="shared" si="73"/>
        <v>18299</v>
      </c>
      <c r="R198">
        <f t="shared" si="74"/>
        <v>5938</v>
      </c>
      <c r="S198">
        <f t="shared" si="75"/>
        <v>331</v>
      </c>
      <c r="U198">
        <v>20106</v>
      </c>
      <c r="V198">
        <v>2347</v>
      </c>
      <c r="W198">
        <v>3246</v>
      </c>
      <c r="X198">
        <v>896</v>
      </c>
      <c r="Y198">
        <v>3873</v>
      </c>
      <c r="Z198">
        <v>7645</v>
      </c>
      <c r="AA198">
        <v>38086</v>
      </c>
      <c r="AB198">
        <v>10424</v>
      </c>
      <c r="AC198">
        <v>4902</v>
      </c>
      <c r="AD198">
        <v>1184</v>
      </c>
      <c r="AE198">
        <f t="shared" ref="AE198:AE207" si="78">SUM(AA198,-AB198,-AC198,-AD198)</f>
        <v>21576</v>
      </c>
      <c r="AF198">
        <v>8416</v>
      </c>
      <c r="AG198">
        <v>2493</v>
      </c>
      <c r="AH198">
        <v>69</v>
      </c>
      <c r="AI198">
        <f t="shared" ref="AI198:AI207" si="79">SUM(AG198,-AH198)</f>
        <v>2424</v>
      </c>
      <c r="AJ198" t="s">
        <v>1302</v>
      </c>
      <c r="AK198">
        <v>6</v>
      </c>
      <c r="AL198">
        <v>2087</v>
      </c>
      <c r="AM198">
        <v>957</v>
      </c>
      <c r="AN198">
        <v>1521</v>
      </c>
      <c r="AO198">
        <v>865</v>
      </c>
      <c r="AP198">
        <v>1877</v>
      </c>
      <c r="AQ198">
        <v>1023</v>
      </c>
      <c r="AR198">
        <v>308</v>
      </c>
      <c r="AS198">
        <v>0</v>
      </c>
      <c r="AT198">
        <v>376</v>
      </c>
      <c r="AU198">
        <v>52</v>
      </c>
      <c r="AV198">
        <v>705</v>
      </c>
      <c r="AW198">
        <v>10</v>
      </c>
      <c r="AX198">
        <v>393</v>
      </c>
      <c r="AY198">
        <v>1114</v>
      </c>
      <c r="AZ198">
        <v>9409</v>
      </c>
      <c r="BA198">
        <v>136</v>
      </c>
      <c r="BB198">
        <v>3141</v>
      </c>
      <c r="BD198">
        <v>1934</v>
      </c>
    </row>
    <row r="199" spans="1:56" x14ac:dyDescent="0.25">
      <c r="A199" t="s">
        <v>606</v>
      </c>
      <c r="B199" t="s">
        <v>506</v>
      </c>
      <c r="C199">
        <f t="shared" si="76"/>
        <v>24900</v>
      </c>
      <c r="D199">
        <v>25344</v>
      </c>
      <c r="E199">
        <v>444</v>
      </c>
      <c r="F199">
        <f t="shared" si="77"/>
        <v>25606</v>
      </c>
      <c r="G199">
        <v>26050</v>
      </c>
      <c r="H199">
        <v>444</v>
      </c>
      <c r="I199">
        <f t="shared" si="65"/>
        <v>961</v>
      </c>
      <c r="J199">
        <f t="shared" si="66"/>
        <v>782</v>
      </c>
      <c r="K199">
        <f t="shared" si="67"/>
        <v>5268</v>
      </c>
      <c r="L199">
        <f t="shared" si="68"/>
        <v>1034</v>
      </c>
      <c r="M199">
        <f t="shared" si="69"/>
        <v>344</v>
      </c>
      <c r="N199">
        <f t="shared" si="70"/>
        <v>928</v>
      </c>
      <c r="O199">
        <f t="shared" si="71"/>
        <v>2082</v>
      </c>
      <c r="P199">
        <f t="shared" si="72"/>
        <v>3076</v>
      </c>
      <c r="Q199">
        <f t="shared" si="73"/>
        <v>5189</v>
      </c>
      <c r="R199">
        <f t="shared" si="74"/>
        <v>2645</v>
      </c>
      <c r="S199">
        <f t="shared" si="75"/>
        <v>1890</v>
      </c>
      <c r="U199">
        <v>6109</v>
      </c>
      <c r="V199">
        <v>1095</v>
      </c>
      <c r="W199">
        <v>1171</v>
      </c>
      <c r="X199">
        <v>344</v>
      </c>
      <c r="Y199">
        <v>1086</v>
      </c>
      <c r="Z199">
        <v>2481</v>
      </c>
      <c r="AA199">
        <v>8265</v>
      </c>
      <c r="AB199">
        <v>2188</v>
      </c>
      <c r="AC199">
        <v>584</v>
      </c>
      <c r="AD199">
        <v>304</v>
      </c>
      <c r="AE199">
        <f t="shared" si="78"/>
        <v>5189</v>
      </c>
      <c r="AF199">
        <v>2899</v>
      </c>
      <c r="AG199">
        <v>1894</v>
      </c>
      <c r="AH199">
        <v>4</v>
      </c>
      <c r="AI199">
        <f t="shared" si="79"/>
        <v>1890</v>
      </c>
      <c r="AJ199" t="s">
        <v>1051</v>
      </c>
      <c r="AM199">
        <v>254</v>
      </c>
      <c r="AO199">
        <v>398</v>
      </c>
      <c r="AP199">
        <v>1</v>
      </c>
      <c r="AQ199">
        <v>158</v>
      </c>
      <c r="AU199">
        <v>30</v>
      </c>
      <c r="AW199">
        <v>51</v>
      </c>
      <c r="AX199">
        <v>10</v>
      </c>
      <c r="AY199">
        <v>70</v>
      </c>
      <c r="AZ199">
        <v>771</v>
      </c>
    </row>
    <row r="200" spans="1:56" x14ac:dyDescent="0.25">
      <c r="A200" t="s">
        <v>608</v>
      </c>
      <c r="B200" t="s">
        <v>477</v>
      </c>
      <c r="C200">
        <f t="shared" si="76"/>
        <v>16256</v>
      </c>
      <c r="D200">
        <v>16318</v>
      </c>
      <c r="E200">
        <v>62</v>
      </c>
      <c r="F200">
        <f t="shared" si="77"/>
        <v>15623</v>
      </c>
      <c r="G200">
        <v>15685</v>
      </c>
      <c r="H200">
        <v>62</v>
      </c>
      <c r="I200">
        <f t="shared" si="65"/>
        <v>500</v>
      </c>
      <c r="J200">
        <f t="shared" si="66"/>
        <v>4789</v>
      </c>
      <c r="K200">
        <f t="shared" si="67"/>
        <v>2566</v>
      </c>
      <c r="L200">
        <f t="shared" si="68"/>
        <v>636</v>
      </c>
      <c r="M200">
        <f t="shared" si="69"/>
        <v>51</v>
      </c>
      <c r="N200">
        <f t="shared" si="70"/>
        <v>165</v>
      </c>
      <c r="O200">
        <f t="shared" si="71"/>
        <v>518</v>
      </c>
      <c r="P200">
        <f t="shared" si="72"/>
        <v>2635</v>
      </c>
      <c r="Q200">
        <f t="shared" si="73"/>
        <v>2640</v>
      </c>
      <c r="R200">
        <f t="shared" si="74"/>
        <v>1337</v>
      </c>
      <c r="S200">
        <f t="shared" si="75"/>
        <v>68</v>
      </c>
      <c r="U200">
        <v>6003</v>
      </c>
      <c r="V200">
        <v>636</v>
      </c>
      <c r="W200">
        <v>592</v>
      </c>
      <c r="X200">
        <v>184</v>
      </c>
      <c r="Y200">
        <v>304</v>
      </c>
      <c r="Z200">
        <v>634</v>
      </c>
      <c r="AA200">
        <v>5895</v>
      </c>
      <c r="AB200">
        <v>2109</v>
      </c>
      <c r="AC200">
        <v>701</v>
      </c>
      <c r="AD200">
        <v>118</v>
      </c>
      <c r="AE200">
        <f t="shared" si="78"/>
        <v>2967</v>
      </c>
      <c r="AF200">
        <v>1527</v>
      </c>
      <c r="AG200">
        <v>543</v>
      </c>
      <c r="AH200">
        <v>0</v>
      </c>
      <c r="AI200">
        <f t="shared" si="79"/>
        <v>543</v>
      </c>
      <c r="AJ200" t="s">
        <v>1212</v>
      </c>
      <c r="AK200">
        <v>62</v>
      </c>
      <c r="AL200">
        <v>413</v>
      </c>
      <c r="AM200">
        <v>101</v>
      </c>
      <c r="AN200">
        <v>89</v>
      </c>
      <c r="AO200">
        <v>17</v>
      </c>
      <c r="AP200">
        <v>99</v>
      </c>
      <c r="AQ200">
        <v>40</v>
      </c>
      <c r="AR200">
        <v>99</v>
      </c>
      <c r="AS200">
        <v>48</v>
      </c>
      <c r="AT200">
        <v>85</v>
      </c>
      <c r="AU200">
        <v>88</v>
      </c>
      <c r="AV200">
        <v>91</v>
      </c>
      <c r="AY200">
        <v>134</v>
      </c>
      <c r="AZ200">
        <v>3303</v>
      </c>
      <c r="BA200">
        <v>10</v>
      </c>
      <c r="BB200">
        <v>317</v>
      </c>
      <c r="BD200">
        <v>293</v>
      </c>
    </row>
    <row r="201" spans="1:56" x14ac:dyDescent="0.25">
      <c r="A201" t="s">
        <v>601</v>
      </c>
      <c r="B201" t="s">
        <v>237</v>
      </c>
      <c r="C201">
        <f t="shared" si="76"/>
        <v>56158</v>
      </c>
      <c r="D201">
        <v>57506</v>
      </c>
      <c r="E201">
        <v>1348</v>
      </c>
      <c r="F201">
        <f t="shared" si="77"/>
        <v>48352</v>
      </c>
      <c r="G201">
        <v>49700</v>
      </c>
      <c r="H201">
        <v>1348</v>
      </c>
      <c r="I201">
        <f t="shared" si="65"/>
        <v>1795</v>
      </c>
      <c r="J201">
        <f t="shared" si="66"/>
        <v>10325</v>
      </c>
      <c r="K201">
        <f t="shared" si="67"/>
        <v>774</v>
      </c>
      <c r="L201">
        <f t="shared" si="68"/>
        <v>1832</v>
      </c>
      <c r="M201">
        <f t="shared" si="69"/>
        <v>6952</v>
      </c>
      <c r="N201">
        <f t="shared" si="70"/>
        <v>2036</v>
      </c>
      <c r="O201">
        <f t="shared" si="71"/>
        <v>3357</v>
      </c>
      <c r="P201">
        <f t="shared" si="72"/>
        <v>9588</v>
      </c>
      <c r="Q201">
        <f t="shared" si="73"/>
        <v>8669</v>
      </c>
      <c r="R201">
        <f t="shared" si="74"/>
        <v>6270</v>
      </c>
      <c r="S201">
        <f t="shared" si="75"/>
        <v>2015</v>
      </c>
      <c r="U201">
        <v>11350</v>
      </c>
      <c r="V201">
        <v>1836</v>
      </c>
      <c r="W201">
        <v>3336</v>
      </c>
      <c r="X201">
        <v>6952</v>
      </c>
      <c r="Y201">
        <v>2826</v>
      </c>
      <c r="Z201">
        <v>3590</v>
      </c>
      <c r="AA201">
        <v>18271</v>
      </c>
      <c r="AB201">
        <v>5267</v>
      </c>
      <c r="AC201">
        <v>3969</v>
      </c>
      <c r="AD201">
        <v>352</v>
      </c>
      <c r="AE201">
        <f t="shared" si="78"/>
        <v>8683</v>
      </c>
      <c r="AF201">
        <v>6681</v>
      </c>
      <c r="AG201">
        <v>2664</v>
      </c>
      <c r="AH201">
        <v>649</v>
      </c>
      <c r="AI201">
        <f t="shared" si="79"/>
        <v>2015</v>
      </c>
      <c r="AJ201" t="s">
        <v>1268</v>
      </c>
      <c r="AM201">
        <v>411</v>
      </c>
      <c r="AO201">
        <v>266</v>
      </c>
      <c r="AP201">
        <v>-33</v>
      </c>
      <c r="AQ201">
        <v>790</v>
      </c>
      <c r="AU201">
        <v>92</v>
      </c>
      <c r="AX201">
        <v>4</v>
      </c>
      <c r="AY201">
        <v>222</v>
      </c>
      <c r="AZ201">
        <v>10354</v>
      </c>
      <c r="BA201">
        <v>14</v>
      </c>
    </row>
    <row r="202" spans="1:56" x14ac:dyDescent="0.25">
      <c r="A202" t="s">
        <v>608</v>
      </c>
      <c r="B202" t="s">
        <v>478</v>
      </c>
      <c r="C202">
        <f t="shared" si="76"/>
        <v>43193</v>
      </c>
      <c r="D202">
        <v>43885</v>
      </c>
      <c r="E202">
        <v>692</v>
      </c>
      <c r="F202">
        <f t="shared" si="77"/>
        <v>35832</v>
      </c>
      <c r="G202">
        <v>36524</v>
      </c>
      <c r="H202">
        <v>692</v>
      </c>
      <c r="I202">
        <f t="shared" si="65"/>
        <v>1037</v>
      </c>
      <c r="J202">
        <f t="shared" si="66"/>
        <v>8490</v>
      </c>
      <c r="K202">
        <f t="shared" si="67"/>
        <v>4878</v>
      </c>
      <c r="L202">
        <f t="shared" si="68"/>
        <v>1218</v>
      </c>
      <c r="M202">
        <f t="shared" si="69"/>
        <v>74</v>
      </c>
      <c r="N202">
        <f t="shared" si="70"/>
        <v>792</v>
      </c>
      <c r="O202">
        <f t="shared" si="71"/>
        <v>2329</v>
      </c>
      <c r="P202">
        <f t="shared" si="72"/>
        <v>5109</v>
      </c>
      <c r="Q202">
        <f t="shared" si="73"/>
        <v>6708</v>
      </c>
      <c r="R202">
        <f t="shared" si="74"/>
        <v>3408</v>
      </c>
      <c r="S202">
        <f t="shared" si="75"/>
        <v>171</v>
      </c>
      <c r="U202">
        <v>9361</v>
      </c>
      <c r="V202">
        <v>1295</v>
      </c>
      <c r="W202">
        <v>2031</v>
      </c>
      <c r="X202">
        <v>326</v>
      </c>
      <c r="Y202">
        <v>1268</v>
      </c>
      <c r="Z202">
        <v>3055</v>
      </c>
      <c r="AA202">
        <v>13487</v>
      </c>
      <c r="AB202">
        <v>3091</v>
      </c>
      <c r="AC202">
        <v>2371</v>
      </c>
      <c r="AD202">
        <v>576</v>
      </c>
      <c r="AE202">
        <f t="shared" si="78"/>
        <v>7449</v>
      </c>
      <c r="AF202">
        <v>3897</v>
      </c>
      <c r="AG202">
        <v>9165</v>
      </c>
      <c r="AH202">
        <v>8071</v>
      </c>
      <c r="AI202">
        <f t="shared" si="79"/>
        <v>1094</v>
      </c>
      <c r="AJ202" t="s">
        <v>1213</v>
      </c>
      <c r="AL202">
        <v>923</v>
      </c>
      <c r="AM202">
        <v>3</v>
      </c>
      <c r="AN202">
        <v>486</v>
      </c>
      <c r="AO202">
        <v>218</v>
      </c>
      <c r="AP202">
        <v>508</v>
      </c>
      <c r="AQ202">
        <v>372</v>
      </c>
      <c r="AR202">
        <v>104</v>
      </c>
      <c r="AT202">
        <v>252</v>
      </c>
      <c r="AU202">
        <v>174</v>
      </c>
      <c r="AV202">
        <v>257</v>
      </c>
      <c r="AW202">
        <v>16</v>
      </c>
      <c r="AX202">
        <v>61</v>
      </c>
      <c r="AY202">
        <v>254</v>
      </c>
      <c r="AZ202">
        <v>4229</v>
      </c>
      <c r="BB202">
        <v>741</v>
      </c>
      <c r="BD202">
        <v>929</v>
      </c>
    </row>
    <row r="203" spans="1:56" x14ac:dyDescent="0.25">
      <c r="A203" t="s">
        <v>606</v>
      </c>
      <c r="B203" t="s">
        <v>273</v>
      </c>
      <c r="C203">
        <f t="shared" si="76"/>
        <v>193526</v>
      </c>
      <c r="D203">
        <v>194606</v>
      </c>
      <c r="E203">
        <v>1080</v>
      </c>
      <c r="F203">
        <f t="shared" si="77"/>
        <v>190967</v>
      </c>
      <c r="G203">
        <v>192047</v>
      </c>
      <c r="H203">
        <v>1080</v>
      </c>
      <c r="I203">
        <f t="shared" si="65"/>
        <v>12286</v>
      </c>
      <c r="J203">
        <f t="shared" si="66"/>
        <v>35945</v>
      </c>
      <c r="K203">
        <f t="shared" si="67"/>
        <v>20320</v>
      </c>
      <c r="L203">
        <f t="shared" si="68"/>
        <v>4180</v>
      </c>
      <c r="M203">
        <f t="shared" si="69"/>
        <v>13013</v>
      </c>
      <c r="N203">
        <f t="shared" si="70"/>
        <v>5675</v>
      </c>
      <c r="O203">
        <f t="shared" si="71"/>
        <v>13316</v>
      </c>
      <c r="P203">
        <f t="shared" si="72"/>
        <v>32687</v>
      </c>
      <c r="Q203">
        <f t="shared" si="73"/>
        <v>28351</v>
      </c>
      <c r="R203">
        <f t="shared" si="74"/>
        <v>11031</v>
      </c>
      <c r="S203">
        <f t="shared" si="75"/>
        <v>1106</v>
      </c>
      <c r="U203">
        <v>37995</v>
      </c>
      <c r="V203">
        <v>7329</v>
      </c>
      <c r="W203">
        <v>15188</v>
      </c>
      <c r="X203">
        <v>13413</v>
      </c>
      <c r="Y203">
        <v>8802</v>
      </c>
      <c r="Z203">
        <v>17827</v>
      </c>
      <c r="AA203">
        <v>67647</v>
      </c>
      <c r="AB203">
        <v>27954</v>
      </c>
      <c r="AC203">
        <v>3938</v>
      </c>
      <c r="AD203">
        <v>2095</v>
      </c>
      <c r="AE203">
        <f t="shared" si="78"/>
        <v>33660</v>
      </c>
      <c r="AF203">
        <v>14427</v>
      </c>
      <c r="AG203">
        <v>11978</v>
      </c>
      <c r="AH203">
        <v>7326</v>
      </c>
      <c r="AI203">
        <f t="shared" si="79"/>
        <v>4652</v>
      </c>
      <c r="AJ203" t="s">
        <v>1061</v>
      </c>
      <c r="AK203">
        <v>346</v>
      </c>
      <c r="AL203">
        <v>3200</v>
      </c>
      <c r="AM203">
        <v>596</v>
      </c>
      <c r="AN203">
        <v>2800</v>
      </c>
      <c r="AO203">
        <v>1811</v>
      </c>
      <c r="AP203">
        <v>2700</v>
      </c>
      <c r="AQ203">
        <v>2127</v>
      </c>
      <c r="AR203">
        <v>1000</v>
      </c>
      <c r="AT203">
        <v>400</v>
      </c>
      <c r="AU203">
        <v>2318</v>
      </c>
      <c r="AV203">
        <v>3500</v>
      </c>
      <c r="AW203">
        <v>49</v>
      </c>
      <c r="AX203">
        <v>3100</v>
      </c>
      <c r="AY203">
        <v>4830</v>
      </c>
      <c r="AZ203">
        <v>12845</v>
      </c>
      <c r="BA203">
        <v>209</v>
      </c>
      <c r="BB203">
        <v>5100</v>
      </c>
      <c r="BD203">
        <v>1300</v>
      </c>
    </row>
    <row r="204" spans="1:56" x14ac:dyDescent="0.25">
      <c r="A204" t="s">
        <v>606</v>
      </c>
      <c r="B204" t="s">
        <v>364</v>
      </c>
      <c r="C204">
        <f t="shared" si="76"/>
        <v>97570</v>
      </c>
      <c r="D204">
        <v>99287</v>
      </c>
      <c r="E204">
        <v>1717</v>
      </c>
      <c r="F204">
        <f t="shared" si="77"/>
        <v>75777</v>
      </c>
      <c r="G204">
        <v>77494</v>
      </c>
      <c r="H204">
        <v>1717</v>
      </c>
      <c r="I204">
        <f t="shared" si="65"/>
        <v>2499</v>
      </c>
      <c r="J204">
        <f t="shared" si="66"/>
        <v>14992</v>
      </c>
      <c r="K204">
        <f t="shared" si="67"/>
        <v>7928</v>
      </c>
      <c r="L204">
        <f t="shared" si="68"/>
        <v>1683</v>
      </c>
      <c r="M204">
        <f t="shared" si="69"/>
        <v>5002</v>
      </c>
      <c r="N204">
        <f t="shared" si="70"/>
        <v>1587</v>
      </c>
      <c r="O204">
        <f t="shared" si="71"/>
        <v>3308</v>
      </c>
      <c r="P204">
        <f t="shared" si="72"/>
        <v>5786</v>
      </c>
      <c r="Q204">
        <f t="shared" si="73"/>
        <v>10187</v>
      </c>
      <c r="R204">
        <f t="shared" si="74"/>
        <v>5752</v>
      </c>
      <c r="S204">
        <f t="shared" si="75"/>
        <v>399</v>
      </c>
      <c r="U204">
        <v>15774</v>
      </c>
      <c r="V204">
        <v>2193</v>
      </c>
      <c r="W204">
        <v>4462</v>
      </c>
      <c r="X204">
        <v>5322</v>
      </c>
      <c r="Y204">
        <v>2534</v>
      </c>
      <c r="Z204">
        <v>5512</v>
      </c>
      <c r="AA204">
        <v>17153</v>
      </c>
      <c r="AB204">
        <v>5066</v>
      </c>
      <c r="AC204">
        <v>59</v>
      </c>
      <c r="AD204">
        <v>774</v>
      </c>
      <c r="AE204">
        <f t="shared" si="78"/>
        <v>11254</v>
      </c>
      <c r="AF204">
        <v>7357</v>
      </c>
      <c r="AG204">
        <v>38980</v>
      </c>
      <c r="AH204">
        <v>37000</v>
      </c>
      <c r="AI204">
        <f t="shared" si="79"/>
        <v>1980</v>
      </c>
      <c r="AJ204" t="s">
        <v>1123</v>
      </c>
      <c r="AK204">
        <v>13</v>
      </c>
      <c r="AL204">
        <v>1568</v>
      </c>
      <c r="AM204">
        <v>686</v>
      </c>
      <c r="AN204">
        <v>919</v>
      </c>
      <c r="AO204">
        <v>329</v>
      </c>
      <c r="AP204">
        <v>1875</v>
      </c>
      <c r="AQ204">
        <v>626</v>
      </c>
      <c r="AR204">
        <v>321</v>
      </c>
      <c r="AS204">
        <v>86</v>
      </c>
      <c r="AT204">
        <v>234</v>
      </c>
      <c r="AU204">
        <v>217</v>
      </c>
      <c r="AV204">
        <v>1081</v>
      </c>
      <c r="AW204">
        <v>28</v>
      </c>
      <c r="AX204">
        <v>482</v>
      </c>
      <c r="AY204">
        <v>437</v>
      </c>
      <c r="AZ204">
        <v>7409</v>
      </c>
      <c r="BA204">
        <v>77</v>
      </c>
      <c r="BB204">
        <v>990</v>
      </c>
      <c r="BD204">
        <v>113</v>
      </c>
    </row>
    <row r="205" spans="1:56" x14ac:dyDescent="0.25">
      <c r="A205" t="s">
        <v>601</v>
      </c>
      <c r="B205" t="s">
        <v>239</v>
      </c>
      <c r="C205">
        <f t="shared" si="76"/>
        <v>96692</v>
      </c>
      <c r="D205">
        <v>98538</v>
      </c>
      <c r="E205">
        <v>1846</v>
      </c>
      <c r="F205">
        <f t="shared" si="77"/>
        <v>89122</v>
      </c>
      <c r="G205">
        <v>90968</v>
      </c>
      <c r="H205">
        <v>1846</v>
      </c>
      <c r="I205">
        <f t="shared" si="65"/>
        <v>4326</v>
      </c>
      <c r="J205">
        <f t="shared" si="66"/>
        <v>17545</v>
      </c>
      <c r="K205">
        <f t="shared" si="67"/>
        <v>8263</v>
      </c>
      <c r="L205">
        <f t="shared" si="68"/>
        <v>3383</v>
      </c>
      <c r="M205">
        <f t="shared" si="69"/>
        <v>5671</v>
      </c>
      <c r="N205">
        <f t="shared" si="70"/>
        <v>2667</v>
      </c>
      <c r="O205">
        <f t="shared" si="71"/>
        <v>6385</v>
      </c>
      <c r="P205">
        <f t="shared" si="72"/>
        <v>10436</v>
      </c>
      <c r="Q205">
        <f t="shared" si="73"/>
        <v>17522</v>
      </c>
      <c r="R205">
        <f t="shared" si="74"/>
        <v>6278</v>
      </c>
      <c r="S205">
        <f t="shared" si="75"/>
        <v>2809</v>
      </c>
      <c r="U205">
        <v>17996</v>
      </c>
      <c r="V205">
        <v>3880</v>
      </c>
      <c r="W205">
        <v>5379</v>
      </c>
      <c r="X205">
        <v>6000</v>
      </c>
      <c r="Y205">
        <v>4493</v>
      </c>
      <c r="Z205">
        <v>8657</v>
      </c>
      <c r="AA205">
        <v>31247</v>
      </c>
      <c r="AB205">
        <v>9031</v>
      </c>
      <c r="AC205">
        <v>1732</v>
      </c>
      <c r="AD205">
        <v>1046</v>
      </c>
      <c r="AE205">
        <f t="shared" si="78"/>
        <v>19438</v>
      </c>
      <c r="AF205">
        <v>7722</v>
      </c>
      <c r="AG205">
        <v>13164</v>
      </c>
      <c r="AH205">
        <v>9112</v>
      </c>
      <c r="AI205">
        <f t="shared" si="79"/>
        <v>4052</v>
      </c>
      <c r="AJ205" t="s">
        <v>1023</v>
      </c>
      <c r="AK205">
        <v>0</v>
      </c>
      <c r="AL205">
        <v>1243</v>
      </c>
      <c r="AM205">
        <v>739</v>
      </c>
      <c r="AN205">
        <v>705</v>
      </c>
      <c r="AO205">
        <v>657</v>
      </c>
      <c r="AP205">
        <v>1615</v>
      </c>
      <c r="AQ205">
        <v>1478</v>
      </c>
      <c r="AR205">
        <v>348</v>
      </c>
      <c r="AT205">
        <v>329</v>
      </c>
      <c r="AU205">
        <v>437</v>
      </c>
      <c r="AV205">
        <v>801</v>
      </c>
      <c r="AW205">
        <v>101</v>
      </c>
      <c r="AX205">
        <v>396</v>
      </c>
      <c r="AY205">
        <v>885</v>
      </c>
      <c r="AZ205">
        <v>8848</v>
      </c>
      <c r="BA205">
        <v>29</v>
      </c>
      <c r="BB205">
        <v>1887</v>
      </c>
      <c r="BD205">
        <v>1373</v>
      </c>
    </row>
    <row r="206" spans="1:56" x14ac:dyDescent="0.25">
      <c r="A206" t="s">
        <v>601</v>
      </c>
      <c r="B206" t="s">
        <v>240</v>
      </c>
      <c r="C206">
        <f t="shared" si="76"/>
        <v>796012</v>
      </c>
      <c r="D206">
        <v>811166</v>
      </c>
      <c r="E206">
        <v>15154</v>
      </c>
      <c r="F206">
        <f t="shared" si="77"/>
        <v>929171</v>
      </c>
      <c r="G206">
        <v>944325</v>
      </c>
      <c r="H206">
        <v>15154</v>
      </c>
      <c r="I206">
        <f t="shared" si="65"/>
        <v>24352</v>
      </c>
      <c r="J206">
        <f t="shared" si="66"/>
        <v>96677</v>
      </c>
      <c r="K206">
        <f t="shared" si="67"/>
        <v>48554</v>
      </c>
      <c r="L206">
        <f t="shared" si="68"/>
        <v>14046</v>
      </c>
      <c r="M206">
        <f t="shared" si="69"/>
        <v>4261</v>
      </c>
      <c r="N206">
        <f t="shared" si="70"/>
        <v>30250</v>
      </c>
      <c r="O206">
        <f t="shared" si="71"/>
        <v>42441</v>
      </c>
      <c r="P206">
        <f t="shared" si="72"/>
        <v>172775</v>
      </c>
      <c r="Q206">
        <f t="shared" si="73"/>
        <v>199606</v>
      </c>
      <c r="R206">
        <f t="shared" si="74"/>
        <v>28077</v>
      </c>
      <c r="S206">
        <f t="shared" si="75"/>
        <v>10720</v>
      </c>
      <c r="U206">
        <v>96766</v>
      </c>
      <c r="V206">
        <v>18684</v>
      </c>
      <c r="W206">
        <v>44511</v>
      </c>
      <c r="X206">
        <v>5801</v>
      </c>
      <c r="Y206">
        <v>32551</v>
      </c>
      <c r="Z206">
        <v>57410</v>
      </c>
      <c r="AA206">
        <v>396725</v>
      </c>
      <c r="AB206">
        <v>140803</v>
      </c>
      <c r="AC206">
        <v>25375</v>
      </c>
      <c r="AD206">
        <v>16172</v>
      </c>
      <c r="AE206">
        <f t="shared" si="78"/>
        <v>214375</v>
      </c>
      <c r="AF206">
        <v>37800</v>
      </c>
      <c r="AG206">
        <v>120918</v>
      </c>
      <c r="AH206">
        <v>104760</v>
      </c>
      <c r="AI206">
        <f t="shared" si="79"/>
        <v>16158</v>
      </c>
      <c r="AJ206" t="s">
        <v>1024</v>
      </c>
      <c r="AK206">
        <v>1266</v>
      </c>
      <c r="AL206">
        <v>4172</v>
      </c>
      <c r="AM206">
        <v>7545</v>
      </c>
      <c r="AN206">
        <v>2178</v>
      </c>
      <c r="AO206">
        <v>7181</v>
      </c>
      <c r="AP206">
        <v>7788</v>
      </c>
      <c r="AQ206">
        <v>502</v>
      </c>
      <c r="AR206">
        <v>1799</v>
      </c>
      <c r="AS206">
        <v>6</v>
      </c>
      <c r="AT206">
        <v>1534</v>
      </c>
      <c r="AU206">
        <v>4028</v>
      </c>
      <c r="AV206">
        <v>5836</v>
      </c>
      <c r="AW206">
        <v>5</v>
      </c>
      <c r="AX206">
        <v>4633</v>
      </c>
      <c r="AY206">
        <v>1022</v>
      </c>
      <c r="AZ206">
        <v>47190</v>
      </c>
      <c r="BA206">
        <v>2797</v>
      </c>
      <c r="BB206">
        <v>11972</v>
      </c>
      <c r="BD206">
        <v>9575</v>
      </c>
    </row>
    <row r="207" spans="1:56" x14ac:dyDescent="0.25">
      <c r="A207" t="s">
        <v>603</v>
      </c>
      <c r="B207" t="s">
        <v>550</v>
      </c>
      <c r="C207">
        <f t="shared" si="76"/>
        <v>281103</v>
      </c>
      <c r="D207">
        <v>282142</v>
      </c>
      <c r="E207">
        <v>1039</v>
      </c>
      <c r="F207">
        <f t="shared" si="77"/>
        <v>263858</v>
      </c>
      <c r="G207">
        <v>264897</v>
      </c>
      <c r="H207">
        <v>1039</v>
      </c>
      <c r="I207">
        <f t="shared" si="65"/>
        <v>9804</v>
      </c>
      <c r="J207">
        <f t="shared" si="66"/>
        <v>51258</v>
      </c>
      <c r="K207">
        <f t="shared" si="67"/>
        <v>24724</v>
      </c>
      <c r="L207">
        <f t="shared" si="68"/>
        <v>5738</v>
      </c>
      <c r="M207">
        <f t="shared" si="69"/>
        <v>818</v>
      </c>
      <c r="N207">
        <f t="shared" si="70"/>
        <v>5571</v>
      </c>
      <c r="O207">
        <f t="shared" si="71"/>
        <v>14867</v>
      </c>
      <c r="P207">
        <f t="shared" si="72"/>
        <v>51323</v>
      </c>
      <c r="Q207">
        <f t="shared" si="73"/>
        <v>67688</v>
      </c>
      <c r="R207">
        <f t="shared" si="74"/>
        <v>15280</v>
      </c>
      <c r="S207">
        <f t="shared" si="75"/>
        <v>129</v>
      </c>
      <c r="U207">
        <v>49042</v>
      </c>
      <c r="V207">
        <v>7791</v>
      </c>
      <c r="W207">
        <v>19536</v>
      </c>
      <c r="X207">
        <v>1265</v>
      </c>
      <c r="Y207">
        <v>8600</v>
      </c>
      <c r="Z207">
        <v>20570</v>
      </c>
      <c r="AA207">
        <v>134155</v>
      </c>
      <c r="AB207">
        <v>43506</v>
      </c>
      <c r="AC207">
        <v>12638</v>
      </c>
      <c r="AD207">
        <v>4197</v>
      </c>
      <c r="AE207">
        <f t="shared" si="78"/>
        <v>73814</v>
      </c>
      <c r="AF207">
        <v>17878</v>
      </c>
      <c r="AG207">
        <v>23305</v>
      </c>
      <c r="AH207">
        <v>20805</v>
      </c>
      <c r="AI207">
        <f t="shared" si="79"/>
        <v>2500</v>
      </c>
      <c r="AJ207" t="s">
        <v>1292</v>
      </c>
      <c r="AL207">
        <v>2371</v>
      </c>
      <c r="AM207">
        <v>1069</v>
      </c>
      <c r="AN207">
        <v>1529</v>
      </c>
      <c r="AO207">
        <v>1973</v>
      </c>
      <c r="AP207">
        <v>3730</v>
      </c>
      <c r="AQ207">
        <v>1850</v>
      </c>
      <c r="AR207">
        <v>1179</v>
      </c>
      <c r="AT207">
        <v>447</v>
      </c>
      <c r="AU207">
        <v>2451</v>
      </c>
      <c r="AV207">
        <v>2948</v>
      </c>
      <c r="AW207">
        <v>110</v>
      </c>
      <c r="AX207">
        <v>1943</v>
      </c>
      <c r="AY207">
        <v>2168</v>
      </c>
      <c r="AZ207">
        <v>22150</v>
      </c>
      <c r="BA207">
        <v>183</v>
      </c>
      <c r="BB207">
        <v>5943</v>
      </c>
      <c r="BD207">
        <v>9018</v>
      </c>
    </row>
    <row r="208" spans="1:56" x14ac:dyDescent="0.25">
      <c r="A208" t="s">
        <v>602</v>
      </c>
      <c r="B208" t="s">
        <v>751</v>
      </c>
      <c r="C208" s="312">
        <v>137731</v>
      </c>
      <c r="D208">
        <v>0</v>
      </c>
      <c r="E208">
        <v>0</v>
      </c>
      <c r="F208">
        <v>137731</v>
      </c>
      <c r="G208">
        <v>137731</v>
      </c>
      <c r="H208">
        <v>0</v>
      </c>
      <c r="I208">
        <f t="shared" si="65"/>
        <v>0</v>
      </c>
      <c r="J208">
        <f t="shared" si="66"/>
        <v>0</v>
      </c>
      <c r="K208">
        <f t="shared" si="67"/>
        <v>0</v>
      </c>
      <c r="L208">
        <f t="shared" si="68"/>
        <v>0</v>
      </c>
      <c r="M208">
        <f t="shared" si="69"/>
        <v>0</v>
      </c>
      <c r="N208">
        <f t="shared" si="70"/>
        <v>0</v>
      </c>
      <c r="O208">
        <f t="shared" si="71"/>
        <v>0</v>
      </c>
      <c r="P208">
        <f t="shared" si="72"/>
        <v>0</v>
      </c>
      <c r="Q208">
        <f t="shared" si="73"/>
        <v>0</v>
      </c>
      <c r="R208">
        <f t="shared" si="74"/>
        <v>0</v>
      </c>
      <c r="S208">
        <f t="shared" si="75"/>
        <v>0</v>
      </c>
      <c r="AJ208" t="s">
        <v>1309</v>
      </c>
      <c r="AK208">
        <v>0</v>
      </c>
      <c r="AL208">
        <v>0</v>
      </c>
      <c r="AM208">
        <v>0</v>
      </c>
      <c r="AN208">
        <v>0</v>
      </c>
      <c r="AO208">
        <v>0</v>
      </c>
      <c r="AP208">
        <v>0</v>
      </c>
      <c r="AQ208">
        <v>0</v>
      </c>
      <c r="AR208">
        <v>0</v>
      </c>
      <c r="AS208">
        <v>0</v>
      </c>
      <c r="AT208">
        <v>0</v>
      </c>
      <c r="AU208">
        <v>0</v>
      </c>
      <c r="AV208">
        <v>0</v>
      </c>
      <c r="AW208">
        <v>0</v>
      </c>
      <c r="AX208">
        <v>0</v>
      </c>
      <c r="AY208">
        <v>0</v>
      </c>
      <c r="AZ208">
        <v>0</v>
      </c>
      <c r="BA208">
        <v>0</v>
      </c>
      <c r="BB208">
        <v>0</v>
      </c>
      <c r="BD208">
        <v>0</v>
      </c>
    </row>
    <row r="209" spans="1:56" x14ac:dyDescent="0.25">
      <c r="A209" t="s">
        <v>610</v>
      </c>
      <c r="B209" t="s">
        <v>394</v>
      </c>
      <c r="C209">
        <f>SUM(D209,-E209)</f>
        <v>26965</v>
      </c>
      <c r="D209">
        <v>27686</v>
      </c>
      <c r="E209">
        <v>721</v>
      </c>
      <c r="F209">
        <f>SUM(G209,-H209)</f>
        <v>25661</v>
      </c>
      <c r="G209">
        <v>26382</v>
      </c>
      <c r="H209">
        <v>721</v>
      </c>
      <c r="I209">
        <f t="shared" si="65"/>
        <v>1628</v>
      </c>
      <c r="J209">
        <f t="shared" si="66"/>
        <v>4457</v>
      </c>
      <c r="K209">
        <f t="shared" si="67"/>
        <v>4212</v>
      </c>
      <c r="L209">
        <f t="shared" si="68"/>
        <v>835</v>
      </c>
      <c r="M209">
        <f t="shared" si="69"/>
        <v>464</v>
      </c>
      <c r="N209">
        <f t="shared" si="70"/>
        <v>455</v>
      </c>
      <c r="O209">
        <f t="shared" si="71"/>
        <v>957</v>
      </c>
      <c r="P209">
        <f t="shared" si="72"/>
        <v>2903</v>
      </c>
      <c r="Q209">
        <f t="shared" si="73"/>
        <v>4395</v>
      </c>
      <c r="R209">
        <f t="shared" si="74"/>
        <v>1980</v>
      </c>
      <c r="S209">
        <f t="shared" si="75"/>
        <v>503</v>
      </c>
      <c r="U209">
        <v>6993</v>
      </c>
      <c r="V209">
        <v>982</v>
      </c>
      <c r="W209">
        <v>2072</v>
      </c>
      <c r="X209">
        <v>575</v>
      </c>
      <c r="Y209">
        <v>590</v>
      </c>
      <c r="Z209">
        <v>1487</v>
      </c>
      <c r="AA209">
        <v>7691</v>
      </c>
      <c r="AB209">
        <v>2161</v>
      </c>
      <c r="AC209">
        <v>546</v>
      </c>
      <c r="AD209">
        <v>201</v>
      </c>
      <c r="AE209">
        <f>SUM(AA209,-AB209,-AC209,-AD209)</f>
        <v>4783</v>
      </c>
      <c r="AF209">
        <v>2906</v>
      </c>
      <c r="AG209">
        <v>4390</v>
      </c>
      <c r="AH209">
        <v>3332</v>
      </c>
      <c r="AI209">
        <f>SUM(AG209,-AH209)</f>
        <v>1058</v>
      </c>
      <c r="AJ209" t="s">
        <v>1246</v>
      </c>
      <c r="AK209">
        <v>146</v>
      </c>
      <c r="AL209">
        <v>409</v>
      </c>
      <c r="AM209">
        <v>409</v>
      </c>
      <c r="AN209">
        <v>517</v>
      </c>
      <c r="AO209">
        <v>150</v>
      </c>
      <c r="AP209">
        <v>380</v>
      </c>
      <c r="AQ209">
        <v>118</v>
      </c>
      <c r="AR209">
        <v>17</v>
      </c>
      <c r="AS209">
        <v>1</v>
      </c>
      <c r="AT209">
        <v>110</v>
      </c>
      <c r="AU209">
        <v>278</v>
      </c>
      <c r="AV209">
        <v>229</v>
      </c>
      <c r="AW209">
        <v>56</v>
      </c>
      <c r="AX209">
        <v>91</v>
      </c>
      <c r="AY209">
        <v>309</v>
      </c>
      <c r="AZ209">
        <v>2472</v>
      </c>
      <c r="BA209">
        <v>161</v>
      </c>
      <c r="BB209">
        <v>227</v>
      </c>
      <c r="BD209">
        <v>5</v>
      </c>
    </row>
    <row r="210" spans="1:56" x14ac:dyDescent="0.25">
      <c r="A210" t="s">
        <v>598</v>
      </c>
      <c r="B210" t="s">
        <v>137</v>
      </c>
      <c r="C210">
        <f>SUM(D210,-E210)</f>
        <v>96089</v>
      </c>
      <c r="D210">
        <v>96090</v>
      </c>
      <c r="E210">
        <v>1</v>
      </c>
      <c r="F210">
        <f>SUM(G210,-H210)</f>
        <v>90645</v>
      </c>
      <c r="G210">
        <v>90646</v>
      </c>
      <c r="H210">
        <v>1</v>
      </c>
      <c r="I210">
        <f t="shared" si="65"/>
        <v>4397</v>
      </c>
      <c r="J210">
        <f t="shared" si="66"/>
        <v>27825</v>
      </c>
      <c r="K210">
        <f t="shared" si="67"/>
        <v>7410</v>
      </c>
      <c r="L210">
        <f t="shared" si="68"/>
        <v>1570</v>
      </c>
      <c r="M210">
        <f t="shared" si="69"/>
        <v>2783</v>
      </c>
      <c r="N210">
        <f t="shared" si="70"/>
        <v>4030</v>
      </c>
      <c r="O210">
        <f t="shared" si="71"/>
        <v>5544</v>
      </c>
      <c r="P210">
        <f t="shared" si="72"/>
        <v>16018</v>
      </c>
      <c r="Q210">
        <f t="shared" si="73"/>
        <v>14702</v>
      </c>
      <c r="R210">
        <f t="shared" si="74"/>
        <v>5377</v>
      </c>
      <c r="S210">
        <f t="shared" si="75"/>
        <v>1452</v>
      </c>
      <c r="U210">
        <v>16171</v>
      </c>
      <c r="V210">
        <v>1988</v>
      </c>
      <c r="W210">
        <v>4534</v>
      </c>
      <c r="X210">
        <v>3424</v>
      </c>
      <c r="Y210">
        <v>15313</v>
      </c>
      <c r="Z210">
        <v>7820</v>
      </c>
      <c r="AA210">
        <v>32175</v>
      </c>
      <c r="AB210">
        <v>11402</v>
      </c>
      <c r="AC210">
        <v>3344</v>
      </c>
      <c r="AD210">
        <v>1332</v>
      </c>
      <c r="AE210">
        <f>SUM(AA210,-AB210,-AC210,-AD210)</f>
        <v>16097</v>
      </c>
      <c r="AF210">
        <v>9079</v>
      </c>
      <c r="AG210">
        <v>5586</v>
      </c>
      <c r="AH210">
        <v>2728</v>
      </c>
      <c r="AI210">
        <f>SUM(AG210,-AH210)</f>
        <v>2858</v>
      </c>
      <c r="AJ210" t="s">
        <v>1248</v>
      </c>
      <c r="AK210">
        <v>15</v>
      </c>
      <c r="AL210">
        <v>1391</v>
      </c>
      <c r="AM210">
        <v>1637</v>
      </c>
      <c r="AN210">
        <v>2065</v>
      </c>
      <c r="AO210">
        <v>332</v>
      </c>
      <c r="AP210">
        <v>1944</v>
      </c>
      <c r="AQ210">
        <v>1001</v>
      </c>
      <c r="AR210">
        <v>10282</v>
      </c>
      <c r="AS210">
        <v>85</v>
      </c>
      <c r="AT210">
        <v>556</v>
      </c>
      <c r="AU210">
        <v>1240</v>
      </c>
      <c r="AV210">
        <v>1040</v>
      </c>
      <c r="AW210">
        <v>51</v>
      </c>
      <c r="AX210">
        <v>367</v>
      </c>
      <c r="AY210">
        <v>12</v>
      </c>
      <c r="AZ210">
        <v>8749</v>
      </c>
      <c r="BA210">
        <v>24</v>
      </c>
      <c r="BB210">
        <v>1371</v>
      </c>
      <c r="BD210">
        <v>60</v>
      </c>
    </row>
    <row r="211" spans="1:56" x14ac:dyDescent="0.25">
      <c r="A211" t="s">
        <v>605</v>
      </c>
      <c r="B211" t="s">
        <v>497</v>
      </c>
      <c r="C211">
        <f>SUM(D211,-E211)</f>
        <v>127823</v>
      </c>
      <c r="D211">
        <v>138067</v>
      </c>
      <c r="E211">
        <v>10244</v>
      </c>
      <c r="F211">
        <f>SUM(G211,-H211)</f>
        <v>116140</v>
      </c>
      <c r="G211">
        <v>126384</v>
      </c>
      <c r="H211">
        <v>10244</v>
      </c>
      <c r="I211">
        <f t="shared" si="65"/>
        <v>4326</v>
      </c>
      <c r="J211">
        <f t="shared" si="66"/>
        <v>24659</v>
      </c>
      <c r="K211">
        <f t="shared" si="67"/>
        <v>17907</v>
      </c>
      <c r="L211">
        <f t="shared" si="68"/>
        <v>2396</v>
      </c>
      <c r="M211">
        <f t="shared" si="69"/>
        <v>5622</v>
      </c>
      <c r="N211">
        <f t="shared" si="70"/>
        <v>3461</v>
      </c>
      <c r="O211">
        <f t="shared" si="71"/>
        <v>10064</v>
      </c>
      <c r="P211">
        <f t="shared" si="72"/>
        <v>24565</v>
      </c>
      <c r="Q211">
        <f t="shared" si="73"/>
        <v>23894</v>
      </c>
      <c r="R211">
        <f t="shared" si="74"/>
        <v>9116</v>
      </c>
      <c r="S211">
        <f t="shared" si="75"/>
        <v>1169</v>
      </c>
      <c r="U211">
        <v>30646</v>
      </c>
      <c r="V211">
        <v>3133</v>
      </c>
      <c r="W211">
        <v>8439</v>
      </c>
      <c r="X211">
        <v>6102</v>
      </c>
      <c r="Y211">
        <v>5863</v>
      </c>
      <c r="Z211">
        <v>12358</v>
      </c>
      <c r="AA211">
        <v>52538</v>
      </c>
      <c r="AB211">
        <v>16578</v>
      </c>
      <c r="AC211">
        <v>7088</v>
      </c>
      <c r="AD211">
        <v>2511</v>
      </c>
      <c r="AE211">
        <f>SUM(AA211,-AB211,-AC211,-AD211)</f>
        <v>26361</v>
      </c>
      <c r="AF211">
        <v>10812</v>
      </c>
      <c r="AG211">
        <v>8176</v>
      </c>
      <c r="AH211">
        <v>4691</v>
      </c>
      <c r="AI211">
        <f>SUM(AG211,-AH211)</f>
        <v>3485</v>
      </c>
      <c r="AJ211" t="s">
        <v>992</v>
      </c>
      <c r="AK211">
        <v>4</v>
      </c>
      <c r="AL211">
        <v>2312</v>
      </c>
      <c r="AM211">
        <v>411</v>
      </c>
      <c r="AN211">
        <v>1285</v>
      </c>
      <c r="AO211">
        <v>740</v>
      </c>
      <c r="AP211">
        <v>1554</v>
      </c>
      <c r="AQ211">
        <v>1535</v>
      </c>
      <c r="AR211">
        <v>867</v>
      </c>
      <c r="AS211">
        <v>14</v>
      </c>
      <c r="AT211">
        <v>466</v>
      </c>
      <c r="AU211">
        <v>354</v>
      </c>
      <c r="AV211">
        <v>1888</v>
      </c>
      <c r="AW211">
        <v>11</v>
      </c>
      <c r="AX211">
        <v>726</v>
      </c>
      <c r="AY211">
        <v>1257</v>
      </c>
      <c r="AZ211">
        <v>11482</v>
      </c>
      <c r="BB211">
        <v>2467</v>
      </c>
      <c r="BD211">
        <v>1612</v>
      </c>
    </row>
    <row r="212" spans="1:56" x14ac:dyDescent="0.25">
      <c r="A212" t="s">
        <v>603</v>
      </c>
      <c r="B212" t="s">
        <v>365</v>
      </c>
      <c r="C212" s="312">
        <v>117586</v>
      </c>
      <c r="D212">
        <v>0</v>
      </c>
      <c r="E212">
        <v>0</v>
      </c>
      <c r="F212">
        <v>117586</v>
      </c>
      <c r="G212">
        <v>117586</v>
      </c>
      <c r="H212">
        <v>0</v>
      </c>
      <c r="I212">
        <f t="shared" si="65"/>
        <v>0</v>
      </c>
      <c r="J212">
        <f t="shared" si="66"/>
        <v>0</v>
      </c>
      <c r="K212">
        <f t="shared" si="67"/>
        <v>0</v>
      </c>
      <c r="L212">
        <f t="shared" si="68"/>
        <v>0</v>
      </c>
      <c r="M212">
        <f t="shared" si="69"/>
        <v>0</v>
      </c>
      <c r="N212">
        <f t="shared" si="70"/>
        <v>0</v>
      </c>
      <c r="O212">
        <f t="shared" si="71"/>
        <v>0</v>
      </c>
      <c r="P212">
        <f t="shared" si="72"/>
        <v>0</v>
      </c>
      <c r="Q212">
        <f t="shared" si="73"/>
        <v>0</v>
      </c>
      <c r="R212">
        <f t="shared" si="74"/>
        <v>0</v>
      </c>
      <c r="S212">
        <f t="shared" si="75"/>
        <v>0</v>
      </c>
      <c r="U212" t="s">
        <v>843</v>
      </c>
      <c r="V212" t="s">
        <v>843</v>
      </c>
      <c r="W212" t="s">
        <v>843</v>
      </c>
      <c r="X212" t="s">
        <v>843</v>
      </c>
      <c r="Y212" t="s">
        <v>843</v>
      </c>
      <c r="Z212" t="s">
        <v>843</v>
      </c>
      <c r="AA212" t="s">
        <v>843</v>
      </c>
      <c r="AB212" t="s">
        <v>844</v>
      </c>
      <c r="AC212" t="s">
        <v>844</v>
      </c>
      <c r="AD212" t="s">
        <v>844</v>
      </c>
      <c r="AF212" t="s">
        <v>843</v>
      </c>
      <c r="AG212" t="s">
        <v>843</v>
      </c>
      <c r="AH212" t="s">
        <v>844</v>
      </c>
      <c r="AJ212" t="s">
        <v>1124</v>
      </c>
      <c r="AK212">
        <v>0</v>
      </c>
      <c r="AL212">
        <v>0</v>
      </c>
      <c r="AM212">
        <v>0</v>
      </c>
      <c r="AN212">
        <v>0</v>
      </c>
      <c r="AO212">
        <v>0</v>
      </c>
      <c r="AP212">
        <v>0</v>
      </c>
      <c r="AQ212">
        <v>0</v>
      </c>
      <c r="AR212">
        <v>0</v>
      </c>
      <c r="AS212">
        <v>0</v>
      </c>
      <c r="AT212">
        <v>0</v>
      </c>
      <c r="AU212">
        <v>0</v>
      </c>
      <c r="AV212">
        <v>0</v>
      </c>
      <c r="AW212">
        <v>0</v>
      </c>
      <c r="AX212">
        <v>0</v>
      </c>
      <c r="AY212">
        <v>0</v>
      </c>
      <c r="AZ212">
        <v>0</v>
      </c>
      <c r="BA212">
        <v>0</v>
      </c>
      <c r="BB212">
        <v>0</v>
      </c>
      <c r="BD212">
        <v>0</v>
      </c>
    </row>
    <row r="213" spans="1:56" x14ac:dyDescent="0.25">
      <c r="A213" t="s">
        <v>599</v>
      </c>
      <c r="B213" t="s">
        <v>501</v>
      </c>
      <c r="C213">
        <f t="shared" ref="C213:C244" si="80">SUM(D213,-E213)</f>
        <v>58834</v>
      </c>
      <c r="D213">
        <v>70153</v>
      </c>
      <c r="E213">
        <v>11319</v>
      </c>
      <c r="F213">
        <f t="shared" ref="F213:F244" si="81">SUM(G213,-H213)</f>
        <v>58777</v>
      </c>
      <c r="G213">
        <v>70096</v>
      </c>
      <c r="H213">
        <v>11319</v>
      </c>
      <c r="I213">
        <f t="shared" si="65"/>
        <v>1608</v>
      </c>
      <c r="J213">
        <f t="shared" si="66"/>
        <v>6896</v>
      </c>
      <c r="K213">
        <f t="shared" si="67"/>
        <v>19162</v>
      </c>
      <c r="L213">
        <f t="shared" si="68"/>
        <v>1344</v>
      </c>
      <c r="M213">
        <f t="shared" si="69"/>
        <v>268</v>
      </c>
      <c r="N213">
        <f t="shared" si="70"/>
        <v>1453</v>
      </c>
      <c r="O213">
        <f t="shared" si="71"/>
        <v>3149</v>
      </c>
      <c r="P213">
        <f t="shared" si="72"/>
        <v>7584</v>
      </c>
      <c r="Q213">
        <f t="shared" si="73"/>
        <v>9079</v>
      </c>
      <c r="R213">
        <f t="shared" si="74"/>
        <v>3896</v>
      </c>
      <c r="S213">
        <f t="shared" si="75"/>
        <v>831</v>
      </c>
      <c r="U213">
        <v>21849</v>
      </c>
      <c r="V213">
        <v>1880</v>
      </c>
      <c r="W213">
        <v>2951</v>
      </c>
      <c r="X213">
        <v>351</v>
      </c>
      <c r="Y213">
        <v>1917</v>
      </c>
      <c r="Z213">
        <v>4072</v>
      </c>
      <c r="AA213">
        <v>17865</v>
      </c>
      <c r="AB213">
        <v>6091</v>
      </c>
      <c r="AC213">
        <v>1355</v>
      </c>
      <c r="AD213">
        <v>662</v>
      </c>
      <c r="AE213">
        <f t="shared" ref="AE213:AE244" si="82">SUM(AA213,-AB213,-AC213,-AD213)</f>
        <v>9757</v>
      </c>
      <c r="AF213">
        <v>4714</v>
      </c>
      <c r="AG213">
        <v>14554</v>
      </c>
      <c r="AH213">
        <v>12678</v>
      </c>
      <c r="AI213">
        <f t="shared" ref="AI213:AI244" si="83">SUM(AG213,-AH213)</f>
        <v>1876</v>
      </c>
      <c r="AJ213" t="s">
        <v>1181</v>
      </c>
      <c r="AK213">
        <v>132</v>
      </c>
      <c r="AL213">
        <v>913</v>
      </c>
      <c r="AM213">
        <v>367</v>
      </c>
      <c r="AN213">
        <v>451</v>
      </c>
      <c r="AO213">
        <v>431</v>
      </c>
      <c r="AP213">
        <v>492</v>
      </c>
      <c r="AQ213">
        <v>277</v>
      </c>
      <c r="AR213">
        <v>187</v>
      </c>
      <c r="AS213">
        <v>1</v>
      </c>
      <c r="AT213">
        <v>82</v>
      </c>
      <c r="AU213">
        <v>80</v>
      </c>
      <c r="AV213">
        <v>666</v>
      </c>
      <c r="AW213">
        <v>9</v>
      </c>
      <c r="AX213">
        <v>527</v>
      </c>
      <c r="AY213">
        <v>220</v>
      </c>
      <c r="AZ213">
        <v>2467</v>
      </c>
      <c r="BA213">
        <v>91</v>
      </c>
      <c r="BB213">
        <v>587</v>
      </c>
      <c r="BD213">
        <v>524</v>
      </c>
    </row>
    <row r="214" spans="1:56" x14ac:dyDescent="0.25">
      <c r="A214" t="s">
        <v>601</v>
      </c>
      <c r="B214" t="s">
        <v>241</v>
      </c>
      <c r="C214">
        <f t="shared" si="80"/>
        <v>60252</v>
      </c>
      <c r="D214">
        <v>62261</v>
      </c>
      <c r="E214">
        <v>2009</v>
      </c>
      <c r="F214">
        <f t="shared" si="81"/>
        <v>57284</v>
      </c>
      <c r="G214">
        <v>59293</v>
      </c>
      <c r="H214">
        <v>2009</v>
      </c>
      <c r="I214">
        <f t="shared" si="65"/>
        <v>3088</v>
      </c>
      <c r="J214">
        <f t="shared" si="66"/>
        <v>13508</v>
      </c>
      <c r="K214">
        <f t="shared" si="67"/>
        <v>8353</v>
      </c>
      <c r="L214">
        <f t="shared" si="68"/>
        <v>1563</v>
      </c>
      <c r="M214">
        <f t="shared" si="69"/>
        <v>328</v>
      </c>
      <c r="N214">
        <f t="shared" si="70"/>
        <v>2026</v>
      </c>
      <c r="O214">
        <f t="shared" si="71"/>
        <v>3151</v>
      </c>
      <c r="P214">
        <f t="shared" si="72"/>
        <v>8832</v>
      </c>
      <c r="Q214">
        <f t="shared" si="73"/>
        <v>13786</v>
      </c>
      <c r="R214">
        <f t="shared" si="74"/>
        <v>4656</v>
      </c>
      <c r="S214">
        <f t="shared" si="75"/>
        <v>395</v>
      </c>
      <c r="U214">
        <v>15613</v>
      </c>
      <c r="V214">
        <v>2045</v>
      </c>
      <c r="W214">
        <v>3889</v>
      </c>
      <c r="X214">
        <v>755</v>
      </c>
      <c r="Y214">
        <v>2710</v>
      </c>
      <c r="Z214">
        <v>4627</v>
      </c>
      <c r="AA214">
        <v>24963</v>
      </c>
      <c r="AB214">
        <v>5689</v>
      </c>
      <c r="AC214">
        <v>0</v>
      </c>
      <c r="AD214">
        <v>4061</v>
      </c>
      <c r="AE214">
        <f t="shared" si="82"/>
        <v>15213</v>
      </c>
      <c r="AF214">
        <v>5783</v>
      </c>
      <c r="AG214">
        <v>1876</v>
      </c>
      <c r="AH214">
        <v>283</v>
      </c>
      <c r="AI214">
        <f t="shared" si="83"/>
        <v>1593</v>
      </c>
      <c r="AJ214" t="s">
        <v>1040</v>
      </c>
      <c r="AK214">
        <v>11</v>
      </c>
      <c r="AL214">
        <v>1187</v>
      </c>
      <c r="AM214">
        <v>500</v>
      </c>
      <c r="AN214">
        <v>627</v>
      </c>
      <c r="AO214">
        <v>418</v>
      </c>
      <c r="AP214">
        <v>1058</v>
      </c>
      <c r="AQ214">
        <v>567</v>
      </c>
      <c r="AR214">
        <v>117</v>
      </c>
      <c r="AS214">
        <v>14</v>
      </c>
      <c r="AT214">
        <v>413</v>
      </c>
      <c r="AU214">
        <v>589</v>
      </c>
      <c r="AV214">
        <v>1008</v>
      </c>
      <c r="AW214">
        <v>55</v>
      </c>
      <c r="AX214">
        <v>427</v>
      </c>
      <c r="AY214">
        <v>777</v>
      </c>
      <c r="AZ214">
        <v>6483</v>
      </c>
      <c r="BA214">
        <v>157</v>
      </c>
      <c r="BB214">
        <v>1270</v>
      </c>
      <c r="BD214">
        <v>918</v>
      </c>
    </row>
    <row r="215" spans="1:56" x14ac:dyDescent="0.25">
      <c r="A215" t="s">
        <v>603</v>
      </c>
      <c r="B215" t="s">
        <v>367</v>
      </c>
      <c r="C215">
        <f t="shared" si="80"/>
        <v>56143</v>
      </c>
      <c r="D215">
        <v>56695</v>
      </c>
      <c r="E215">
        <v>552</v>
      </c>
      <c r="F215">
        <f t="shared" si="81"/>
        <v>59512</v>
      </c>
      <c r="G215">
        <v>60064</v>
      </c>
      <c r="H215">
        <v>552</v>
      </c>
      <c r="I215">
        <f t="shared" si="65"/>
        <v>3179</v>
      </c>
      <c r="J215">
        <f t="shared" si="66"/>
        <v>10342</v>
      </c>
      <c r="K215">
        <f t="shared" si="67"/>
        <v>5968</v>
      </c>
      <c r="L215">
        <f t="shared" si="68"/>
        <v>1334</v>
      </c>
      <c r="M215">
        <f t="shared" si="69"/>
        <v>421</v>
      </c>
      <c r="N215">
        <f t="shared" si="70"/>
        <v>1923</v>
      </c>
      <c r="O215">
        <f t="shared" si="71"/>
        <v>3078</v>
      </c>
      <c r="P215">
        <f t="shared" si="72"/>
        <v>7215</v>
      </c>
      <c r="Q215">
        <f t="shared" si="73"/>
        <v>9671</v>
      </c>
      <c r="R215">
        <f t="shared" si="74"/>
        <v>4456</v>
      </c>
      <c r="S215">
        <f t="shared" si="75"/>
        <v>1049</v>
      </c>
      <c r="U215">
        <v>11118</v>
      </c>
      <c r="V215">
        <v>1506</v>
      </c>
      <c r="W215">
        <v>2829</v>
      </c>
      <c r="X215">
        <v>464</v>
      </c>
      <c r="Y215">
        <v>3125</v>
      </c>
      <c r="Z215">
        <v>4714</v>
      </c>
      <c r="AA215">
        <v>18540</v>
      </c>
      <c r="AB215">
        <v>6448</v>
      </c>
      <c r="AC215">
        <v>1024</v>
      </c>
      <c r="AD215">
        <v>441</v>
      </c>
      <c r="AE215">
        <f t="shared" si="82"/>
        <v>10627</v>
      </c>
      <c r="AF215">
        <v>5761</v>
      </c>
      <c r="AG215">
        <v>8638</v>
      </c>
      <c r="AH215">
        <v>6267</v>
      </c>
      <c r="AI215">
        <f t="shared" si="83"/>
        <v>2371</v>
      </c>
      <c r="AJ215" t="s">
        <v>1125</v>
      </c>
      <c r="AK215">
        <v>59</v>
      </c>
      <c r="AL215">
        <v>1263</v>
      </c>
      <c r="AM215">
        <v>819</v>
      </c>
      <c r="AN215">
        <v>486</v>
      </c>
      <c r="AO215">
        <v>563</v>
      </c>
      <c r="AP215">
        <v>1073</v>
      </c>
      <c r="AQ215">
        <v>1046</v>
      </c>
      <c r="AR215">
        <v>156</v>
      </c>
      <c r="AS215">
        <v>1</v>
      </c>
      <c r="AT215">
        <v>42</v>
      </c>
      <c r="AU215">
        <v>306</v>
      </c>
      <c r="AV215">
        <v>731</v>
      </c>
      <c r="AW215">
        <v>1</v>
      </c>
      <c r="AX215">
        <v>171</v>
      </c>
      <c r="AY215">
        <v>282</v>
      </c>
      <c r="AZ215">
        <v>4868</v>
      </c>
      <c r="BA215">
        <v>102</v>
      </c>
      <c r="BB215">
        <v>854</v>
      </c>
      <c r="BD215">
        <v>698</v>
      </c>
    </row>
    <row r="216" spans="1:56" x14ac:dyDescent="0.25">
      <c r="A216" t="s">
        <v>599</v>
      </c>
      <c r="B216" t="s">
        <v>440</v>
      </c>
      <c r="C216">
        <f t="shared" si="80"/>
        <v>49577</v>
      </c>
      <c r="D216">
        <v>51105</v>
      </c>
      <c r="E216">
        <v>1528</v>
      </c>
      <c r="F216">
        <f t="shared" si="81"/>
        <v>46217</v>
      </c>
      <c r="G216">
        <v>47745</v>
      </c>
      <c r="H216">
        <v>1528</v>
      </c>
      <c r="I216">
        <f t="shared" si="65"/>
        <v>2008</v>
      </c>
      <c r="J216">
        <f t="shared" si="66"/>
        <v>6914</v>
      </c>
      <c r="K216">
        <f t="shared" si="67"/>
        <v>6241</v>
      </c>
      <c r="L216">
        <f t="shared" si="68"/>
        <v>1075</v>
      </c>
      <c r="M216">
        <f t="shared" si="69"/>
        <v>10116</v>
      </c>
      <c r="N216">
        <f t="shared" si="70"/>
        <v>774</v>
      </c>
      <c r="O216">
        <f t="shared" si="71"/>
        <v>2459</v>
      </c>
      <c r="P216">
        <f t="shared" si="72"/>
        <v>7066</v>
      </c>
      <c r="Q216">
        <f t="shared" si="73"/>
        <v>6254</v>
      </c>
      <c r="R216">
        <f t="shared" si="74"/>
        <v>3221</v>
      </c>
      <c r="S216">
        <f t="shared" si="75"/>
        <v>2074</v>
      </c>
      <c r="U216">
        <v>10120</v>
      </c>
      <c r="V216">
        <v>1172</v>
      </c>
      <c r="W216">
        <v>2626</v>
      </c>
      <c r="X216">
        <v>10307</v>
      </c>
      <c r="Y216">
        <v>1432</v>
      </c>
      <c r="Z216">
        <v>4018</v>
      </c>
      <c r="AA216">
        <v>13861</v>
      </c>
      <c r="AB216">
        <v>3262</v>
      </c>
      <c r="AC216">
        <v>2820</v>
      </c>
      <c r="AD216">
        <v>1017</v>
      </c>
      <c r="AE216">
        <f t="shared" si="82"/>
        <v>6762</v>
      </c>
      <c r="AF216">
        <v>3789</v>
      </c>
      <c r="AG216">
        <v>3780</v>
      </c>
      <c r="AH216">
        <v>1207</v>
      </c>
      <c r="AI216">
        <f t="shared" si="83"/>
        <v>2573</v>
      </c>
      <c r="AJ216" t="s">
        <v>1182</v>
      </c>
      <c r="AL216">
        <v>499</v>
      </c>
      <c r="AM216">
        <v>380</v>
      </c>
      <c r="AN216">
        <v>188</v>
      </c>
      <c r="AO216">
        <v>515</v>
      </c>
      <c r="AP216">
        <v>1044</v>
      </c>
      <c r="AQ216">
        <v>604</v>
      </c>
      <c r="AR216">
        <v>54</v>
      </c>
      <c r="AT216">
        <v>191</v>
      </c>
      <c r="AU216">
        <v>376</v>
      </c>
      <c r="AV216">
        <v>554</v>
      </c>
      <c r="AW216">
        <v>2</v>
      </c>
      <c r="AX216">
        <v>95</v>
      </c>
      <c r="AY216">
        <v>107</v>
      </c>
      <c r="AZ216">
        <v>3772</v>
      </c>
      <c r="BA216">
        <v>24</v>
      </c>
      <c r="BB216">
        <v>484</v>
      </c>
      <c r="BD216">
        <v>33</v>
      </c>
    </row>
    <row r="217" spans="1:56" x14ac:dyDescent="0.25">
      <c r="A217" t="s">
        <v>599</v>
      </c>
      <c r="B217" t="s">
        <v>441</v>
      </c>
      <c r="C217">
        <f t="shared" si="80"/>
        <v>67754</v>
      </c>
      <c r="D217">
        <v>71295</v>
      </c>
      <c r="E217">
        <v>3541</v>
      </c>
      <c r="F217">
        <f t="shared" si="81"/>
        <v>67259</v>
      </c>
      <c r="G217">
        <v>70800</v>
      </c>
      <c r="H217">
        <v>3541</v>
      </c>
      <c r="I217">
        <f t="shared" si="65"/>
        <v>2311</v>
      </c>
      <c r="J217">
        <f t="shared" si="66"/>
        <v>13257</v>
      </c>
      <c r="K217">
        <f t="shared" si="67"/>
        <v>10052</v>
      </c>
      <c r="L217">
        <f t="shared" si="68"/>
        <v>1562</v>
      </c>
      <c r="M217">
        <f t="shared" si="69"/>
        <v>393</v>
      </c>
      <c r="N217">
        <f t="shared" si="70"/>
        <v>2758</v>
      </c>
      <c r="O217">
        <f t="shared" si="71"/>
        <v>6969</v>
      </c>
      <c r="P217">
        <f t="shared" si="72"/>
        <v>8656</v>
      </c>
      <c r="Q217">
        <f t="shared" si="73"/>
        <v>12194</v>
      </c>
      <c r="R217">
        <f t="shared" si="74"/>
        <v>4796</v>
      </c>
      <c r="S217">
        <f t="shared" si="75"/>
        <v>1021</v>
      </c>
      <c r="U217">
        <v>17361</v>
      </c>
      <c r="V217">
        <v>1877</v>
      </c>
      <c r="W217">
        <v>3936</v>
      </c>
      <c r="X217">
        <v>528</v>
      </c>
      <c r="Y217">
        <v>3828</v>
      </c>
      <c r="Z217">
        <v>8685</v>
      </c>
      <c r="AA217">
        <v>22912</v>
      </c>
      <c r="AB217">
        <v>5561</v>
      </c>
      <c r="AC217">
        <v>3297</v>
      </c>
      <c r="AD217">
        <v>691</v>
      </c>
      <c r="AE217">
        <f t="shared" si="82"/>
        <v>13363</v>
      </c>
      <c r="AF217">
        <v>5420</v>
      </c>
      <c r="AG217">
        <v>6748</v>
      </c>
      <c r="AH217">
        <v>4350</v>
      </c>
      <c r="AI217">
        <f t="shared" si="83"/>
        <v>2398</v>
      </c>
      <c r="AJ217" t="s">
        <v>1183</v>
      </c>
      <c r="AL217">
        <v>1377</v>
      </c>
      <c r="AM217">
        <v>238</v>
      </c>
      <c r="AN217">
        <v>386</v>
      </c>
      <c r="AO217">
        <v>452</v>
      </c>
      <c r="AP217">
        <v>1264</v>
      </c>
      <c r="AQ217">
        <v>895</v>
      </c>
      <c r="AR217">
        <v>175</v>
      </c>
      <c r="AT217">
        <v>135</v>
      </c>
      <c r="AU217">
        <v>364</v>
      </c>
      <c r="AV217">
        <v>596</v>
      </c>
      <c r="AW217">
        <v>10</v>
      </c>
      <c r="AX217">
        <v>305</v>
      </c>
      <c r="AY217">
        <v>338</v>
      </c>
      <c r="AZ217">
        <v>6971</v>
      </c>
      <c r="BA217">
        <v>14</v>
      </c>
      <c r="BB217">
        <v>1155</v>
      </c>
      <c r="BD217">
        <v>893</v>
      </c>
    </row>
    <row r="218" spans="1:56" x14ac:dyDescent="0.25">
      <c r="A218" t="s">
        <v>607</v>
      </c>
      <c r="B218" t="s">
        <v>156</v>
      </c>
      <c r="C218">
        <f t="shared" si="80"/>
        <v>141418</v>
      </c>
      <c r="D218">
        <v>142886</v>
      </c>
      <c r="E218">
        <v>1468</v>
      </c>
      <c r="F218">
        <f t="shared" si="81"/>
        <v>138977</v>
      </c>
      <c r="G218">
        <v>140445</v>
      </c>
      <c r="H218">
        <v>1468</v>
      </c>
      <c r="I218">
        <f t="shared" si="65"/>
        <v>5657</v>
      </c>
      <c r="J218">
        <f t="shared" si="66"/>
        <v>23153</v>
      </c>
      <c r="K218">
        <f t="shared" si="67"/>
        <v>15376</v>
      </c>
      <c r="L218">
        <f t="shared" si="68"/>
        <v>2090</v>
      </c>
      <c r="M218">
        <f t="shared" si="69"/>
        <v>900</v>
      </c>
      <c r="N218">
        <f t="shared" si="70"/>
        <v>2980</v>
      </c>
      <c r="O218">
        <f t="shared" si="71"/>
        <v>8195</v>
      </c>
      <c r="P218">
        <f t="shared" si="72"/>
        <v>41778</v>
      </c>
      <c r="Q218">
        <f t="shared" si="73"/>
        <v>28982</v>
      </c>
      <c r="R218">
        <f t="shared" si="74"/>
        <v>6191</v>
      </c>
      <c r="S218">
        <f t="shared" si="75"/>
        <v>3393</v>
      </c>
      <c r="U218">
        <v>27417</v>
      </c>
      <c r="V218">
        <v>2556</v>
      </c>
      <c r="W218">
        <v>6281</v>
      </c>
      <c r="X218">
        <v>1310</v>
      </c>
      <c r="Y218">
        <v>4380</v>
      </c>
      <c r="Z218">
        <v>11694</v>
      </c>
      <c r="AA218">
        <v>74838</v>
      </c>
      <c r="AB218">
        <v>26306</v>
      </c>
      <c r="AC218">
        <v>17590</v>
      </c>
      <c r="AD218">
        <v>0</v>
      </c>
      <c r="AE218">
        <f t="shared" si="82"/>
        <v>30942</v>
      </c>
      <c r="AF218">
        <v>9458</v>
      </c>
      <c r="AG218">
        <v>4952</v>
      </c>
      <c r="AH218">
        <v>284</v>
      </c>
      <c r="AI218">
        <f t="shared" si="83"/>
        <v>4668</v>
      </c>
      <c r="AJ218" t="s">
        <v>1282</v>
      </c>
      <c r="AK218">
        <v>132</v>
      </c>
      <c r="AL218">
        <v>1143</v>
      </c>
      <c r="AM218">
        <v>1688</v>
      </c>
      <c r="AN218">
        <v>1579</v>
      </c>
      <c r="AO218">
        <v>1059</v>
      </c>
      <c r="AP218">
        <v>2440</v>
      </c>
      <c r="AQ218">
        <v>993</v>
      </c>
      <c r="AR218">
        <v>407</v>
      </c>
      <c r="AT218">
        <v>410</v>
      </c>
      <c r="AU218">
        <v>1106</v>
      </c>
      <c r="AV218">
        <v>1268</v>
      </c>
      <c r="AX218">
        <v>466</v>
      </c>
      <c r="AY218">
        <v>622</v>
      </c>
      <c r="AZ218">
        <v>11419</v>
      </c>
      <c r="BA218">
        <v>57</v>
      </c>
      <c r="BB218">
        <v>1903</v>
      </c>
      <c r="BD218">
        <v>2118</v>
      </c>
    </row>
    <row r="219" spans="1:56" x14ac:dyDescent="0.25">
      <c r="A219" t="s">
        <v>601</v>
      </c>
      <c r="B219" t="s">
        <v>242</v>
      </c>
      <c r="C219">
        <f t="shared" si="80"/>
        <v>70197</v>
      </c>
      <c r="D219">
        <v>71439</v>
      </c>
      <c r="E219">
        <v>1242</v>
      </c>
      <c r="F219">
        <f t="shared" si="81"/>
        <v>61496</v>
      </c>
      <c r="G219">
        <v>62738</v>
      </c>
      <c r="H219">
        <v>1242</v>
      </c>
      <c r="I219">
        <f t="shared" si="65"/>
        <v>4079</v>
      </c>
      <c r="J219">
        <f t="shared" si="66"/>
        <v>14638</v>
      </c>
      <c r="K219">
        <f t="shared" si="67"/>
        <v>2778</v>
      </c>
      <c r="L219">
        <f t="shared" si="68"/>
        <v>1536</v>
      </c>
      <c r="M219">
        <f t="shared" si="69"/>
        <v>350</v>
      </c>
      <c r="N219">
        <f t="shared" si="70"/>
        <v>1902</v>
      </c>
      <c r="O219">
        <f t="shared" si="71"/>
        <v>3316</v>
      </c>
      <c r="P219">
        <f t="shared" si="72"/>
        <v>9544</v>
      </c>
      <c r="Q219">
        <f t="shared" si="73"/>
        <v>11513</v>
      </c>
      <c r="R219">
        <f t="shared" si="74"/>
        <v>12515</v>
      </c>
      <c r="S219">
        <f t="shared" si="75"/>
        <v>1777</v>
      </c>
      <c r="U219">
        <v>19914</v>
      </c>
      <c r="V219">
        <v>1610</v>
      </c>
      <c r="W219">
        <v>3474</v>
      </c>
      <c r="X219">
        <v>350</v>
      </c>
      <c r="Y219">
        <v>2567</v>
      </c>
      <c r="Z219">
        <v>3655</v>
      </c>
      <c r="AA219">
        <v>21103</v>
      </c>
      <c r="AB219">
        <v>5912</v>
      </c>
      <c r="AC219">
        <v>3045</v>
      </c>
      <c r="AD219">
        <v>587</v>
      </c>
      <c r="AE219">
        <f t="shared" si="82"/>
        <v>11559</v>
      </c>
      <c r="AF219">
        <v>12793</v>
      </c>
      <c r="AG219">
        <v>5973</v>
      </c>
      <c r="AH219">
        <v>4196</v>
      </c>
      <c r="AI219">
        <f t="shared" si="83"/>
        <v>1777</v>
      </c>
      <c r="AJ219" t="s">
        <v>1025</v>
      </c>
      <c r="AK219">
        <v>0</v>
      </c>
      <c r="AM219">
        <v>278</v>
      </c>
      <c r="AO219">
        <v>339</v>
      </c>
      <c r="AQ219">
        <v>665</v>
      </c>
      <c r="AU219">
        <v>179</v>
      </c>
      <c r="AW219">
        <v>74</v>
      </c>
      <c r="AY219">
        <v>2498</v>
      </c>
      <c r="AZ219">
        <v>14638</v>
      </c>
      <c r="BA219">
        <v>46</v>
      </c>
    </row>
    <row r="220" spans="1:56" x14ac:dyDescent="0.25">
      <c r="A220" t="s">
        <v>604</v>
      </c>
      <c r="B220" t="s">
        <v>197</v>
      </c>
      <c r="C220">
        <f t="shared" si="80"/>
        <v>93655</v>
      </c>
      <c r="D220">
        <v>94578</v>
      </c>
      <c r="E220">
        <v>923</v>
      </c>
      <c r="F220">
        <f t="shared" si="81"/>
        <v>85484</v>
      </c>
      <c r="G220">
        <v>86407</v>
      </c>
      <c r="H220">
        <v>923</v>
      </c>
      <c r="I220">
        <f t="shared" si="65"/>
        <v>4282</v>
      </c>
      <c r="J220">
        <f t="shared" si="66"/>
        <v>18805</v>
      </c>
      <c r="K220">
        <f t="shared" si="67"/>
        <v>5805</v>
      </c>
      <c r="L220">
        <f t="shared" si="68"/>
        <v>2171</v>
      </c>
      <c r="M220">
        <f t="shared" si="69"/>
        <v>728</v>
      </c>
      <c r="N220">
        <f t="shared" si="70"/>
        <v>2404</v>
      </c>
      <c r="O220">
        <f t="shared" si="71"/>
        <v>6361</v>
      </c>
      <c r="P220">
        <f t="shared" si="72"/>
        <v>23696</v>
      </c>
      <c r="Q220">
        <f t="shared" si="73"/>
        <v>16658</v>
      </c>
      <c r="R220">
        <f t="shared" si="74"/>
        <v>5095</v>
      </c>
      <c r="S220">
        <f t="shared" si="75"/>
        <v>813</v>
      </c>
      <c r="U220">
        <v>14113</v>
      </c>
      <c r="V220">
        <v>3276</v>
      </c>
      <c r="W220">
        <v>4524</v>
      </c>
      <c r="X220">
        <v>985</v>
      </c>
      <c r="Y220">
        <v>4470</v>
      </c>
      <c r="Z220">
        <v>9354</v>
      </c>
      <c r="AA220">
        <v>43839</v>
      </c>
      <c r="AB220">
        <v>11379</v>
      </c>
      <c r="AC220">
        <v>12643</v>
      </c>
      <c r="AD220">
        <v>1035</v>
      </c>
      <c r="AE220">
        <f t="shared" si="82"/>
        <v>18782</v>
      </c>
      <c r="AF220">
        <v>6860</v>
      </c>
      <c r="AG220">
        <v>7157</v>
      </c>
      <c r="AH220">
        <v>4543</v>
      </c>
      <c r="AI220">
        <f t="shared" si="83"/>
        <v>2614</v>
      </c>
      <c r="AJ220" t="s">
        <v>993</v>
      </c>
      <c r="AK220">
        <v>104</v>
      </c>
      <c r="AL220">
        <v>1697</v>
      </c>
      <c r="AM220">
        <v>932</v>
      </c>
      <c r="AN220">
        <v>833</v>
      </c>
      <c r="AO220">
        <v>944</v>
      </c>
      <c r="AP220">
        <v>2049</v>
      </c>
      <c r="AQ220">
        <v>1585</v>
      </c>
      <c r="AR220">
        <v>481</v>
      </c>
      <c r="AT220">
        <v>257</v>
      </c>
      <c r="AU220">
        <v>171</v>
      </c>
      <c r="AV220">
        <v>1136</v>
      </c>
      <c r="AW220">
        <v>1</v>
      </c>
      <c r="AX220">
        <v>1104</v>
      </c>
      <c r="AY220">
        <v>404</v>
      </c>
      <c r="AZ220">
        <v>7904</v>
      </c>
      <c r="BA220">
        <v>127</v>
      </c>
      <c r="BB220">
        <v>1997</v>
      </c>
      <c r="BC220">
        <v>14</v>
      </c>
      <c r="BD220">
        <v>1347</v>
      </c>
    </row>
    <row r="221" spans="1:56" x14ac:dyDescent="0.25">
      <c r="A221" t="s">
        <v>604</v>
      </c>
      <c r="B221" t="s">
        <v>198</v>
      </c>
      <c r="C221">
        <f t="shared" si="80"/>
        <v>44299</v>
      </c>
      <c r="D221">
        <v>44675</v>
      </c>
      <c r="E221">
        <v>376</v>
      </c>
      <c r="F221">
        <f t="shared" si="81"/>
        <v>41788</v>
      </c>
      <c r="G221">
        <v>42164</v>
      </c>
      <c r="H221">
        <v>376</v>
      </c>
      <c r="I221">
        <f t="shared" si="65"/>
        <v>1785</v>
      </c>
      <c r="J221">
        <f t="shared" si="66"/>
        <v>8542</v>
      </c>
      <c r="K221">
        <f t="shared" si="67"/>
        <v>4495</v>
      </c>
      <c r="L221">
        <f t="shared" si="68"/>
        <v>1585</v>
      </c>
      <c r="M221">
        <f t="shared" si="69"/>
        <v>651</v>
      </c>
      <c r="N221">
        <f t="shared" si="70"/>
        <v>1422</v>
      </c>
      <c r="O221">
        <f t="shared" si="71"/>
        <v>2552</v>
      </c>
      <c r="P221">
        <f t="shared" si="72"/>
        <v>6026</v>
      </c>
      <c r="Q221">
        <f t="shared" si="73"/>
        <v>8196</v>
      </c>
      <c r="R221">
        <f t="shared" si="74"/>
        <v>3636</v>
      </c>
      <c r="S221">
        <f t="shared" si="75"/>
        <v>427</v>
      </c>
      <c r="U221">
        <v>9535</v>
      </c>
      <c r="V221">
        <v>1793</v>
      </c>
      <c r="W221">
        <v>1857</v>
      </c>
      <c r="X221">
        <v>665</v>
      </c>
      <c r="Y221">
        <v>1977</v>
      </c>
      <c r="Z221">
        <v>3388</v>
      </c>
      <c r="AA221">
        <v>15937</v>
      </c>
      <c r="AB221">
        <v>4415</v>
      </c>
      <c r="AC221">
        <v>1971</v>
      </c>
      <c r="AD221">
        <v>257</v>
      </c>
      <c r="AE221">
        <f t="shared" si="82"/>
        <v>9294</v>
      </c>
      <c r="AF221">
        <v>4111</v>
      </c>
      <c r="AG221">
        <v>5412</v>
      </c>
      <c r="AH221">
        <v>4288</v>
      </c>
      <c r="AI221">
        <f t="shared" si="83"/>
        <v>1124</v>
      </c>
      <c r="AJ221" t="s">
        <v>1271</v>
      </c>
      <c r="AL221">
        <v>697</v>
      </c>
      <c r="AM221">
        <v>361</v>
      </c>
      <c r="AN221">
        <v>114</v>
      </c>
      <c r="AO221">
        <v>192</v>
      </c>
      <c r="AP221">
        <v>644</v>
      </c>
      <c r="AQ221">
        <v>339</v>
      </c>
      <c r="AR221">
        <v>216</v>
      </c>
      <c r="AS221">
        <v>1</v>
      </c>
      <c r="AT221">
        <v>13</v>
      </c>
      <c r="AU221">
        <v>513</v>
      </c>
      <c r="AV221">
        <v>274</v>
      </c>
      <c r="AW221">
        <v>8</v>
      </c>
      <c r="AX221">
        <v>200</v>
      </c>
      <c r="AY221">
        <v>334</v>
      </c>
      <c r="AZ221">
        <v>4706</v>
      </c>
      <c r="BA221">
        <v>37</v>
      </c>
      <c r="BB221">
        <v>1061</v>
      </c>
      <c r="BD221">
        <v>617</v>
      </c>
    </row>
    <row r="222" spans="1:56" x14ac:dyDescent="0.25">
      <c r="A222" t="s">
        <v>604</v>
      </c>
      <c r="B222" t="s">
        <v>199</v>
      </c>
      <c r="C222">
        <f t="shared" si="80"/>
        <v>47764</v>
      </c>
      <c r="D222">
        <v>47764</v>
      </c>
      <c r="E222">
        <v>0</v>
      </c>
      <c r="F222">
        <f t="shared" si="81"/>
        <v>48461</v>
      </c>
      <c r="G222">
        <v>48461</v>
      </c>
      <c r="H222">
        <v>0</v>
      </c>
      <c r="I222">
        <f t="shared" si="65"/>
        <v>1451</v>
      </c>
      <c r="J222">
        <f t="shared" si="66"/>
        <v>4470</v>
      </c>
      <c r="K222">
        <f t="shared" si="67"/>
        <v>6128</v>
      </c>
      <c r="L222">
        <f t="shared" si="68"/>
        <v>2087</v>
      </c>
      <c r="M222">
        <f t="shared" si="69"/>
        <v>464</v>
      </c>
      <c r="N222">
        <f t="shared" si="70"/>
        <v>1729</v>
      </c>
      <c r="O222">
        <f t="shared" si="71"/>
        <v>5102</v>
      </c>
      <c r="P222">
        <f t="shared" si="72"/>
        <v>5735</v>
      </c>
      <c r="Q222">
        <f t="shared" si="73"/>
        <v>8594</v>
      </c>
      <c r="R222">
        <f t="shared" si="74"/>
        <v>4737</v>
      </c>
      <c r="S222">
        <f t="shared" si="75"/>
        <v>1787</v>
      </c>
      <c r="U222">
        <v>7404</v>
      </c>
      <c r="V222">
        <v>2087</v>
      </c>
      <c r="W222">
        <v>2790</v>
      </c>
      <c r="X222">
        <v>465</v>
      </c>
      <c r="Y222">
        <v>2181</v>
      </c>
      <c r="Z222">
        <v>5487</v>
      </c>
      <c r="AA222">
        <v>17749</v>
      </c>
      <c r="AB222">
        <v>4774</v>
      </c>
      <c r="AC222">
        <v>3807</v>
      </c>
      <c r="AD222">
        <v>564</v>
      </c>
      <c r="AE222">
        <f t="shared" si="82"/>
        <v>8604</v>
      </c>
      <c r="AF222">
        <v>4752</v>
      </c>
      <c r="AG222">
        <v>4849</v>
      </c>
      <c r="AH222">
        <v>3029</v>
      </c>
      <c r="AI222">
        <f t="shared" si="83"/>
        <v>1820</v>
      </c>
      <c r="AJ222" t="s">
        <v>994</v>
      </c>
      <c r="AK222">
        <v>33</v>
      </c>
      <c r="AM222">
        <v>15</v>
      </c>
      <c r="AO222">
        <v>385</v>
      </c>
      <c r="AQ222">
        <v>452</v>
      </c>
      <c r="AS222">
        <v>1</v>
      </c>
      <c r="AU222">
        <v>339</v>
      </c>
      <c r="AY222">
        <v>216</v>
      </c>
      <c r="AZ222">
        <v>1060</v>
      </c>
      <c r="BA222">
        <v>10</v>
      </c>
      <c r="BD222">
        <v>3410</v>
      </c>
    </row>
    <row r="223" spans="1:56" x14ac:dyDescent="0.25">
      <c r="A223" t="s">
        <v>601</v>
      </c>
      <c r="B223" t="s">
        <v>243</v>
      </c>
      <c r="C223">
        <f t="shared" si="80"/>
        <v>73545</v>
      </c>
      <c r="D223">
        <v>76595</v>
      </c>
      <c r="E223">
        <v>3050</v>
      </c>
      <c r="F223">
        <f t="shared" si="81"/>
        <v>68045</v>
      </c>
      <c r="G223">
        <v>71095</v>
      </c>
      <c r="H223">
        <v>3050</v>
      </c>
      <c r="I223">
        <f t="shared" si="65"/>
        <v>5546</v>
      </c>
      <c r="J223">
        <f t="shared" si="66"/>
        <v>19255</v>
      </c>
      <c r="K223">
        <f t="shared" si="67"/>
        <v>4234</v>
      </c>
      <c r="L223">
        <f t="shared" si="68"/>
        <v>2165</v>
      </c>
      <c r="M223">
        <f t="shared" si="69"/>
        <v>1064</v>
      </c>
      <c r="N223">
        <f t="shared" si="70"/>
        <v>1976</v>
      </c>
      <c r="O223">
        <f t="shared" si="71"/>
        <v>5123</v>
      </c>
      <c r="P223">
        <f t="shared" si="72"/>
        <v>9080</v>
      </c>
      <c r="Q223">
        <f t="shared" si="73"/>
        <v>18337</v>
      </c>
      <c r="R223">
        <f t="shared" si="74"/>
        <v>6612</v>
      </c>
      <c r="S223">
        <f t="shared" si="75"/>
        <v>1217</v>
      </c>
      <c r="U223">
        <v>16623</v>
      </c>
      <c r="V223">
        <v>2199</v>
      </c>
      <c r="W223">
        <v>3708</v>
      </c>
      <c r="X223">
        <v>1146</v>
      </c>
      <c r="Y223">
        <v>3203</v>
      </c>
      <c r="Z223">
        <v>5627</v>
      </c>
      <c r="AA223">
        <v>34890</v>
      </c>
      <c r="AB223">
        <v>6046</v>
      </c>
      <c r="AC223">
        <v>10101</v>
      </c>
      <c r="AD223">
        <v>325</v>
      </c>
      <c r="AE223">
        <f t="shared" si="82"/>
        <v>18418</v>
      </c>
      <c r="AF223">
        <v>7853</v>
      </c>
      <c r="AG223">
        <v>1346</v>
      </c>
      <c r="AH223">
        <v>87</v>
      </c>
      <c r="AI223">
        <f t="shared" si="83"/>
        <v>1259</v>
      </c>
      <c r="AJ223" t="s">
        <v>1228</v>
      </c>
      <c r="AK223">
        <v>42</v>
      </c>
      <c r="AM223">
        <v>1241</v>
      </c>
      <c r="AO223">
        <v>504</v>
      </c>
      <c r="AQ223">
        <v>1227</v>
      </c>
      <c r="AS223">
        <v>82</v>
      </c>
      <c r="AU223">
        <v>1460</v>
      </c>
      <c r="AV223">
        <v>349</v>
      </c>
      <c r="AW223">
        <v>34</v>
      </c>
      <c r="AY223">
        <v>875</v>
      </c>
      <c r="AZ223">
        <v>11514</v>
      </c>
      <c r="BA223">
        <v>81</v>
      </c>
      <c r="BD223">
        <v>7392</v>
      </c>
    </row>
    <row r="224" spans="1:56" x14ac:dyDescent="0.25">
      <c r="A224" t="s">
        <v>599</v>
      </c>
      <c r="B224" t="s">
        <v>442</v>
      </c>
      <c r="C224">
        <f t="shared" si="80"/>
        <v>158795</v>
      </c>
      <c r="D224">
        <v>169266</v>
      </c>
      <c r="E224">
        <v>10471</v>
      </c>
      <c r="F224">
        <f t="shared" si="81"/>
        <v>168063</v>
      </c>
      <c r="G224">
        <v>178534</v>
      </c>
      <c r="H224">
        <v>10471</v>
      </c>
      <c r="I224">
        <f t="shared" si="65"/>
        <v>13065</v>
      </c>
      <c r="J224">
        <f t="shared" si="66"/>
        <v>28195</v>
      </c>
      <c r="K224">
        <f t="shared" si="67"/>
        <v>21782</v>
      </c>
      <c r="L224">
        <f t="shared" si="68"/>
        <v>3857</v>
      </c>
      <c r="M224">
        <f t="shared" si="69"/>
        <v>996</v>
      </c>
      <c r="N224">
        <f t="shared" si="70"/>
        <v>2595</v>
      </c>
      <c r="O224">
        <f t="shared" si="71"/>
        <v>10537</v>
      </c>
      <c r="P224">
        <f t="shared" si="72"/>
        <v>36365</v>
      </c>
      <c r="Q224">
        <f t="shared" si="73"/>
        <v>21367</v>
      </c>
      <c r="R224">
        <f t="shared" si="74"/>
        <v>8628</v>
      </c>
      <c r="S224">
        <f t="shared" si="75"/>
        <v>335</v>
      </c>
      <c r="U224">
        <v>39761</v>
      </c>
      <c r="V224">
        <v>4912</v>
      </c>
      <c r="W224">
        <v>8522</v>
      </c>
      <c r="X224">
        <v>1498</v>
      </c>
      <c r="Y224">
        <v>3869</v>
      </c>
      <c r="Z224">
        <v>15097</v>
      </c>
      <c r="AA224">
        <v>62505</v>
      </c>
      <c r="AB224">
        <v>20294</v>
      </c>
      <c r="AC224">
        <v>18290</v>
      </c>
      <c r="AD224">
        <v>0</v>
      </c>
      <c r="AE224">
        <f t="shared" si="82"/>
        <v>23921</v>
      </c>
      <c r="AF224">
        <v>12978</v>
      </c>
      <c r="AG224">
        <v>20124</v>
      </c>
      <c r="AH224">
        <v>17286</v>
      </c>
      <c r="AI224">
        <f t="shared" si="83"/>
        <v>2838</v>
      </c>
      <c r="AJ224" t="s">
        <v>1184</v>
      </c>
      <c r="AK224">
        <v>63</v>
      </c>
      <c r="AL224">
        <v>2440</v>
      </c>
      <c r="AM224">
        <v>2121</v>
      </c>
      <c r="AN224">
        <v>2229</v>
      </c>
      <c r="AO224">
        <v>2650</v>
      </c>
      <c r="AP224">
        <v>1910</v>
      </c>
      <c r="AQ224">
        <v>1080</v>
      </c>
      <c r="AR224">
        <v>194</v>
      </c>
      <c r="AS224">
        <v>15</v>
      </c>
      <c r="AT224">
        <v>487</v>
      </c>
      <c r="AU224">
        <v>2377</v>
      </c>
      <c r="AV224">
        <v>1887</v>
      </c>
      <c r="AW224">
        <v>203</v>
      </c>
      <c r="AX224">
        <v>852</v>
      </c>
      <c r="AY224">
        <v>3490</v>
      </c>
      <c r="AZ224">
        <v>14489</v>
      </c>
      <c r="BA224">
        <v>469</v>
      </c>
      <c r="BB224">
        <v>2085</v>
      </c>
      <c r="BC224">
        <v>597</v>
      </c>
      <c r="BD224">
        <v>1622</v>
      </c>
    </row>
    <row r="225" spans="1:56" x14ac:dyDescent="0.25">
      <c r="A225" t="s">
        <v>602</v>
      </c>
      <c r="B225" t="s">
        <v>177</v>
      </c>
      <c r="C225">
        <f t="shared" si="80"/>
        <v>68723</v>
      </c>
      <c r="D225">
        <v>69955</v>
      </c>
      <c r="E225">
        <v>1232</v>
      </c>
      <c r="F225">
        <f t="shared" si="81"/>
        <v>66019</v>
      </c>
      <c r="G225">
        <v>67251</v>
      </c>
      <c r="H225">
        <v>1232</v>
      </c>
      <c r="I225">
        <f t="shared" si="65"/>
        <v>2526</v>
      </c>
      <c r="J225">
        <f t="shared" si="66"/>
        <v>15856</v>
      </c>
      <c r="K225">
        <f t="shared" si="67"/>
        <v>7081</v>
      </c>
      <c r="L225">
        <f t="shared" si="68"/>
        <v>1792</v>
      </c>
      <c r="M225">
        <f t="shared" si="69"/>
        <v>72</v>
      </c>
      <c r="N225">
        <f t="shared" si="70"/>
        <v>1681</v>
      </c>
      <c r="O225">
        <f t="shared" si="71"/>
        <v>3407</v>
      </c>
      <c r="P225">
        <f t="shared" si="72"/>
        <v>14084</v>
      </c>
      <c r="Q225">
        <f t="shared" si="73"/>
        <v>15054</v>
      </c>
      <c r="R225">
        <f t="shared" si="74"/>
        <v>5056</v>
      </c>
      <c r="S225">
        <f t="shared" si="75"/>
        <v>1319</v>
      </c>
      <c r="U225">
        <v>14857</v>
      </c>
      <c r="V225">
        <v>2018</v>
      </c>
      <c r="W225">
        <v>2640</v>
      </c>
      <c r="X225">
        <v>408</v>
      </c>
      <c r="Y225">
        <v>2822</v>
      </c>
      <c r="Z225">
        <v>4740</v>
      </c>
      <c r="AA225">
        <v>33532</v>
      </c>
      <c r="AB225">
        <v>10707</v>
      </c>
      <c r="AC225">
        <v>3890</v>
      </c>
      <c r="AD225">
        <v>980</v>
      </c>
      <c r="AE225">
        <f t="shared" si="82"/>
        <v>17955</v>
      </c>
      <c r="AF225">
        <v>6476</v>
      </c>
      <c r="AG225">
        <v>2462</v>
      </c>
      <c r="AH225">
        <v>213</v>
      </c>
      <c r="AI225">
        <f t="shared" si="83"/>
        <v>2249</v>
      </c>
      <c r="AJ225" t="s">
        <v>969</v>
      </c>
      <c r="AK225">
        <v>68</v>
      </c>
      <c r="AL225">
        <v>862</v>
      </c>
      <c r="AM225">
        <v>679</v>
      </c>
      <c r="AN225">
        <v>741</v>
      </c>
      <c r="AO225">
        <v>305</v>
      </c>
      <c r="AP225">
        <v>1028</v>
      </c>
      <c r="AQ225">
        <v>1013</v>
      </c>
      <c r="AR225">
        <v>128</v>
      </c>
      <c r="AT225">
        <v>336</v>
      </c>
      <c r="AU225">
        <v>69</v>
      </c>
      <c r="AV225">
        <v>757</v>
      </c>
      <c r="AX225">
        <v>226</v>
      </c>
      <c r="AY225">
        <v>352</v>
      </c>
      <c r="AZ225">
        <v>7424</v>
      </c>
      <c r="BA225">
        <v>40</v>
      </c>
      <c r="BB225">
        <v>2861</v>
      </c>
      <c r="BD225">
        <v>1493</v>
      </c>
    </row>
    <row r="226" spans="1:56" x14ac:dyDescent="0.25">
      <c r="A226" t="s">
        <v>600</v>
      </c>
      <c r="B226" t="s">
        <v>316</v>
      </c>
      <c r="C226">
        <f t="shared" si="80"/>
        <v>20095</v>
      </c>
      <c r="D226">
        <v>20457</v>
      </c>
      <c r="E226">
        <v>362</v>
      </c>
      <c r="F226">
        <f t="shared" si="81"/>
        <v>18309</v>
      </c>
      <c r="G226">
        <v>18671</v>
      </c>
      <c r="H226">
        <v>362</v>
      </c>
      <c r="I226">
        <f t="shared" si="65"/>
        <v>1053</v>
      </c>
      <c r="J226">
        <f t="shared" si="66"/>
        <v>730</v>
      </c>
      <c r="K226">
        <f t="shared" si="67"/>
        <v>4700</v>
      </c>
      <c r="L226">
        <f t="shared" si="68"/>
        <v>1056</v>
      </c>
      <c r="M226">
        <f t="shared" si="69"/>
        <v>14</v>
      </c>
      <c r="N226">
        <f t="shared" si="70"/>
        <v>658</v>
      </c>
      <c r="O226">
        <f t="shared" si="71"/>
        <v>1688</v>
      </c>
      <c r="P226">
        <f t="shared" si="72"/>
        <v>2349</v>
      </c>
      <c r="Q226">
        <f t="shared" si="73"/>
        <v>3503</v>
      </c>
      <c r="R226">
        <f t="shared" si="74"/>
        <v>3031</v>
      </c>
      <c r="S226">
        <f t="shared" si="75"/>
        <v>517</v>
      </c>
      <c r="U226">
        <v>5495</v>
      </c>
      <c r="V226">
        <v>1059</v>
      </c>
      <c r="W226">
        <v>1520</v>
      </c>
      <c r="X226">
        <v>14</v>
      </c>
      <c r="Y226">
        <v>731</v>
      </c>
      <c r="Z226">
        <v>1892</v>
      </c>
      <c r="AA226">
        <v>5852</v>
      </c>
      <c r="AB226">
        <v>1790</v>
      </c>
      <c r="AC226">
        <v>477</v>
      </c>
      <c r="AD226">
        <v>82</v>
      </c>
      <c r="AE226">
        <f t="shared" si="82"/>
        <v>3503</v>
      </c>
      <c r="AF226">
        <v>3346</v>
      </c>
      <c r="AG226">
        <v>548</v>
      </c>
      <c r="AH226">
        <v>31</v>
      </c>
      <c r="AI226">
        <f t="shared" si="83"/>
        <v>517</v>
      </c>
      <c r="AJ226" t="s">
        <v>1089</v>
      </c>
      <c r="AM226">
        <v>315</v>
      </c>
      <c r="AO226">
        <v>204</v>
      </c>
      <c r="AQ226">
        <v>73</v>
      </c>
      <c r="AU226">
        <v>393</v>
      </c>
      <c r="AW226">
        <v>3</v>
      </c>
      <c r="AY226">
        <v>65</v>
      </c>
      <c r="AZ226">
        <v>730</v>
      </c>
    </row>
    <row r="227" spans="1:56" x14ac:dyDescent="0.25">
      <c r="A227" t="s">
        <v>600</v>
      </c>
      <c r="B227" t="s">
        <v>317</v>
      </c>
      <c r="C227">
        <f t="shared" si="80"/>
        <v>34703</v>
      </c>
      <c r="D227">
        <v>35003</v>
      </c>
      <c r="E227">
        <v>300</v>
      </c>
      <c r="F227">
        <f t="shared" si="81"/>
        <v>32825</v>
      </c>
      <c r="G227">
        <v>33125</v>
      </c>
      <c r="H227">
        <v>300</v>
      </c>
      <c r="I227">
        <f t="shared" si="65"/>
        <v>4192</v>
      </c>
      <c r="J227">
        <f t="shared" si="66"/>
        <v>6055</v>
      </c>
      <c r="K227">
        <f t="shared" si="67"/>
        <v>4120</v>
      </c>
      <c r="L227">
        <f t="shared" si="68"/>
        <v>817</v>
      </c>
      <c r="M227">
        <f t="shared" si="69"/>
        <v>95</v>
      </c>
      <c r="N227">
        <f t="shared" si="70"/>
        <v>538</v>
      </c>
      <c r="O227">
        <f t="shared" si="71"/>
        <v>1762</v>
      </c>
      <c r="P227">
        <f t="shared" si="72"/>
        <v>3111</v>
      </c>
      <c r="Q227">
        <f t="shared" si="73"/>
        <v>3302</v>
      </c>
      <c r="R227">
        <f t="shared" si="74"/>
        <v>2729</v>
      </c>
      <c r="S227">
        <f t="shared" si="75"/>
        <v>4406</v>
      </c>
      <c r="U227">
        <v>7587</v>
      </c>
      <c r="V227">
        <v>910</v>
      </c>
      <c r="W227">
        <v>1672</v>
      </c>
      <c r="X227">
        <v>126</v>
      </c>
      <c r="Y227">
        <v>739</v>
      </c>
      <c r="Z227">
        <v>2674</v>
      </c>
      <c r="AA227">
        <v>7292</v>
      </c>
      <c r="AB227">
        <v>2145</v>
      </c>
      <c r="AC227">
        <v>1040</v>
      </c>
      <c r="AD227">
        <v>0</v>
      </c>
      <c r="AE227">
        <f t="shared" si="82"/>
        <v>4107</v>
      </c>
      <c r="AF227">
        <v>3076</v>
      </c>
      <c r="AG227">
        <v>10927</v>
      </c>
      <c r="AH227">
        <v>2464</v>
      </c>
      <c r="AI227">
        <f t="shared" si="83"/>
        <v>8463</v>
      </c>
      <c r="AJ227" t="s">
        <v>1090</v>
      </c>
      <c r="AK227">
        <v>3278</v>
      </c>
      <c r="AL227">
        <v>779</v>
      </c>
      <c r="AM227">
        <v>91</v>
      </c>
      <c r="AN227">
        <v>256</v>
      </c>
      <c r="AO227">
        <v>301</v>
      </c>
      <c r="AP227">
        <v>611</v>
      </c>
      <c r="AQ227">
        <v>114</v>
      </c>
      <c r="AR227">
        <v>87</v>
      </c>
      <c r="AT227">
        <v>31</v>
      </c>
      <c r="AU227">
        <v>153</v>
      </c>
      <c r="AV227">
        <v>107</v>
      </c>
      <c r="AX227">
        <v>93</v>
      </c>
      <c r="AY227">
        <v>186</v>
      </c>
      <c r="AZ227">
        <v>3281</v>
      </c>
      <c r="BA227">
        <v>69</v>
      </c>
      <c r="BB227">
        <v>736</v>
      </c>
      <c r="BD227">
        <v>74</v>
      </c>
    </row>
    <row r="228" spans="1:56" x14ac:dyDescent="0.25">
      <c r="A228" t="s">
        <v>602</v>
      </c>
      <c r="B228" t="s">
        <v>178</v>
      </c>
      <c r="C228">
        <f t="shared" si="80"/>
        <v>75257</v>
      </c>
      <c r="D228">
        <v>75558</v>
      </c>
      <c r="E228">
        <v>301</v>
      </c>
      <c r="F228">
        <f t="shared" si="81"/>
        <v>75381</v>
      </c>
      <c r="G228">
        <v>75682</v>
      </c>
      <c r="H228">
        <v>301</v>
      </c>
      <c r="I228">
        <f t="shared" si="65"/>
        <v>3091</v>
      </c>
      <c r="J228">
        <f t="shared" si="66"/>
        <v>14263</v>
      </c>
      <c r="K228">
        <f t="shared" si="67"/>
        <v>4170</v>
      </c>
      <c r="L228">
        <f t="shared" si="68"/>
        <v>1728</v>
      </c>
      <c r="M228">
        <f t="shared" si="69"/>
        <v>1061</v>
      </c>
      <c r="N228">
        <f t="shared" si="70"/>
        <v>1903</v>
      </c>
      <c r="O228">
        <f t="shared" si="71"/>
        <v>4502</v>
      </c>
      <c r="P228">
        <f t="shared" si="72"/>
        <v>16710</v>
      </c>
      <c r="Q228">
        <f t="shared" si="73"/>
        <v>17153</v>
      </c>
      <c r="R228">
        <f t="shared" si="74"/>
        <v>6297</v>
      </c>
      <c r="S228">
        <f t="shared" si="75"/>
        <v>712</v>
      </c>
      <c r="U228">
        <v>10029</v>
      </c>
      <c r="V228">
        <v>1925</v>
      </c>
      <c r="W228">
        <v>3930</v>
      </c>
      <c r="X228">
        <v>1366</v>
      </c>
      <c r="Y228">
        <v>3275</v>
      </c>
      <c r="Z228">
        <v>6796</v>
      </c>
      <c r="AA228">
        <v>38307</v>
      </c>
      <c r="AB228">
        <v>12957</v>
      </c>
      <c r="AC228">
        <v>3834</v>
      </c>
      <c r="AD228">
        <v>1763</v>
      </c>
      <c r="AE228">
        <f t="shared" si="82"/>
        <v>19753</v>
      </c>
      <c r="AF228">
        <v>7360</v>
      </c>
      <c r="AG228">
        <v>2570</v>
      </c>
      <c r="AH228">
        <v>982</v>
      </c>
      <c r="AI228">
        <f t="shared" si="83"/>
        <v>1588</v>
      </c>
      <c r="AJ228" t="s">
        <v>970</v>
      </c>
      <c r="AK228">
        <v>153</v>
      </c>
      <c r="AL228">
        <v>723</v>
      </c>
      <c r="AM228">
        <v>304</v>
      </c>
      <c r="AN228">
        <v>759</v>
      </c>
      <c r="AO228">
        <v>782</v>
      </c>
      <c r="AP228">
        <v>1512</v>
      </c>
      <c r="AQ228">
        <v>825</v>
      </c>
      <c r="AR228">
        <v>547</v>
      </c>
      <c r="AS228">
        <v>53</v>
      </c>
      <c r="AT228">
        <v>252</v>
      </c>
      <c r="AU228">
        <v>254</v>
      </c>
      <c r="AV228">
        <v>690</v>
      </c>
      <c r="AX228">
        <v>197</v>
      </c>
      <c r="AY228">
        <v>670</v>
      </c>
      <c r="AZ228">
        <v>5189</v>
      </c>
      <c r="BA228">
        <v>50</v>
      </c>
      <c r="BB228">
        <v>2550</v>
      </c>
      <c r="BD228">
        <v>1844</v>
      </c>
    </row>
    <row r="229" spans="1:56" x14ac:dyDescent="0.25">
      <c r="A229" t="s">
        <v>599</v>
      </c>
      <c r="B229" t="s">
        <v>443</v>
      </c>
      <c r="C229">
        <f t="shared" si="80"/>
        <v>268227</v>
      </c>
      <c r="D229">
        <v>274323</v>
      </c>
      <c r="E229">
        <v>6096</v>
      </c>
      <c r="F229">
        <f t="shared" si="81"/>
        <v>294324</v>
      </c>
      <c r="G229">
        <v>300420</v>
      </c>
      <c r="H229">
        <v>6096</v>
      </c>
      <c r="I229">
        <f t="shared" si="65"/>
        <v>8806</v>
      </c>
      <c r="J229">
        <f t="shared" si="66"/>
        <v>52134</v>
      </c>
      <c r="K229">
        <f t="shared" si="67"/>
        <v>-3653</v>
      </c>
      <c r="L229">
        <f t="shared" si="68"/>
        <v>7785</v>
      </c>
      <c r="M229">
        <f t="shared" si="69"/>
        <v>1608</v>
      </c>
      <c r="N229">
        <f t="shared" si="70"/>
        <v>6826</v>
      </c>
      <c r="O229">
        <f t="shared" si="71"/>
        <v>21372</v>
      </c>
      <c r="P229">
        <f t="shared" si="72"/>
        <v>58210</v>
      </c>
      <c r="Q229">
        <f t="shared" si="73"/>
        <v>71031</v>
      </c>
      <c r="R229">
        <f t="shared" si="74"/>
        <v>23793</v>
      </c>
      <c r="S229">
        <f t="shared" si="75"/>
        <v>10251</v>
      </c>
      <c r="U229">
        <v>49658</v>
      </c>
      <c r="V229">
        <v>7932</v>
      </c>
      <c r="W229">
        <v>13461</v>
      </c>
      <c r="X229">
        <v>1608</v>
      </c>
      <c r="Y229">
        <v>10026</v>
      </c>
      <c r="Z229">
        <v>23321</v>
      </c>
      <c r="AA229">
        <v>129837</v>
      </c>
      <c r="AB229">
        <v>34860</v>
      </c>
      <c r="AC229">
        <v>18488</v>
      </c>
      <c r="AD229">
        <v>5060</v>
      </c>
      <c r="AE229">
        <f t="shared" si="82"/>
        <v>71429</v>
      </c>
      <c r="AF229">
        <v>24078</v>
      </c>
      <c r="AG229">
        <v>14402</v>
      </c>
      <c r="AH229">
        <v>3896</v>
      </c>
      <c r="AI229">
        <f t="shared" si="83"/>
        <v>10506</v>
      </c>
      <c r="AJ229" t="s">
        <v>1185</v>
      </c>
      <c r="AK229">
        <v>40</v>
      </c>
      <c r="AL229">
        <v>215</v>
      </c>
      <c r="AM229">
        <v>232</v>
      </c>
      <c r="AN229">
        <v>53</v>
      </c>
      <c r="AO229">
        <v>1578</v>
      </c>
      <c r="AP229">
        <v>371</v>
      </c>
      <c r="AQ229">
        <v>2961</v>
      </c>
      <c r="AR229">
        <v>239</v>
      </c>
      <c r="AU229">
        <v>1037</v>
      </c>
      <c r="AV229">
        <v>160</v>
      </c>
      <c r="AW229">
        <v>76</v>
      </c>
      <c r="AX229">
        <v>71</v>
      </c>
      <c r="AY229">
        <v>2537</v>
      </c>
      <c r="AZ229">
        <v>50774</v>
      </c>
      <c r="BA229">
        <v>345</v>
      </c>
      <c r="BB229">
        <v>53</v>
      </c>
      <c r="BD229">
        <v>198</v>
      </c>
    </row>
    <row r="230" spans="1:56" x14ac:dyDescent="0.25">
      <c r="A230" t="s">
        <v>601</v>
      </c>
      <c r="B230" t="s">
        <v>244</v>
      </c>
      <c r="C230">
        <f t="shared" si="80"/>
        <v>100572</v>
      </c>
      <c r="D230">
        <v>101924</v>
      </c>
      <c r="E230">
        <v>1352</v>
      </c>
      <c r="F230">
        <f t="shared" si="81"/>
        <v>92503</v>
      </c>
      <c r="G230">
        <v>93855</v>
      </c>
      <c r="H230">
        <v>1352</v>
      </c>
      <c r="I230">
        <f t="shared" si="65"/>
        <v>7070</v>
      </c>
      <c r="J230">
        <f t="shared" si="66"/>
        <v>19254</v>
      </c>
      <c r="K230">
        <f t="shared" si="67"/>
        <v>7698</v>
      </c>
      <c r="L230">
        <f t="shared" si="68"/>
        <v>2076</v>
      </c>
      <c r="M230">
        <f t="shared" si="69"/>
        <v>1123</v>
      </c>
      <c r="N230">
        <f t="shared" si="70"/>
        <v>2374</v>
      </c>
      <c r="O230">
        <f t="shared" si="71"/>
        <v>6969</v>
      </c>
      <c r="P230">
        <f t="shared" si="72"/>
        <v>17364</v>
      </c>
      <c r="Q230">
        <f t="shared" si="73"/>
        <v>23923</v>
      </c>
      <c r="R230">
        <f t="shared" si="74"/>
        <v>10186</v>
      </c>
      <c r="S230">
        <f t="shared" si="75"/>
        <v>551</v>
      </c>
      <c r="U230">
        <v>19164</v>
      </c>
      <c r="V230">
        <v>2200</v>
      </c>
      <c r="W230">
        <v>6039</v>
      </c>
      <c r="X230">
        <v>1764</v>
      </c>
      <c r="Y230">
        <v>3515</v>
      </c>
      <c r="Z230">
        <v>10749</v>
      </c>
      <c r="AA230">
        <v>43527</v>
      </c>
      <c r="AB230">
        <v>11962</v>
      </c>
      <c r="AC230">
        <v>5120</v>
      </c>
      <c r="AD230">
        <v>666</v>
      </c>
      <c r="AE230">
        <f t="shared" si="82"/>
        <v>25779</v>
      </c>
      <c r="AF230">
        <v>12888</v>
      </c>
      <c r="AG230">
        <v>2078</v>
      </c>
      <c r="AH230">
        <v>178</v>
      </c>
      <c r="AI230">
        <f t="shared" si="83"/>
        <v>1900</v>
      </c>
      <c r="AJ230" t="s">
        <v>1225</v>
      </c>
      <c r="AK230">
        <v>427</v>
      </c>
      <c r="AL230">
        <v>922</v>
      </c>
      <c r="AM230">
        <v>1649</v>
      </c>
      <c r="AN230">
        <v>1053</v>
      </c>
      <c r="AO230">
        <v>1008</v>
      </c>
      <c r="AP230">
        <v>2772</v>
      </c>
      <c r="AQ230">
        <v>704</v>
      </c>
      <c r="AR230">
        <v>437</v>
      </c>
      <c r="AS230">
        <v>32</v>
      </c>
      <c r="AT230">
        <v>609</v>
      </c>
      <c r="AU230">
        <v>1776</v>
      </c>
      <c r="AV230">
        <v>1105</v>
      </c>
      <c r="AW230">
        <v>35</v>
      </c>
      <c r="AX230">
        <v>89</v>
      </c>
      <c r="AY230">
        <v>1435</v>
      </c>
      <c r="AZ230">
        <v>10031</v>
      </c>
      <c r="BA230">
        <v>4</v>
      </c>
      <c r="BB230">
        <v>1852</v>
      </c>
      <c r="BD230">
        <v>384</v>
      </c>
    </row>
    <row r="231" spans="1:56" x14ac:dyDescent="0.25">
      <c r="A231" t="s">
        <v>600</v>
      </c>
      <c r="B231" t="s">
        <v>318</v>
      </c>
      <c r="C231">
        <f t="shared" si="80"/>
        <v>32478</v>
      </c>
      <c r="D231">
        <v>33143</v>
      </c>
      <c r="E231">
        <v>665</v>
      </c>
      <c r="F231">
        <f t="shared" si="81"/>
        <v>31603</v>
      </c>
      <c r="G231">
        <v>32268</v>
      </c>
      <c r="H231">
        <v>665</v>
      </c>
      <c r="I231">
        <f t="shared" si="65"/>
        <v>1293</v>
      </c>
      <c r="J231">
        <f t="shared" si="66"/>
        <v>2970</v>
      </c>
      <c r="K231">
        <f t="shared" si="67"/>
        <v>7413</v>
      </c>
      <c r="L231">
        <f t="shared" si="68"/>
        <v>909</v>
      </c>
      <c r="M231">
        <f t="shared" si="69"/>
        <v>209</v>
      </c>
      <c r="N231">
        <f t="shared" si="70"/>
        <v>742</v>
      </c>
      <c r="O231">
        <f t="shared" si="71"/>
        <v>1794</v>
      </c>
      <c r="P231">
        <f t="shared" si="72"/>
        <v>3680</v>
      </c>
      <c r="Q231">
        <f t="shared" si="73"/>
        <v>5495</v>
      </c>
      <c r="R231">
        <f t="shared" si="74"/>
        <v>3996</v>
      </c>
      <c r="S231">
        <f t="shared" si="75"/>
        <v>3418</v>
      </c>
      <c r="U231">
        <v>8930</v>
      </c>
      <c r="V231">
        <v>1080</v>
      </c>
      <c r="W231">
        <v>1432</v>
      </c>
      <c r="X231">
        <v>209</v>
      </c>
      <c r="Y231">
        <v>1046</v>
      </c>
      <c r="Z231">
        <v>2077</v>
      </c>
      <c r="AA231">
        <v>9547</v>
      </c>
      <c r="AB231">
        <v>3283</v>
      </c>
      <c r="AC231">
        <v>219</v>
      </c>
      <c r="AD231">
        <v>309</v>
      </c>
      <c r="AE231">
        <f t="shared" si="82"/>
        <v>5736</v>
      </c>
      <c r="AF231">
        <v>4642</v>
      </c>
      <c r="AG231">
        <v>4180</v>
      </c>
      <c r="AH231">
        <v>0</v>
      </c>
      <c r="AI231">
        <f t="shared" si="83"/>
        <v>4180</v>
      </c>
      <c r="AJ231" t="s">
        <v>1091</v>
      </c>
      <c r="AL231">
        <v>762</v>
      </c>
      <c r="AM231">
        <v>443</v>
      </c>
      <c r="AN231">
        <v>203</v>
      </c>
      <c r="AO231">
        <v>229</v>
      </c>
      <c r="AP231">
        <v>54</v>
      </c>
      <c r="AQ231">
        <v>197</v>
      </c>
      <c r="AR231">
        <v>107</v>
      </c>
      <c r="AU231">
        <v>82</v>
      </c>
      <c r="AV231">
        <v>126</v>
      </c>
      <c r="AW231">
        <v>7</v>
      </c>
      <c r="AX231">
        <v>164</v>
      </c>
      <c r="AY231">
        <v>334</v>
      </c>
      <c r="AZ231">
        <v>1183</v>
      </c>
      <c r="BA231">
        <v>1</v>
      </c>
      <c r="BB231">
        <v>240</v>
      </c>
      <c r="BD231">
        <v>131</v>
      </c>
    </row>
    <row r="232" spans="1:56" x14ac:dyDescent="0.25">
      <c r="A232" t="s">
        <v>606</v>
      </c>
      <c r="B232" t="s">
        <v>274</v>
      </c>
      <c r="C232">
        <f t="shared" si="80"/>
        <v>23232</v>
      </c>
      <c r="D232">
        <v>23330</v>
      </c>
      <c r="E232">
        <v>98</v>
      </c>
      <c r="F232">
        <f t="shared" si="81"/>
        <v>20280</v>
      </c>
      <c r="G232">
        <v>20378</v>
      </c>
      <c r="H232">
        <v>98</v>
      </c>
      <c r="I232">
        <f t="shared" si="65"/>
        <v>424</v>
      </c>
      <c r="J232">
        <f t="shared" si="66"/>
        <v>576</v>
      </c>
      <c r="K232">
        <f t="shared" si="67"/>
        <v>5870</v>
      </c>
      <c r="L232">
        <f t="shared" si="68"/>
        <v>692</v>
      </c>
      <c r="M232">
        <f t="shared" si="69"/>
        <v>94</v>
      </c>
      <c r="N232">
        <f t="shared" si="70"/>
        <v>592</v>
      </c>
      <c r="O232">
        <f t="shared" si="71"/>
        <v>806</v>
      </c>
      <c r="P232">
        <f t="shared" si="72"/>
        <v>2677</v>
      </c>
      <c r="Q232">
        <f t="shared" si="73"/>
        <v>3274</v>
      </c>
      <c r="R232">
        <f t="shared" si="74"/>
        <v>3286</v>
      </c>
      <c r="S232">
        <f t="shared" si="75"/>
        <v>2281</v>
      </c>
      <c r="U232">
        <v>6466</v>
      </c>
      <c r="V232">
        <v>706</v>
      </c>
      <c r="W232">
        <v>2467</v>
      </c>
      <c r="X232">
        <v>94</v>
      </c>
      <c r="Y232">
        <v>791</v>
      </c>
      <c r="Z232">
        <v>877</v>
      </c>
      <c r="AA232">
        <v>5953</v>
      </c>
      <c r="AB232">
        <v>1793</v>
      </c>
      <c r="AC232">
        <v>557</v>
      </c>
      <c r="AD232">
        <v>327</v>
      </c>
      <c r="AE232">
        <f t="shared" si="82"/>
        <v>3276</v>
      </c>
      <c r="AF232">
        <v>3335</v>
      </c>
      <c r="AG232">
        <v>2641</v>
      </c>
      <c r="AH232">
        <v>360</v>
      </c>
      <c r="AI232">
        <f t="shared" si="83"/>
        <v>2281</v>
      </c>
      <c r="AJ232" t="s">
        <v>1126</v>
      </c>
      <c r="AM232">
        <v>49</v>
      </c>
      <c r="AO232">
        <v>71</v>
      </c>
      <c r="AQ232">
        <v>199</v>
      </c>
      <c r="AU232">
        <v>69</v>
      </c>
      <c r="AW232">
        <v>14</v>
      </c>
      <c r="AY232">
        <v>20</v>
      </c>
      <c r="AZ232">
        <v>576</v>
      </c>
      <c r="BA232">
        <v>2</v>
      </c>
    </row>
    <row r="233" spans="1:56" x14ac:dyDescent="0.25">
      <c r="A233" t="s">
        <v>601</v>
      </c>
      <c r="B233" t="s">
        <v>245</v>
      </c>
      <c r="C233">
        <f t="shared" si="80"/>
        <v>98978</v>
      </c>
      <c r="D233">
        <v>99056</v>
      </c>
      <c r="E233">
        <v>78</v>
      </c>
      <c r="F233">
        <f t="shared" si="81"/>
        <v>96470</v>
      </c>
      <c r="G233">
        <v>96548</v>
      </c>
      <c r="H233">
        <v>78</v>
      </c>
      <c r="I233">
        <f t="shared" si="65"/>
        <v>4755</v>
      </c>
      <c r="J233">
        <f t="shared" si="66"/>
        <v>21996</v>
      </c>
      <c r="K233">
        <f t="shared" si="67"/>
        <v>12428</v>
      </c>
      <c r="L233">
        <f t="shared" si="68"/>
        <v>2499</v>
      </c>
      <c r="M233">
        <f t="shared" si="69"/>
        <v>530</v>
      </c>
      <c r="N233">
        <f t="shared" si="70"/>
        <v>3654</v>
      </c>
      <c r="O233">
        <f t="shared" si="71"/>
        <v>5062</v>
      </c>
      <c r="P233">
        <f t="shared" si="72"/>
        <v>15148</v>
      </c>
      <c r="Q233">
        <f t="shared" si="73"/>
        <v>21847</v>
      </c>
      <c r="R233">
        <f t="shared" si="74"/>
        <v>6810</v>
      </c>
      <c r="S233">
        <f t="shared" si="75"/>
        <v>588</v>
      </c>
      <c r="U233">
        <v>25347</v>
      </c>
      <c r="V233">
        <v>3202</v>
      </c>
      <c r="W233">
        <v>4032</v>
      </c>
      <c r="X233">
        <v>726</v>
      </c>
      <c r="Y233">
        <v>5501</v>
      </c>
      <c r="Z233">
        <v>7272</v>
      </c>
      <c r="AA233">
        <v>41529</v>
      </c>
      <c r="AB233">
        <v>11101</v>
      </c>
      <c r="AC233">
        <v>4492</v>
      </c>
      <c r="AD233">
        <v>903</v>
      </c>
      <c r="AE233">
        <f t="shared" si="82"/>
        <v>25033</v>
      </c>
      <c r="AF233">
        <v>8794</v>
      </c>
      <c r="AG233">
        <v>2653</v>
      </c>
      <c r="AH233">
        <v>599</v>
      </c>
      <c r="AI233">
        <f t="shared" si="83"/>
        <v>2054</v>
      </c>
      <c r="AJ233" t="s">
        <v>1266</v>
      </c>
      <c r="AK233">
        <v>22</v>
      </c>
      <c r="AL233">
        <v>1444</v>
      </c>
      <c r="AM233">
        <v>488</v>
      </c>
      <c r="AN233">
        <v>1496</v>
      </c>
      <c r="AO233">
        <v>344</v>
      </c>
      <c r="AP233">
        <v>1866</v>
      </c>
      <c r="AQ233">
        <v>1659</v>
      </c>
      <c r="AR233">
        <v>188</v>
      </c>
      <c r="AT233">
        <v>196</v>
      </c>
      <c r="AU233">
        <v>398</v>
      </c>
      <c r="AV233">
        <v>494</v>
      </c>
      <c r="AW233">
        <v>21</v>
      </c>
      <c r="AX233">
        <v>682</v>
      </c>
      <c r="AY233">
        <v>1266</v>
      </c>
      <c r="AZ233">
        <v>11653</v>
      </c>
      <c r="BA233">
        <v>557</v>
      </c>
      <c r="BB233">
        <v>2629</v>
      </c>
      <c r="BD233">
        <v>1348</v>
      </c>
    </row>
    <row r="234" spans="1:56" x14ac:dyDescent="0.25">
      <c r="A234" t="s">
        <v>603</v>
      </c>
      <c r="B234" t="s">
        <v>369</v>
      </c>
      <c r="C234">
        <f t="shared" si="80"/>
        <v>87734</v>
      </c>
      <c r="D234">
        <v>89479</v>
      </c>
      <c r="E234">
        <v>1745</v>
      </c>
      <c r="F234">
        <f t="shared" si="81"/>
        <v>80226</v>
      </c>
      <c r="G234">
        <v>81971</v>
      </c>
      <c r="H234">
        <v>1745</v>
      </c>
      <c r="I234">
        <f t="shared" si="65"/>
        <v>2869</v>
      </c>
      <c r="J234">
        <f t="shared" si="66"/>
        <v>12552</v>
      </c>
      <c r="K234">
        <f t="shared" si="67"/>
        <v>10099</v>
      </c>
      <c r="L234">
        <f t="shared" si="68"/>
        <v>2112</v>
      </c>
      <c r="M234">
        <f t="shared" si="69"/>
        <v>1306</v>
      </c>
      <c r="N234">
        <f t="shared" si="70"/>
        <v>1596</v>
      </c>
      <c r="O234">
        <f t="shared" si="71"/>
        <v>5239</v>
      </c>
      <c r="P234">
        <f t="shared" si="72"/>
        <v>13383</v>
      </c>
      <c r="Q234">
        <f t="shared" si="73"/>
        <v>15975</v>
      </c>
      <c r="R234">
        <f t="shared" si="74"/>
        <v>5886</v>
      </c>
      <c r="S234">
        <f t="shared" si="75"/>
        <v>1827</v>
      </c>
      <c r="U234">
        <v>16946</v>
      </c>
      <c r="V234">
        <v>2483</v>
      </c>
      <c r="W234">
        <v>4248</v>
      </c>
      <c r="X234">
        <v>2128</v>
      </c>
      <c r="Y234">
        <v>2455</v>
      </c>
      <c r="Z234">
        <v>7289</v>
      </c>
      <c r="AA234">
        <v>29966</v>
      </c>
      <c r="AB234">
        <v>9638</v>
      </c>
      <c r="AC234">
        <v>2350</v>
      </c>
      <c r="AD234">
        <v>1440</v>
      </c>
      <c r="AE234">
        <f t="shared" si="82"/>
        <v>16538</v>
      </c>
      <c r="AF234">
        <v>7211</v>
      </c>
      <c r="AG234">
        <v>16753</v>
      </c>
      <c r="AH234">
        <v>13485</v>
      </c>
      <c r="AI234">
        <f t="shared" si="83"/>
        <v>3268</v>
      </c>
      <c r="AJ234" t="s">
        <v>1127</v>
      </c>
      <c r="AK234">
        <v>50</v>
      </c>
      <c r="AL234">
        <v>1391</v>
      </c>
      <c r="AM234">
        <v>690</v>
      </c>
      <c r="AN234">
        <v>635</v>
      </c>
      <c r="AO234">
        <v>706</v>
      </c>
      <c r="AP234">
        <v>1344</v>
      </c>
      <c r="AQ234">
        <v>560</v>
      </c>
      <c r="AR234">
        <v>299</v>
      </c>
      <c r="AS234">
        <v>212</v>
      </c>
      <c r="AT234">
        <v>610</v>
      </c>
      <c r="AU234">
        <v>259</v>
      </c>
      <c r="AV234">
        <v>839</v>
      </c>
      <c r="AW234">
        <v>10</v>
      </c>
      <c r="AX234">
        <v>361</v>
      </c>
      <c r="AY234">
        <v>304</v>
      </c>
      <c r="AZ234">
        <v>6543</v>
      </c>
      <c r="BA234">
        <v>78</v>
      </c>
      <c r="BB234">
        <v>485</v>
      </c>
      <c r="BD234">
        <v>45</v>
      </c>
    </row>
    <row r="235" spans="1:56" x14ac:dyDescent="0.25">
      <c r="A235" t="s">
        <v>608</v>
      </c>
      <c r="B235" t="s">
        <v>481</v>
      </c>
      <c r="C235">
        <f t="shared" si="80"/>
        <v>89628</v>
      </c>
      <c r="D235">
        <v>90828</v>
      </c>
      <c r="E235">
        <v>1200</v>
      </c>
      <c r="F235">
        <f t="shared" si="81"/>
        <v>98237</v>
      </c>
      <c r="G235">
        <v>99437</v>
      </c>
      <c r="H235">
        <v>1200</v>
      </c>
      <c r="I235">
        <f t="shared" si="65"/>
        <v>6176</v>
      </c>
      <c r="J235">
        <f t="shared" si="66"/>
        <v>22295</v>
      </c>
      <c r="K235">
        <f t="shared" si="67"/>
        <v>7738</v>
      </c>
      <c r="L235">
        <f t="shared" si="68"/>
        <v>2970</v>
      </c>
      <c r="M235">
        <f t="shared" si="69"/>
        <v>884</v>
      </c>
      <c r="N235">
        <f t="shared" si="70"/>
        <v>2340</v>
      </c>
      <c r="O235">
        <f t="shared" si="71"/>
        <v>5361</v>
      </c>
      <c r="P235">
        <f t="shared" si="72"/>
        <v>17619</v>
      </c>
      <c r="Q235">
        <f t="shared" si="73"/>
        <v>15405</v>
      </c>
      <c r="R235">
        <f t="shared" si="74"/>
        <v>5531</v>
      </c>
      <c r="S235">
        <f t="shared" si="75"/>
        <v>849</v>
      </c>
      <c r="U235">
        <v>17093</v>
      </c>
      <c r="V235">
        <v>3266</v>
      </c>
      <c r="W235">
        <v>4887</v>
      </c>
      <c r="X235">
        <v>1220</v>
      </c>
      <c r="Y235">
        <v>3554</v>
      </c>
      <c r="Z235">
        <v>7568</v>
      </c>
      <c r="AA235">
        <v>38612</v>
      </c>
      <c r="AB235">
        <v>8572</v>
      </c>
      <c r="AC235">
        <v>9365</v>
      </c>
      <c r="AD235">
        <v>1269</v>
      </c>
      <c r="AE235">
        <f t="shared" si="82"/>
        <v>19406</v>
      </c>
      <c r="AF235">
        <v>9844</v>
      </c>
      <c r="AG235">
        <v>4784</v>
      </c>
      <c r="AH235">
        <v>898</v>
      </c>
      <c r="AI235">
        <f t="shared" si="83"/>
        <v>3886</v>
      </c>
      <c r="AJ235" t="s">
        <v>1281</v>
      </c>
      <c r="AK235">
        <v>203</v>
      </c>
      <c r="AL235">
        <v>2834</v>
      </c>
      <c r="AM235">
        <v>2431</v>
      </c>
      <c r="AN235">
        <v>1882</v>
      </c>
      <c r="AO235">
        <v>1012</v>
      </c>
      <c r="AP235">
        <v>1195</v>
      </c>
      <c r="AQ235">
        <v>1062</v>
      </c>
      <c r="AR235">
        <v>152</v>
      </c>
      <c r="AS235">
        <v>11</v>
      </c>
      <c r="AT235">
        <v>325</v>
      </c>
      <c r="AU235">
        <v>1589</v>
      </c>
      <c r="AV235">
        <v>536</v>
      </c>
      <c r="AW235">
        <v>94</v>
      </c>
      <c r="AX235">
        <v>202</v>
      </c>
      <c r="AY235">
        <v>-1353</v>
      </c>
      <c r="AZ235">
        <v>10708</v>
      </c>
      <c r="BA235">
        <v>1110</v>
      </c>
      <c r="BB235">
        <v>2891</v>
      </c>
      <c r="BC235">
        <v>17</v>
      </c>
      <c r="BD235">
        <v>1570</v>
      </c>
    </row>
    <row r="236" spans="1:56" x14ac:dyDescent="0.25">
      <c r="A236" t="s">
        <v>607</v>
      </c>
      <c r="B236" t="s">
        <v>157</v>
      </c>
      <c r="C236">
        <f t="shared" si="80"/>
        <v>41501</v>
      </c>
      <c r="D236">
        <v>41584</v>
      </c>
      <c r="E236">
        <v>83</v>
      </c>
      <c r="F236">
        <f t="shared" si="81"/>
        <v>41238</v>
      </c>
      <c r="G236">
        <v>41321</v>
      </c>
      <c r="H236">
        <v>83</v>
      </c>
      <c r="I236">
        <f t="shared" si="65"/>
        <v>1169</v>
      </c>
      <c r="J236">
        <f t="shared" si="66"/>
        <v>741</v>
      </c>
      <c r="K236">
        <f t="shared" si="67"/>
        <v>3537</v>
      </c>
      <c r="L236">
        <f t="shared" si="68"/>
        <v>1295</v>
      </c>
      <c r="M236">
        <f t="shared" si="69"/>
        <v>203</v>
      </c>
      <c r="N236">
        <f t="shared" si="70"/>
        <v>1529</v>
      </c>
      <c r="O236">
        <f t="shared" si="71"/>
        <v>2353</v>
      </c>
      <c r="P236">
        <f t="shared" si="72"/>
        <v>16142</v>
      </c>
      <c r="Q236">
        <f t="shared" si="73"/>
        <v>9509</v>
      </c>
      <c r="R236">
        <f t="shared" si="74"/>
        <v>2734</v>
      </c>
      <c r="S236">
        <f t="shared" si="75"/>
        <v>1082</v>
      </c>
      <c r="U236">
        <v>4388</v>
      </c>
      <c r="V236">
        <v>1295</v>
      </c>
      <c r="W236">
        <v>1416</v>
      </c>
      <c r="X236">
        <v>203</v>
      </c>
      <c r="Y236">
        <v>1829</v>
      </c>
      <c r="Z236">
        <v>2445</v>
      </c>
      <c r="AA236">
        <v>25675</v>
      </c>
      <c r="AB236">
        <v>8770</v>
      </c>
      <c r="AC236">
        <v>7372</v>
      </c>
      <c r="AD236">
        <v>0</v>
      </c>
      <c r="AE236">
        <f t="shared" si="82"/>
        <v>9533</v>
      </c>
      <c r="AF236">
        <v>3078</v>
      </c>
      <c r="AG236">
        <v>1255</v>
      </c>
      <c r="AH236">
        <v>0</v>
      </c>
      <c r="AI236">
        <f t="shared" si="83"/>
        <v>1255</v>
      </c>
      <c r="AJ236" t="s">
        <v>1165</v>
      </c>
      <c r="AK236">
        <v>173</v>
      </c>
      <c r="AM236">
        <v>344</v>
      </c>
      <c r="AO236">
        <v>92</v>
      </c>
      <c r="AQ236">
        <v>300</v>
      </c>
      <c r="AU236">
        <v>126</v>
      </c>
      <c r="AY236">
        <v>110</v>
      </c>
      <c r="AZ236">
        <v>741</v>
      </c>
      <c r="BA236">
        <v>24</v>
      </c>
    </row>
    <row r="237" spans="1:56" x14ac:dyDescent="0.25">
      <c r="A237" t="s">
        <v>603</v>
      </c>
      <c r="B237" t="s">
        <v>370</v>
      </c>
      <c r="C237">
        <f t="shared" si="80"/>
        <v>150672</v>
      </c>
      <c r="D237">
        <v>161776</v>
      </c>
      <c r="E237">
        <v>11104</v>
      </c>
      <c r="F237">
        <f t="shared" si="81"/>
        <v>134591</v>
      </c>
      <c r="G237">
        <v>145695</v>
      </c>
      <c r="H237">
        <v>11104</v>
      </c>
      <c r="I237">
        <f t="shared" si="65"/>
        <v>7390</v>
      </c>
      <c r="J237">
        <f t="shared" si="66"/>
        <v>24212</v>
      </c>
      <c r="K237">
        <f t="shared" si="67"/>
        <v>16957</v>
      </c>
      <c r="L237">
        <f t="shared" si="68"/>
        <v>3519</v>
      </c>
      <c r="M237">
        <f t="shared" si="69"/>
        <v>7615</v>
      </c>
      <c r="N237">
        <f t="shared" si="70"/>
        <v>4258</v>
      </c>
      <c r="O237">
        <f t="shared" si="71"/>
        <v>6671</v>
      </c>
      <c r="P237">
        <f t="shared" si="72"/>
        <v>11176</v>
      </c>
      <c r="Q237">
        <f t="shared" si="73"/>
        <v>17812</v>
      </c>
      <c r="R237">
        <f t="shared" si="74"/>
        <v>10541</v>
      </c>
      <c r="S237">
        <f t="shared" si="75"/>
        <v>1173</v>
      </c>
      <c r="U237">
        <v>31522</v>
      </c>
      <c r="V237">
        <v>4338</v>
      </c>
      <c r="W237">
        <v>7478</v>
      </c>
      <c r="X237">
        <v>8217</v>
      </c>
      <c r="Y237">
        <v>6521</v>
      </c>
      <c r="Z237">
        <v>8871</v>
      </c>
      <c r="AA237">
        <v>32262</v>
      </c>
      <c r="AB237">
        <v>9402</v>
      </c>
      <c r="AC237">
        <v>1951</v>
      </c>
      <c r="AD237">
        <v>973</v>
      </c>
      <c r="AE237">
        <f t="shared" si="82"/>
        <v>19936</v>
      </c>
      <c r="AF237">
        <v>13359</v>
      </c>
      <c r="AG237">
        <v>49208</v>
      </c>
      <c r="AH237">
        <v>46371</v>
      </c>
      <c r="AI237">
        <f t="shared" si="83"/>
        <v>2837</v>
      </c>
      <c r="AJ237" t="s">
        <v>1291</v>
      </c>
      <c r="AK237">
        <v>1</v>
      </c>
      <c r="AL237">
        <v>1663</v>
      </c>
      <c r="AM237">
        <v>1723</v>
      </c>
      <c r="AN237">
        <v>1095</v>
      </c>
      <c r="AO237">
        <v>1391</v>
      </c>
      <c r="AP237">
        <v>809</v>
      </c>
      <c r="AQ237">
        <v>1728</v>
      </c>
      <c r="AR237">
        <v>535</v>
      </c>
      <c r="AT237">
        <v>602</v>
      </c>
      <c r="AU237">
        <v>706</v>
      </c>
      <c r="AV237">
        <v>2691</v>
      </c>
      <c r="AX237">
        <v>819</v>
      </c>
      <c r="AY237">
        <v>1834</v>
      </c>
      <c r="AZ237">
        <v>12731</v>
      </c>
      <c r="BA237">
        <v>7</v>
      </c>
      <c r="BB237">
        <v>2117</v>
      </c>
      <c r="BD237">
        <v>1150</v>
      </c>
    </row>
    <row r="238" spans="1:56" x14ac:dyDescent="0.25">
      <c r="A238" t="s">
        <v>600</v>
      </c>
      <c r="B238" t="s">
        <v>319</v>
      </c>
      <c r="C238">
        <f t="shared" si="80"/>
        <v>237751</v>
      </c>
      <c r="D238">
        <v>239851</v>
      </c>
      <c r="E238">
        <v>2100</v>
      </c>
      <c r="F238">
        <f t="shared" si="81"/>
        <v>234227</v>
      </c>
      <c r="G238">
        <v>236327</v>
      </c>
      <c r="H238">
        <v>2100</v>
      </c>
      <c r="I238">
        <f t="shared" si="65"/>
        <v>12962</v>
      </c>
      <c r="J238">
        <f t="shared" si="66"/>
        <v>49294</v>
      </c>
      <c r="K238">
        <f t="shared" si="67"/>
        <v>16220</v>
      </c>
      <c r="L238">
        <f t="shared" si="68"/>
        <v>6656</v>
      </c>
      <c r="M238">
        <f t="shared" si="69"/>
        <v>7387</v>
      </c>
      <c r="N238">
        <f t="shared" si="70"/>
        <v>6214</v>
      </c>
      <c r="O238">
        <f t="shared" si="71"/>
        <v>16498</v>
      </c>
      <c r="P238">
        <f t="shared" si="72"/>
        <v>39420</v>
      </c>
      <c r="Q238">
        <f t="shared" si="73"/>
        <v>50602</v>
      </c>
      <c r="R238">
        <f t="shared" si="74"/>
        <v>12831</v>
      </c>
      <c r="S238">
        <f t="shared" si="75"/>
        <v>6594</v>
      </c>
      <c r="U238">
        <v>38357</v>
      </c>
      <c r="V238">
        <v>7973</v>
      </c>
      <c r="W238">
        <v>12212</v>
      </c>
      <c r="X238">
        <v>7696</v>
      </c>
      <c r="Y238">
        <v>10012</v>
      </c>
      <c r="Z238">
        <v>22393</v>
      </c>
      <c r="AA238">
        <v>102248</v>
      </c>
      <c r="AB238">
        <v>33679</v>
      </c>
      <c r="AC238">
        <v>10970</v>
      </c>
      <c r="AD238">
        <v>1317</v>
      </c>
      <c r="AE238">
        <f t="shared" si="82"/>
        <v>56282</v>
      </c>
      <c r="AF238">
        <v>20028</v>
      </c>
      <c r="AG238">
        <v>18932</v>
      </c>
      <c r="AH238">
        <v>9575</v>
      </c>
      <c r="AI238">
        <f t="shared" si="83"/>
        <v>9357</v>
      </c>
      <c r="AJ238" t="s">
        <v>1092</v>
      </c>
      <c r="AL238">
        <v>2763</v>
      </c>
      <c r="AM238">
        <v>1696</v>
      </c>
      <c r="AN238">
        <v>5501</v>
      </c>
      <c r="AO238">
        <v>2968</v>
      </c>
      <c r="AP238">
        <v>2927</v>
      </c>
      <c r="AQ238">
        <v>2859</v>
      </c>
      <c r="AR238">
        <v>939</v>
      </c>
      <c r="AS238">
        <v>8</v>
      </c>
      <c r="AT238">
        <v>301</v>
      </c>
      <c r="AU238">
        <v>2078</v>
      </c>
      <c r="AV238">
        <v>4536</v>
      </c>
      <c r="AW238">
        <v>130</v>
      </c>
      <c r="AX238">
        <v>1187</v>
      </c>
      <c r="AY238">
        <v>2470</v>
      </c>
      <c r="AZ238">
        <v>19667</v>
      </c>
      <c r="BA238">
        <v>753</v>
      </c>
      <c r="BB238">
        <v>4927</v>
      </c>
      <c r="BD238">
        <v>6546</v>
      </c>
    </row>
    <row r="239" spans="1:56" x14ac:dyDescent="0.25">
      <c r="A239" t="s">
        <v>601</v>
      </c>
      <c r="B239" t="s">
        <v>246</v>
      </c>
      <c r="C239">
        <f t="shared" si="80"/>
        <v>53954</v>
      </c>
      <c r="D239">
        <v>55288</v>
      </c>
      <c r="E239">
        <v>1334</v>
      </c>
      <c r="F239">
        <f t="shared" si="81"/>
        <v>48157</v>
      </c>
      <c r="G239">
        <v>49491</v>
      </c>
      <c r="H239">
        <v>1334</v>
      </c>
      <c r="I239">
        <f t="shared" si="65"/>
        <v>4173</v>
      </c>
      <c r="J239">
        <f t="shared" si="66"/>
        <v>11055</v>
      </c>
      <c r="K239">
        <f t="shared" si="67"/>
        <v>4647</v>
      </c>
      <c r="L239">
        <f t="shared" si="68"/>
        <v>1211</v>
      </c>
      <c r="M239">
        <f t="shared" si="69"/>
        <v>238</v>
      </c>
      <c r="N239">
        <f t="shared" si="70"/>
        <v>1618</v>
      </c>
      <c r="O239">
        <f t="shared" si="71"/>
        <v>2772</v>
      </c>
      <c r="P239">
        <f t="shared" si="72"/>
        <v>6619</v>
      </c>
      <c r="Q239">
        <f t="shared" si="73"/>
        <v>11843</v>
      </c>
      <c r="R239">
        <f t="shared" si="74"/>
        <v>3769</v>
      </c>
      <c r="S239">
        <f t="shared" si="75"/>
        <v>407</v>
      </c>
      <c r="U239">
        <v>11497</v>
      </c>
      <c r="V239">
        <v>1569</v>
      </c>
      <c r="W239">
        <v>2783</v>
      </c>
      <c r="X239">
        <v>361</v>
      </c>
      <c r="Y239">
        <v>2233</v>
      </c>
      <c r="Z239">
        <v>3872</v>
      </c>
      <c r="AA239">
        <v>20103</v>
      </c>
      <c r="AB239">
        <v>4601</v>
      </c>
      <c r="AC239">
        <v>1944</v>
      </c>
      <c r="AD239">
        <v>537</v>
      </c>
      <c r="AE239">
        <f t="shared" si="82"/>
        <v>13021</v>
      </c>
      <c r="AF239">
        <v>5696</v>
      </c>
      <c r="AG239">
        <v>7174</v>
      </c>
      <c r="AH239">
        <v>5600</v>
      </c>
      <c r="AI239">
        <f t="shared" si="83"/>
        <v>1574</v>
      </c>
      <c r="AJ239" t="s">
        <v>1026</v>
      </c>
      <c r="AK239">
        <v>11</v>
      </c>
      <c r="AL239">
        <v>1156</v>
      </c>
      <c r="AM239">
        <v>919</v>
      </c>
      <c r="AN239">
        <v>1008</v>
      </c>
      <c r="AO239">
        <v>569</v>
      </c>
      <c r="AP239">
        <v>531</v>
      </c>
      <c r="AQ239">
        <v>544</v>
      </c>
      <c r="AR239">
        <v>71</v>
      </c>
      <c r="AS239">
        <v>21</v>
      </c>
      <c r="AT239">
        <v>102</v>
      </c>
      <c r="AU239">
        <v>785</v>
      </c>
      <c r="AV239">
        <v>662</v>
      </c>
      <c r="AW239">
        <v>20</v>
      </c>
      <c r="AX239">
        <v>338</v>
      </c>
      <c r="AY239">
        <v>1297</v>
      </c>
      <c r="AZ239">
        <v>5553</v>
      </c>
      <c r="BA239">
        <v>7</v>
      </c>
      <c r="BB239">
        <v>1171</v>
      </c>
      <c r="BD239">
        <v>463</v>
      </c>
    </row>
    <row r="240" spans="1:56" x14ac:dyDescent="0.25">
      <c r="A240" t="s">
        <v>604</v>
      </c>
      <c r="B240" t="s">
        <v>200</v>
      </c>
      <c r="C240">
        <f t="shared" si="80"/>
        <v>88588</v>
      </c>
      <c r="D240">
        <v>91231</v>
      </c>
      <c r="E240">
        <v>2643</v>
      </c>
      <c r="F240">
        <f t="shared" si="81"/>
        <v>76345</v>
      </c>
      <c r="G240">
        <v>78988</v>
      </c>
      <c r="H240">
        <v>2643</v>
      </c>
      <c r="I240">
        <f t="shared" si="65"/>
        <v>4001</v>
      </c>
      <c r="J240">
        <f t="shared" si="66"/>
        <v>15563</v>
      </c>
      <c r="K240">
        <f t="shared" si="67"/>
        <v>9416</v>
      </c>
      <c r="L240">
        <f t="shared" si="68"/>
        <v>2610</v>
      </c>
      <c r="M240">
        <f t="shared" si="69"/>
        <v>1504</v>
      </c>
      <c r="N240">
        <f t="shared" si="70"/>
        <v>3077</v>
      </c>
      <c r="O240">
        <f t="shared" si="71"/>
        <v>6082</v>
      </c>
      <c r="P240">
        <f t="shared" si="72"/>
        <v>12558</v>
      </c>
      <c r="Q240">
        <f t="shared" si="73"/>
        <v>17389</v>
      </c>
      <c r="R240">
        <f t="shared" si="74"/>
        <v>7020</v>
      </c>
      <c r="S240">
        <f t="shared" si="75"/>
        <v>970</v>
      </c>
      <c r="U240">
        <v>16819</v>
      </c>
      <c r="V240">
        <v>3141</v>
      </c>
      <c r="W240">
        <v>4953</v>
      </c>
      <c r="X240">
        <v>1698</v>
      </c>
      <c r="Y240">
        <v>4419</v>
      </c>
      <c r="Z240">
        <v>8184</v>
      </c>
      <c r="AA240">
        <v>32897</v>
      </c>
      <c r="AB240">
        <v>8356</v>
      </c>
      <c r="AC240">
        <v>5105</v>
      </c>
      <c r="AD240">
        <v>446</v>
      </c>
      <c r="AE240">
        <f t="shared" si="82"/>
        <v>18990</v>
      </c>
      <c r="AF240">
        <v>8787</v>
      </c>
      <c r="AG240">
        <v>10333</v>
      </c>
      <c r="AH240">
        <v>7600</v>
      </c>
      <c r="AI240">
        <f t="shared" si="83"/>
        <v>2733</v>
      </c>
      <c r="AJ240" t="s">
        <v>995</v>
      </c>
      <c r="AK240">
        <v>1</v>
      </c>
      <c r="AL240">
        <v>1762</v>
      </c>
      <c r="AM240">
        <v>965</v>
      </c>
      <c r="AN240">
        <v>802</v>
      </c>
      <c r="AO240">
        <v>981</v>
      </c>
      <c r="AP240">
        <v>1121</v>
      </c>
      <c r="AQ240">
        <v>1083</v>
      </c>
      <c r="AR240">
        <v>259</v>
      </c>
      <c r="AS240">
        <v>2</v>
      </c>
      <c r="AT240">
        <v>192</v>
      </c>
      <c r="AU240">
        <v>363</v>
      </c>
      <c r="AV240">
        <v>1149</v>
      </c>
      <c r="AW240">
        <v>49</v>
      </c>
      <c r="AX240">
        <v>482</v>
      </c>
      <c r="AY240">
        <v>556</v>
      </c>
      <c r="AZ240">
        <v>6847</v>
      </c>
      <c r="BA240">
        <v>1</v>
      </c>
      <c r="BB240">
        <v>1600</v>
      </c>
      <c r="BD240">
        <v>1349</v>
      </c>
    </row>
    <row r="241" spans="1:56" x14ac:dyDescent="0.25">
      <c r="A241" t="s">
        <v>610</v>
      </c>
      <c r="B241" t="s">
        <v>395</v>
      </c>
      <c r="C241">
        <f t="shared" si="80"/>
        <v>49840</v>
      </c>
      <c r="D241">
        <v>51145</v>
      </c>
      <c r="E241">
        <v>1305</v>
      </c>
      <c r="F241">
        <f t="shared" si="81"/>
        <v>47934</v>
      </c>
      <c r="G241">
        <v>49239</v>
      </c>
      <c r="H241">
        <v>1305</v>
      </c>
      <c r="I241">
        <f t="shared" si="65"/>
        <v>2960</v>
      </c>
      <c r="J241">
        <f t="shared" si="66"/>
        <v>8608</v>
      </c>
      <c r="K241">
        <f t="shared" si="67"/>
        <v>5237</v>
      </c>
      <c r="L241">
        <f t="shared" si="68"/>
        <v>1611</v>
      </c>
      <c r="M241">
        <f t="shared" si="69"/>
        <v>432</v>
      </c>
      <c r="N241">
        <f t="shared" si="70"/>
        <v>2121</v>
      </c>
      <c r="O241">
        <f t="shared" si="71"/>
        <v>2498</v>
      </c>
      <c r="P241">
        <f t="shared" si="72"/>
        <v>6591</v>
      </c>
      <c r="Q241">
        <f t="shared" si="73"/>
        <v>10969</v>
      </c>
      <c r="R241">
        <f t="shared" si="74"/>
        <v>5270</v>
      </c>
      <c r="S241">
        <f t="shared" si="75"/>
        <v>434</v>
      </c>
      <c r="U241">
        <v>9714</v>
      </c>
      <c r="V241">
        <v>1937</v>
      </c>
      <c r="W241">
        <v>4136</v>
      </c>
      <c r="X241">
        <v>574</v>
      </c>
      <c r="Y241">
        <v>2985</v>
      </c>
      <c r="Z241">
        <v>3958</v>
      </c>
      <c r="AA241">
        <v>18278</v>
      </c>
      <c r="AB241">
        <v>4775</v>
      </c>
      <c r="AC241">
        <v>1353</v>
      </c>
      <c r="AD241">
        <v>463</v>
      </c>
      <c r="AE241">
        <f t="shared" si="82"/>
        <v>11687</v>
      </c>
      <c r="AF241">
        <v>6568</v>
      </c>
      <c r="AG241">
        <v>2995</v>
      </c>
      <c r="AH241">
        <v>1476</v>
      </c>
      <c r="AI241">
        <f t="shared" si="83"/>
        <v>1519</v>
      </c>
      <c r="AJ241" t="s">
        <v>1149</v>
      </c>
      <c r="AL241">
        <v>1085</v>
      </c>
      <c r="AM241">
        <v>746</v>
      </c>
      <c r="AN241">
        <v>552</v>
      </c>
      <c r="AO241">
        <v>390</v>
      </c>
      <c r="AP241">
        <v>1070</v>
      </c>
      <c r="AQ241">
        <v>746</v>
      </c>
      <c r="AR241">
        <v>118</v>
      </c>
      <c r="AT241">
        <v>142</v>
      </c>
      <c r="AU241">
        <v>750</v>
      </c>
      <c r="AV241">
        <v>448</v>
      </c>
      <c r="AW241">
        <v>57</v>
      </c>
      <c r="AX241">
        <v>269</v>
      </c>
      <c r="AY241">
        <v>148</v>
      </c>
      <c r="AZ241">
        <v>4329</v>
      </c>
      <c r="BA241">
        <v>123</v>
      </c>
      <c r="BB241">
        <v>595</v>
      </c>
    </row>
    <row r="242" spans="1:56" x14ac:dyDescent="0.25">
      <c r="A242" t="s">
        <v>601</v>
      </c>
      <c r="B242" t="s">
        <v>247</v>
      </c>
      <c r="C242">
        <f t="shared" si="80"/>
        <v>87165</v>
      </c>
      <c r="D242">
        <v>87276</v>
      </c>
      <c r="E242">
        <v>111</v>
      </c>
      <c r="F242">
        <f t="shared" si="81"/>
        <v>81599</v>
      </c>
      <c r="G242">
        <v>81710</v>
      </c>
      <c r="H242">
        <v>111</v>
      </c>
      <c r="I242">
        <f t="shared" si="65"/>
        <v>2217</v>
      </c>
      <c r="J242">
        <f t="shared" si="66"/>
        <v>18898</v>
      </c>
      <c r="K242">
        <f t="shared" si="67"/>
        <v>9544</v>
      </c>
      <c r="L242">
        <f t="shared" si="68"/>
        <v>2310</v>
      </c>
      <c r="M242">
        <f t="shared" si="69"/>
        <v>2879</v>
      </c>
      <c r="N242">
        <f t="shared" si="70"/>
        <v>1865</v>
      </c>
      <c r="O242">
        <f t="shared" si="71"/>
        <v>4749</v>
      </c>
      <c r="P242">
        <f t="shared" si="72"/>
        <v>11763</v>
      </c>
      <c r="Q242">
        <f t="shared" si="73"/>
        <v>20389</v>
      </c>
      <c r="R242">
        <f t="shared" si="74"/>
        <v>7099</v>
      </c>
      <c r="S242">
        <f t="shared" si="75"/>
        <v>1378</v>
      </c>
      <c r="U242">
        <v>18379</v>
      </c>
      <c r="V242">
        <v>2993</v>
      </c>
      <c r="W242">
        <v>4147</v>
      </c>
      <c r="X242">
        <v>3075</v>
      </c>
      <c r="Y242">
        <v>2970</v>
      </c>
      <c r="Z242">
        <v>6376</v>
      </c>
      <c r="AA242">
        <v>37936</v>
      </c>
      <c r="AB242">
        <v>11374</v>
      </c>
      <c r="AC242">
        <v>3422</v>
      </c>
      <c r="AD242">
        <v>844</v>
      </c>
      <c r="AE242">
        <f t="shared" si="82"/>
        <v>22296</v>
      </c>
      <c r="AF242">
        <v>8542</v>
      </c>
      <c r="AG242">
        <v>2858</v>
      </c>
      <c r="AH242">
        <v>1042</v>
      </c>
      <c r="AI242">
        <f t="shared" si="83"/>
        <v>1816</v>
      </c>
      <c r="AJ242" t="s">
        <v>1027</v>
      </c>
      <c r="AK242">
        <v>0</v>
      </c>
      <c r="AL242">
        <v>438</v>
      </c>
      <c r="AM242">
        <v>612</v>
      </c>
      <c r="AN242">
        <v>831</v>
      </c>
      <c r="AO242">
        <v>257</v>
      </c>
      <c r="AP242">
        <v>1370</v>
      </c>
      <c r="AQ242">
        <v>823</v>
      </c>
      <c r="AR242">
        <v>282</v>
      </c>
      <c r="AS242">
        <v>8</v>
      </c>
      <c r="AT242">
        <v>188</v>
      </c>
      <c r="AU242">
        <v>165</v>
      </c>
      <c r="AV242">
        <v>839</v>
      </c>
      <c r="AW242">
        <v>76</v>
      </c>
      <c r="AX242">
        <v>607</v>
      </c>
      <c r="AY242">
        <v>273</v>
      </c>
      <c r="AZ242">
        <v>8562</v>
      </c>
      <c r="BA242">
        <v>3</v>
      </c>
      <c r="BB242">
        <v>1904</v>
      </c>
      <c r="BD242">
        <v>3877</v>
      </c>
    </row>
    <row r="243" spans="1:56" x14ac:dyDescent="0.25">
      <c r="A243" t="s">
        <v>606</v>
      </c>
      <c r="B243" t="s">
        <v>275</v>
      </c>
      <c r="C243">
        <f t="shared" si="80"/>
        <v>13830</v>
      </c>
      <c r="D243">
        <v>15088</v>
      </c>
      <c r="E243">
        <v>1258</v>
      </c>
      <c r="F243">
        <f t="shared" si="81"/>
        <v>14434</v>
      </c>
      <c r="G243">
        <v>15692</v>
      </c>
      <c r="H243">
        <v>1258</v>
      </c>
      <c r="I243">
        <f t="shared" si="65"/>
        <v>376</v>
      </c>
      <c r="J243">
        <f t="shared" si="66"/>
        <v>2428</v>
      </c>
      <c r="K243">
        <f t="shared" si="67"/>
        <v>2364</v>
      </c>
      <c r="L243">
        <f t="shared" si="68"/>
        <v>385</v>
      </c>
      <c r="M243">
        <f t="shared" si="69"/>
        <v>295</v>
      </c>
      <c r="N243">
        <f t="shared" si="70"/>
        <v>179</v>
      </c>
      <c r="O243">
        <f t="shared" si="71"/>
        <v>465</v>
      </c>
      <c r="P243">
        <f t="shared" si="72"/>
        <v>953</v>
      </c>
      <c r="Q243">
        <f t="shared" si="73"/>
        <v>1598</v>
      </c>
      <c r="R243">
        <f t="shared" si="74"/>
        <v>1439</v>
      </c>
      <c r="S243">
        <f t="shared" si="75"/>
        <v>2323</v>
      </c>
      <c r="U243">
        <v>4057</v>
      </c>
      <c r="V243">
        <v>386</v>
      </c>
      <c r="W243">
        <v>522</v>
      </c>
      <c r="X243">
        <v>317</v>
      </c>
      <c r="Y243">
        <v>256</v>
      </c>
      <c r="Z243">
        <v>682</v>
      </c>
      <c r="AA243">
        <v>2679</v>
      </c>
      <c r="AB243">
        <v>681</v>
      </c>
      <c r="AC243">
        <v>237</v>
      </c>
      <c r="AD243">
        <v>50</v>
      </c>
      <c r="AE243">
        <f t="shared" si="82"/>
        <v>1711</v>
      </c>
      <c r="AF243">
        <v>1811</v>
      </c>
      <c r="AG243">
        <v>4378</v>
      </c>
      <c r="AH243">
        <v>1909</v>
      </c>
      <c r="AI243">
        <f t="shared" si="83"/>
        <v>2469</v>
      </c>
      <c r="AJ243" t="s">
        <v>1052</v>
      </c>
      <c r="AL243">
        <v>146</v>
      </c>
      <c r="AM243">
        <v>126</v>
      </c>
      <c r="AN243">
        <v>246</v>
      </c>
      <c r="AO243">
        <v>73</v>
      </c>
      <c r="AP243">
        <v>144</v>
      </c>
      <c r="AQ243">
        <v>69</v>
      </c>
      <c r="AR243">
        <v>8</v>
      </c>
      <c r="AT243">
        <v>22</v>
      </c>
      <c r="AU243">
        <v>72</v>
      </c>
      <c r="AV243">
        <v>76</v>
      </c>
      <c r="AW243">
        <v>1</v>
      </c>
      <c r="AY243">
        <v>33</v>
      </c>
      <c r="AZ243">
        <v>1660</v>
      </c>
      <c r="BA243">
        <v>2</v>
      </c>
      <c r="BB243">
        <v>111</v>
      </c>
      <c r="BD243">
        <v>15</v>
      </c>
    </row>
    <row r="244" spans="1:56" x14ac:dyDescent="0.25">
      <c r="A244" t="s">
        <v>599</v>
      </c>
      <c r="B244" t="s">
        <v>444</v>
      </c>
      <c r="C244">
        <f t="shared" si="80"/>
        <v>39191</v>
      </c>
      <c r="D244">
        <v>39191</v>
      </c>
      <c r="E244">
        <v>0</v>
      </c>
      <c r="F244">
        <f t="shared" si="81"/>
        <v>31786</v>
      </c>
      <c r="G244">
        <v>31786</v>
      </c>
      <c r="H244">
        <v>0</v>
      </c>
      <c r="I244">
        <f t="shared" si="65"/>
        <v>1201</v>
      </c>
      <c r="J244">
        <f t="shared" si="66"/>
        <v>5301</v>
      </c>
      <c r="K244">
        <f t="shared" si="67"/>
        <v>2291</v>
      </c>
      <c r="L244">
        <f t="shared" si="68"/>
        <v>1162</v>
      </c>
      <c r="M244">
        <f t="shared" si="69"/>
        <v>6504</v>
      </c>
      <c r="N244">
        <f t="shared" si="70"/>
        <v>541</v>
      </c>
      <c r="O244">
        <f t="shared" si="71"/>
        <v>1555</v>
      </c>
      <c r="P244">
        <f t="shared" si="72"/>
        <v>4943</v>
      </c>
      <c r="Q244">
        <f t="shared" si="73"/>
        <v>5484</v>
      </c>
      <c r="R244">
        <f t="shared" si="74"/>
        <v>2205</v>
      </c>
      <c r="S244">
        <f t="shared" si="75"/>
        <v>614</v>
      </c>
      <c r="U244">
        <v>5474</v>
      </c>
      <c r="V244">
        <v>1256</v>
      </c>
      <c r="W244">
        <v>1753</v>
      </c>
      <c r="X244">
        <v>6670</v>
      </c>
      <c r="Y244">
        <v>815</v>
      </c>
      <c r="Z244">
        <v>2202</v>
      </c>
      <c r="AA244">
        <v>11031</v>
      </c>
      <c r="AB244">
        <v>2187</v>
      </c>
      <c r="AC244">
        <v>2796</v>
      </c>
      <c r="AD244">
        <v>0</v>
      </c>
      <c r="AE244">
        <f t="shared" si="82"/>
        <v>6048</v>
      </c>
      <c r="AF244">
        <v>2704</v>
      </c>
      <c r="AG244">
        <v>7286</v>
      </c>
      <c r="AH244">
        <v>6133</v>
      </c>
      <c r="AI244">
        <f t="shared" si="83"/>
        <v>1153</v>
      </c>
      <c r="AJ244" t="s">
        <v>1237</v>
      </c>
      <c r="AK244">
        <v>6</v>
      </c>
      <c r="AL244">
        <v>533</v>
      </c>
      <c r="AM244">
        <v>265</v>
      </c>
      <c r="AN244">
        <v>234</v>
      </c>
      <c r="AO244">
        <v>170</v>
      </c>
      <c r="AP244">
        <v>477</v>
      </c>
      <c r="AQ244">
        <v>207</v>
      </c>
      <c r="AR244">
        <v>67</v>
      </c>
      <c r="AS244">
        <v>2</v>
      </c>
      <c r="AT244">
        <v>164</v>
      </c>
      <c r="AU244">
        <v>289</v>
      </c>
      <c r="AV244">
        <v>207</v>
      </c>
      <c r="AW244">
        <v>14</v>
      </c>
      <c r="AX244">
        <v>80</v>
      </c>
      <c r="AY244">
        <v>159</v>
      </c>
      <c r="AZ244">
        <v>3024</v>
      </c>
      <c r="BA244">
        <v>89</v>
      </c>
      <c r="BB244">
        <v>475</v>
      </c>
      <c r="BD244">
        <v>40</v>
      </c>
    </row>
    <row r="245" spans="1:56" x14ac:dyDescent="0.25">
      <c r="A245" t="s">
        <v>601</v>
      </c>
      <c r="B245" t="s">
        <v>248</v>
      </c>
      <c r="C245">
        <f t="shared" ref="C245:C276" si="84">SUM(D245,-E245)</f>
        <v>114786</v>
      </c>
      <c r="D245">
        <v>114786</v>
      </c>
      <c r="E245">
        <v>0</v>
      </c>
      <c r="F245">
        <f t="shared" ref="F245:F276" si="85">SUM(G245,-H245)</f>
        <v>110864</v>
      </c>
      <c r="G245">
        <v>110864</v>
      </c>
      <c r="H245">
        <v>0</v>
      </c>
      <c r="I245">
        <f t="shared" si="65"/>
        <v>4406</v>
      </c>
      <c r="J245">
        <f t="shared" si="66"/>
        <v>23142</v>
      </c>
      <c r="K245">
        <f t="shared" si="67"/>
        <v>11309</v>
      </c>
      <c r="L245">
        <f t="shared" si="68"/>
        <v>2914</v>
      </c>
      <c r="M245">
        <f t="shared" si="69"/>
        <v>203</v>
      </c>
      <c r="N245">
        <f t="shared" si="70"/>
        <v>2909</v>
      </c>
      <c r="O245">
        <f t="shared" si="71"/>
        <v>4772</v>
      </c>
      <c r="P245">
        <f t="shared" si="72"/>
        <v>26579</v>
      </c>
      <c r="Q245">
        <f t="shared" si="73"/>
        <v>25294</v>
      </c>
      <c r="R245">
        <f t="shared" si="74"/>
        <v>8359</v>
      </c>
      <c r="S245">
        <f t="shared" si="75"/>
        <v>938</v>
      </c>
      <c r="U245">
        <v>20351</v>
      </c>
      <c r="V245">
        <v>3466</v>
      </c>
      <c r="W245">
        <v>5465</v>
      </c>
      <c r="X245">
        <v>578</v>
      </c>
      <c r="Y245">
        <v>4251</v>
      </c>
      <c r="Z245">
        <v>8068</v>
      </c>
      <c r="AA245">
        <v>57507</v>
      </c>
      <c r="AB245">
        <v>19295</v>
      </c>
      <c r="AC245">
        <v>10005</v>
      </c>
      <c r="AD245">
        <v>0</v>
      </c>
      <c r="AE245">
        <f t="shared" ref="AE245:AE276" si="86">SUM(AA245,-AB245,-AC245,-AD245)</f>
        <v>28207</v>
      </c>
      <c r="AF245">
        <v>11369</v>
      </c>
      <c r="AG245">
        <v>3731</v>
      </c>
      <c r="AH245">
        <v>757</v>
      </c>
      <c r="AI245">
        <f t="shared" ref="AI245:AI276" si="87">SUM(AG245,-AH245)</f>
        <v>2974</v>
      </c>
      <c r="AJ245" t="s">
        <v>1028</v>
      </c>
      <c r="AK245">
        <v>4</v>
      </c>
      <c r="AL245">
        <v>2032</v>
      </c>
      <c r="AM245">
        <v>1005</v>
      </c>
      <c r="AN245">
        <v>2005</v>
      </c>
      <c r="AO245">
        <v>662</v>
      </c>
      <c r="AP245">
        <v>2634</v>
      </c>
      <c r="AQ245">
        <v>1190</v>
      </c>
      <c r="AR245">
        <v>152</v>
      </c>
      <c r="AS245">
        <v>7</v>
      </c>
      <c r="AT245">
        <v>368</v>
      </c>
      <c r="AU245">
        <v>972</v>
      </c>
      <c r="AV245">
        <v>1289</v>
      </c>
      <c r="AX245">
        <v>552</v>
      </c>
      <c r="AY245">
        <v>510</v>
      </c>
      <c r="AZ245">
        <v>8532</v>
      </c>
      <c r="BA245">
        <v>56</v>
      </c>
      <c r="BB245">
        <v>2857</v>
      </c>
      <c r="BD245">
        <v>2721</v>
      </c>
    </row>
    <row r="246" spans="1:56" x14ac:dyDescent="0.25">
      <c r="A246" t="s">
        <v>606</v>
      </c>
      <c r="B246" t="s">
        <v>276</v>
      </c>
      <c r="C246">
        <f t="shared" si="84"/>
        <v>44754</v>
      </c>
      <c r="D246">
        <v>45125</v>
      </c>
      <c r="E246">
        <v>371</v>
      </c>
      <c r="F246">
        <f t="shared" si="85"/>
        <v>42919</v>
      </c>
      <c r="G246">
        <v>43290</v>
      </c>
      <c r="H246">
        <v>371</v>
      </c>
      <c r="I246">
        <f t="shared" si="65"/>
        <v>2105</v>
      </c>
      <c r="J246">
        <f t="shared" si="66"/>
        <v>11059</v>
      </c>
      <c r="K246">
        <f t="shared" si="67"/>
        <v>6409</v>
      </c>
      <c r="L246">
        <f t="shared" si="68"/>
        <v>1246</v>
      </c>
      <c r="M246">
        <f t="shared" si="69"/>
        <v>241</v>
      </c>
      <c r="N246">
        <f t="shared" si="70"/>
        <v>1095</v>
      </c>
      <c r="O246">
        <f t="shared" si="71"/>
        <v>1908</v>
      </c>
      <c r="P246">
        <f t="shared" si="72"/>
        <v>7235</v>
      </c>
      <c r="Q246">
        <f t="shared" si="73"/>
        <v>8493</v>
      </c>
      <c r="R246">
        <f t="shared" si="74"/>
        <v>2539</v>
      </c>
      <c r="S246">
        <f t="shared" si="75"/>
        <v>1162</v>
      </c>
      <c r="U246">
        <v>12246</v>
      </c>
      <c r="V246">
        <v>1812</v>
      </c>
      <c r="W246">
        <v>1959</v>
      </c>
      <c r="X246">
        <v>346</v>
      </c>
      <c r="Y246">
        <v>1448</v>
      </c>
      <c r="Z246">
        <v>3017</v>
      </c>
      <c r="AA246">
        <v>17549</v>
      </c>
      <c r="AB246">
        <v>5492</v>
      </c>
      <c r="AC246">
        <v>1484</v>
      </c>
      <c r="AD246">
        <v>352</v>
      </c>
      <c r="AE246">
        <f t="shared" si="86"/>
        <v>10221</v>
      </c>
      <c r="AF246">
        <v>4322</v>
      </c>
      <c r="AG246">
        <v>2426</v>
      </c>
      <c r="AH246">
        <v>432</v>
      </c>
      <c r="AI246">
        <f t="shared" si="87"/>
        <v>1994</v>
      </c>
      <c r="AJ246" t="s">
        <v>1053</v>
      </c>
      <c r="AK246">
        <v>22</v>
      </c>
      <c r="AL246">
        <v>810</v>
      </c>
      <c r="AM246">
        <v>571</v>
      </c>
      <c r="AN246">
        <v>1212</v>
      </c>
      <c r="AO246">
        <v>347</v>
      </c>
      <c r="AP246">
        <v>762</v>
      </c>
      <c r="AQ246">
        <v>228</v>
      </c>
      <c r="AR246">
        <v>125</v>
      </c>
      <c r="AT246">
        <v>105</v>
      </c>
      <c r="AU246">
        <v>305</v>
      </c>
      <c r="AV246">
        <v>453</v>
      </c>
      <c r="AW246">
        <v>14</v>
      </c>
      <c r="AX246">
        <v>552</v>
      </c>
      <c r="AY246">
        <v>606</v>
      </c>
      <c r="AZ246">
        <v>5231</v>
      </c>
      <c r="BA246">
        <v>12</v>
      </c>
      <c r="BB246">
        <v>1716</v>
      </c>
      <c r="BD246">
        <v>93</v>
      </c>
    </row>
    <row r="247" spans="1:56" x14ac:dyDescent="0.25">
      <c r="A247" t="s">
        <v>603</v>
      </c>
      <c r="B247" t="s">
        <v>371</v>
      </c>
      <c r="C247">
        <f t="shared" si="84"/>
        <v>124646</v>
      </c>
      <c r="D247">
        <v>126732</v>
      </c>
      <c r="E247">
        <v>2086</v>
      </c>
      <c r="F247">
        <f t="shared" si="85"/>
        <v>126861</v>
      </c>
      <c r="G247">
        <v>128947</v>
      </c>
      <c r="H247">
        <v>2086</v>
      </c>
      <c r="I247">
        <f t="shared" si="65"/>
        <v>5318</v>
      </c>
      <c r="J247">
        <f t="shared" si="66"/>
        <v>1702</v>
      </c>
      <c r="K247">
        <f t="shared" si="67"/>
        <v>21763</v>
      </c>
      <c r="L247">
        <f t="shared" si="68"/>
        <v>3171</v>
      </c>
      <c r="M247">
        <f t="shared" si="69"/>
        <v>7942</v>
      </c>
      <c r="N247">
        <f t="shared" si="70"/>
        <v>2996</v>
      </c>
      <c r="O247">
        <f t="shared" si="71"/>
        <v>9865</v>
      </c>
      <c r="P247">
        <f t="shared" si="72"/>
        <v>17909</v>
      </c>
      <c r="Q247">
        <f t="shared" si="73"/>
        <v>25132</v>
      </c>
      <c r="R247">
        <f t="shared" si="74"/>
        <v>11321</v>
      </c>
      <c r="S247">
        <f t="shared" si="75"/>
        <v>2567</v>
      </c>
      <c r="U247">
        <v>24806</v>
      </c>
      <c r="V247">
        <v>3181</v>
      </c>
      <c r="W247">
        <v>7431</v>
      </c>
      <c r="X247">
        <v>7945</v>
      </c>
      <c r="Y247">
        <v>4253</v>
      </c>
      <c r="Z247">
        <v>10822</v>
      </c>
      <c r="AA247">
        <v>43213</v>
      </c>
      <c r="AB247">
        <v>15876</v>
      </c>
      <c r="AC247">
        <v>346</v>
      </c>
      <c r="AD247">
        <v>1687</v>
      </c>
      <c r="AE247">
        <f t="shared" si="86"/>
        <v>25304</v>
      </c>
      <c r="AF247">
        <v>12429</v>
      </c>
      <c r="AG247">
        <v>12652</v>
      </c>
      <c r="AH247">
        <v>10039</v>
      </c>
      <c r="AI247">
        <f t="shared" si="87"/>
        <v>2613</v>
      </c>
      <c r="AJ247" t="s">
        <v>1128</v>
      </c>
      <c r="AK247">
        <v>46</v>
      </c>
      <c r="AM247">
        <v>1108</v>
      </c>
      <c r="AO247">
        <v>957</v>
      </c>
      <c r="AQ247">
        <v>1257</v>
      </c>
      <c r="AS247">
        <v>3</v>
      </c>
      <c r="AU247">
        <v>424</v>
      </c>
      <c r="AW247">
        <v>10</v>
      </c>
      <c r="AY247">
        <v>1341</v>
      </c>
      <c r="AZ247">
        <v>1702</v>
      </c>
      <c r="BA247">
        <v>172</v>
      </c>
    </row>
    <row r="248" spans="1:56" x14ac:dyDescent="0.25">
      <c r="A248" t="s">
        <v>601</v>
      </c>
      <c r="B248" t="s">
        <v>201</v>
      </c>
      <c r="C248">
        <f t="shared" si="84"/>
        <v>90413</v>
      </c>
      <c r="D248">
        <v>92162</v>
      </c>
      <c r="E248">
        <v>1749</v>
      </c>
      <c r="F248">
        <f t="shared" si="85"/>
        <v>87120</v>
      </c>
      <c r="G248">
        <v>88869</v>
      </c>
      <c r="H248">
        <v>1749</v>
      </c>
      <c r="I248">
        <f t="shared" si="65"/>
        <v>3591</v>
      </c>
      <c r="J248">
        <f t="shared" si="66"/>
        <v>18611</v>
      </c>
      <c r="K248">
        <f t="shared" si="67"/>
        <v>15993</v>
      </c>
      <c r="L248">
        <f t="shared" si="68"/>
        <v>2456</v>
      </c>
      <c r="M248">
        <f t="shared" si="69"/>
        <v>472</v>
      </c>
      <c r="N248">
        <f t="shared" si="70"/>
        <v>3209</v>
      </c>
      <c r="O248">
        <f t="shared" si="71"/>
        <v>5842</v>
      </c>
      <c r="P248">
        <f t="shared" si="72"/>
        <v>11166</v>
      </c>
      <c r="Q248">
        <f t="shared" si="73"/>
        <v>20925</v>
      </c>
      <c r="R248">
        <f t="shared" si="74"/>
        <v>6576</v>
      </c>
      <c r="S248">
        <f t="shared" si="75"/>
        <v>453</v>
      </c>
      <c r="U248">
        <v>24537</v>
      </c>
      <c r="V248">
        <v>3065</v>
      </c>
      <c r="W248">
        <v>3709</v>
      </c>
      <c r="X248">
        <v>830</v>
      </c>
      <c r="Y248">
        <v>4600</v>
      </c>
      <c r="Z248">
        <v>9085</v>
      </c>
      <c r="AA248">
        <v>35334</v>
      </c>
      <c r="AB248">
        <v>8046</v>
      </c>
      <c r="AC248">
        <v>3908</v>
      </c>
      <c r="AD248">
        <v>787</v>
      </c>
      <c r="AE248">
        <f t="shared" si="86"/>
        <v>22593</v>
      </c>
      <c r="AF248">
        <v>8733</v>
      </c>
      <c r="AG248">
        <v>2269</v>
      </c>
      <c r="AH248">
        <v>380</v>
      </c>
      <c r="AI248">
        <f t="shared" si="87"/>
        <v>1889</v>
      </c>
      <c r="AJ248" t="s">
        <v>1269</v>
      </c>
      <c r="AK248">
        <v>17</v>
      </c>
      <c r="AL248">
        <v>1419</v>
      </c>
      <c r="AM248">
        <v>659</v>
      </c>
      <c r="AN248">
        <v>1498</v>
      </c>
      <c r="AO248">
        <v>635</v>
      </c>
      <c r="AP248">
        <v>2608</v>
      </c>
      <c r="AQ248">
        <v>1202</v>
      </c>
      <c r="AR248">
        <v>189</v>
      </c>
      <c r="AS248">
        <v>116</v>
      </c>
      <c r="AT248">
        <v>242</v>
      </c>
      <c r="AU248">
        <v>280</v>
      </c>
      <c r="AV248">
        <v>941</v>
      </c>
      <c r="AX248">
        <v>609</v>
      </c>
      <c r="AY248">
        <v>667</v>
      </c>
      <c r="AZ248">
        <v>7877</v>
      </c>
      <c r="BA248">
        <v>15</v>
      </c>
      <c r="BB248">
        <v>1653</v>
      </c>
      <c r="BD248">
        <v>1575</v>
      </c>
    </row>
    <row r="249" spans="1:56" x14ac:dyDescent="0.25">
      <c r="A249" t="s">
        <v>604</v>
      </c>
      <c r="B249" t="s">
        <v>372</v>
      </c>
      <c r="C249">
        <f t="shared" si="84"/>
        <v>189724</v>
      </c>
      <c r="D249">
        <v>190392</v>
      </c>
      <c r="E249">
        <v>668</v>
      </c>
      <c r="F249">
        <f t="shared" si="85"/>
        <v>171909</v>
      </c>
      <c r="G249">
        <v>172577</v>
      </c>
      <c r="H249">
        <v>668</v>
      </c>
      <c r="I249">
        <f t="shared" si="65"/>
        <v>9489</v>
      </c>
      <c r="J249">
        <f t="shared" si="66"/>
        <v>32619</v>
      </c>
      <c r="K249">
        <f t="shared" si="67"/>
        <v>11154</v>
      </c>
      <c r="L249">
        <f t="shared" si="68"/>
        <v>4394</v>
      </c>
      <c r="M249">
        <f t="shared" si="69"/>
        <v>593</v>
      </c>
      <c r="N249">
        <f t="shared" si="70"/>
        <v>3794</v>
      </c>
      <c r="O249">
        <f t="shared" si="71"/>
        <v>8231</v>
      </c>
      <c r="P249">
        <f t="shared" si="72"/>
        <v>26523</v>
      </c>
      <c r="Q249">
        <f t="shared" si="73"/>
        <v>28873</v>
      </c>
      <c r="R249">
        <f t="shared" si="74"/>
        <v>11669</v>
      </c>
      <c r="S249">
        <f t="shared" si="75"/>
        <v>1093</v>
      </c>
      <c r="U249">
        <v>33100</v>
      </c>
      <c r="V249">
        <v>5716</v>
      </c>
      <c r="W249">
        <v>8795</v>
      </c>
      <c r="X249">
        <v>1132</v>
      </c>
      <c r="Y249">
        <v>5959</v>
      </c>
      <c r="Z249">
        <v>11339</v>
      </c>
      <c r="AA249">
        <v>60075</v>
      </c>
      <c r="AB249">
        <v>25252</v>
      </c>
      <c r="AC249">
        <v>815</v>
      </c>
      <c r="AD249">
        <v>1901</v>
      </c>
      <c r="AE249">
        <f t="shared" si="86"/>
        <v>32107</v>
      </c>
      <c r="AF249">
        <v>14264</v>
      </c>
      <c r="AG249">
        <v>50012</v>
      </c>
      <c r="AH249">
        <v>47152</v>
      </c>
      <c r="AI249">
        <f t="shared" si="87"/>
        <v>2860</v>
      </c>
      <c r="AJ249" t="s">
        <v>1130</v>
      </c>
      <c r="AK249">
        <v>327</v>
      </c>
      <c r="AL249">
        <v>1440</v>
      </c>
      <c r="AM249">
        <v>1528</v>
      </c>
      <c r="AN249">
        <v>1067</v>
      </c>
      <c r="AO249">
        <v>1640</v>
      </c>
      <c r="AP249">
        <v>1468</v>
      </c>
      <c r="AQ249">
        <v>1622</v>
      </c>
      <c r="AR249">
        <v>543</v>
      </c>
      <c r="AS249">
        <v>47</v>
      </c>
      <c r="AT249">
        <v>492</v>
      </c>
      <c r="AU249">
        <v>2205</v>
      </c>
      <c r="AV249">
        <v>1782</v>
      </c>
      <c r="AW249">
        <v>211</v>
      </c>
      <c r="AX249">
        <v>1111</v>
      </c>
      <c r="AY249">
        <v>1556</v>
      </c>
      <c r="AZ249">
        <v>20390</v>
      </c>
      <c r="BA249">
        <v>253</v>
      </c>
      <c r="BB249">
        <v>2981</v>
      </c>
      <c r="BC249">
        <v>100</v>
      </c>
      <c r="BD249">
        <v>1345</v>
      </c>
    </row>
    <row r="250" spans="1:56" x14ac:dyDescent="0.25">
      <c r="A250" t="s">
        <v>608</v>
      </c>
      <c r="B250" t="s">
        <v>482</v>
      </c>
      <c r="C250">
        <f t="shared" si="84"/>
        <v>57629</v>
      </c>
      <c r="D250">
        <v>58518</v>
      </c>
      <c r="E250">
        <v>889</v>
      </c>
      <c r="F250">
        <f t="shared" si="85"/>
        <v>59617</v>
      </c>
      <c r="G250">
        <v>60506</v>
      </c>
      <c r="H250">
        <v>889</v>
      </c>
      <c r="I250">
        <f t="shared" si="65"/>
        <v>3813</v>
      </c>
      <c r="J250">
        <f t="shared" si="66"/>
        <v>6912</v>
      </c>
      <c r="K250">
        <f t="shared" si="67"/>
        <v>12288</v>
      </c>
      <c r="L250">
        <f t="shared" si="68"/>
        <v>2709</v>
      </c>
      <c r="M250">
        <f t="shared" si="69"/>
        <v>486</v>
      </c>
      <c r="N250">
        <f t="shared" si="70"/>
        <v>1176</v>
      </c>
      <c r="O250">
        <f t="shared" si="71"/>
        <v>3106</v>
      </c>
      <c r="P250">
        <f t="shared" si="72"/>
        <v>10295</v>
      </c>
      <c r="Q250">
        <f t="shared" si="73"/>
        <v>9669</v>
      </c>
      <c r="R250">
        <f t="shared" si="74"/>
        <v>4323</v>
      </c>
      <c r="S250">
        <f t="shared" si="75"/>
        <v>1055</v>
      </c>
      <c r="U250">
        <v>21382</v>
      </c>
      <c r="V250">
        <v>2729</v>
      </c>
      <c r="W250">
        <v>2803</v>
      </c>
      <c r="X250">
        <v>486</v>
      </c>
      <c r="Y250">
        <v>1557</v>
      </c>
      <c r="Z250">
        <v>3371</v>
      </c>
      <c r="AA250">
        <v>19981</v>
      </c>
      <c r="AB250">
        <v>6374</v>
      </c>
      <c r="AC250">
        <v>3428</v>
      </c>
      <c r="AD250">
        <v>493</v>
      </c>
      <c r="AE250">
        <f t="shared" si="86"/>
        <v>9686</v>
      </c>
      <c r="AF250">
        <v>4846</v>
      </c>
      <c r="AG250">
        <v>1363</v>
      </c>
      <c r="AH250">
        <v>306</v>
      </c>
      <c r="AI250">
        <f t="shared" si="87"/>
        <v>1057</v>
      </c>
      <c r="AJ250" t="s">
        <v>1238</v>
      </c>
      <c r="AK250">
        <v>2</v>
      </c>
      <c r="AM250">
        <v>523</v>
      </c>
      <c r="AO250">
        <v>265</v>
      </c>
      <c r="AQ250">
        <v>381</v>
      </c>
      <c r="AU250">
        <v>423</v>
      </c>
      <c r="AW250">
        <v>5</v>
      </c>
      <c r="AX250">
        <v>15</v>
      </c>
      <c r="AY250">
        <v>2197</v>
      </c>
      <c r="AZ250">
        <v>6897</v>
      </c>
      <c r="BA250">
        <v>17</v>
      </c>
    </row>
    <row r="251" spans="1:56" x14ac:dyDescent="0.25">
      <c r="A251" t="s">
        <v>608</v>
      </c>
      <c r="B251" t="s">
        <v>483</v>
      </c>
      <c r="C251">
        <f t="shared" si="84"/>
        <v>185032</v>
      </c>
      <c r="D251">
        <v>188595</v>
      </c>
      <c r="E251">
        <v>3563</v>
      </c>
      <c r="F251">
        <f t="shared" si="85"/>
        <v>183823</v>
      </c>
      <c r="G251">
        <v>187386</v>
      </c>
      <c r="H251">
        <v>3563</v>
      </c>
      <c r="I251">
        <f t="shared" si="65"/>
        <v>7238</v>
      </c>
      <c r="J251">
        <f t="shared" si="66"/>
        <v>41218</v>
      </c>
      <c r="K251">
        <f t="shared" si="67"/>
        <v>16612</v>
      </c>
      <c r="L251">
        <f t="shared" si="68"/>
        <v>4647</v>
      </c>
      <c r="M251">
        <f t="shared" si="69"/>
        <v>2296</v>
      </c>
      <c r="N251">
        <f t="shared" si="70"/>
        <v>3421</v>
      </c>
      <c r="O251">
        <f t="shared" si="71"/>
        <v>10250</v>
      </c>
      <c r="P251">
        <f t="shared" si="72"/>
        <v>45523</v>
      </c>
      <c r="Q251">
        <f t="shared" si="73"/>
        <v>38826</v>
      </c>
      <c r="R251">
        <f t="shared" si="74"/>
        <v>10044</v>
      </c>
      <c r="S251">
        <f t="shared" si="75"/>
        <v>1089</v>
      </c>
      <c r="U251">
        <v>33815</v>
      </c>
      <c r="V251">
        <v>7706</v>
      </c>
      <c r="W251">
        <v>11534</v>
      </c>
      <c r="X251">
        <v>2957</v>
      </c>
      <c r="Y251">
        <v>5316</v>
      </c>
      <c r="Z251">
        <v>15122</v>
      </c>
      <c r="AA251">
        <v>94794</v>
      </c>
      <c r="AB251">
        <v>31779</v>
      </c>
      <c r="AC251">
        <v>18017</v>
      </c>
      <c r="AD251">
        <v>1752</v>
      </c>
      <c r="AE251">
        <f t="shared" si="86"/>
        <v>43246</v>
      </c>
      <c r="AF251">
        <v>13362</v>
      </c>
      <c r="AG251">
        <v>3989</v>
      </c>
      <c r="AH251">
        <v>0</v>
      </c>
      <c r="AI251">
        <f t="shared" si="87"/>
        <v>3989</v>
      </c>
      <c r="AJ251" t="s">
        <v>1214</v>
      </c>
      <c r="AK251">
        <v>76</v>
      </c>
      <c r="AL251">
        <v>2824</v>
      </c>
      <c r="AM251">
        <v>1072</v>
      </c>
      <c r="AN251">
        <v>2246</v>
      </c>
      <c r="AO251">
        <v>1080</v>
      </c>
      <c r="AP251">
        <v>3792</v>
      </c>
      <c r="AQ251">
        <v>1287</v>
      </c>
      <c r="AR251">
        <v>608</v>
      </c>
      <c r="AS251">
        <v>46</v>
      </c>
      <c r="AT251">
        <v>615</v>
      </c>
      <c r="AU251">
        <v>1718</v>
      </c>
      <c r="AV251">
        <v>2385</v>
      </c>
      <c r="AW251">
        <v>168</v>
      </c>
      <c r="AX251">
        <v>2891</v>
      </c>
      <c r="AY251">
        <v>1202</v>
      </c>
      <c r="AZ251">
        <v>16001</v>
      </c>
      <c r="BA251">
        <v>589</v>
      </c>
      <c r="BB251">
        <v>3831</v>
      </c>
      <c r="BD251">
        <v>6025</v>
      </c>
    </row>
    <row r="252" spans="1:56" x14ac:dyDescent="0.25">
      <c r="A252" t="s">
        <v>599</v>
      </c>
      <c r="B252" t="s">
        <v>445</v>
      </c>
      <c r="C252">
        <f t="shared" si="84"/>
        <v>219516</v>
      </c>
      <c r="D252">
        <v>232648</v>
      </c>
      <c r="E252">
        <v>13132</v>
      </c>
      <c r="F252">
        <f t="shared" si="85"/>
        <v>217026</v>
      </c>
      <c r="G252">
        <v>230158</v>
      </c>
      <c r="H252">
        <v>13132</v>
      </c>
      <c r="I252">
        <f t="shared" si="65"/>
        <v>9333</v>
      </c>
      <c r="J252">
        <f t="shared" si="66"/>
        <v>31435</v>
      </c>
      <c r="K252">
        <f t="shared" si="67"/>
        <v>21335</v>
      </c>
      <c r="L252">
        <f t="shared" si="68"/>
        <v>5609</v>
      </c>
      <c r="M252">
        <f t="shared" si="69"/>
        <v>15907</v>
      </c>
      <c r="N252">
        <f t="shared" si="70"/>
        <v>8818</v>
      </c>
      <c r="O252">
        <f t="shared" si="71"/>
        <v>12416</v>
      </c>
      <c r="P252">
        <f t="shared" si="72"/>
        <v>56107</v>
      </c>
      <c r="Q252">
        <f t="shared" si="73"/>
        <v>42044</v>
      </c>
      <c r="R252">
        <f t="shared" si="74"/>
        <v>18762</v>
      </c>
      <c r="S252">
        <f t="shared" si="75"/>
        <v>1248</v>
      </c>
      <c r="U252">
        <v>42049</v>
      </c>
      <c r="V252">
        <v>7638</v>
      </c>
      <c r="W252">
        <v>12818</v>
      </c>
      <c r="X252">
        <v>17468</v>
      </c>
      <c r="Y252">
        <v>11076</v>
      </c>
      <c r="Z252">
        <v>16055</v>
      </c>
      <c r="AA252">
        <v>101022</v>
      </c>
      <c r="AB252">
        <v>36836</v>
      </c>
      <c r="AC252">
        <v>16226</v>
      </c>
      <c r="AD252">
        <v>3088</v>
      </c>
      <c r="AE252">
        <f t="shared" si="86"/>
        <v>44872</v>
      </c>
      <c r="AF252">
        <v>20686</v>
      </c>
      <c r="AG252">
        <v>3836</v>
      </c>
      <c r="AH252">
        <v>0</v>
      </c>
      <c r="AI252">
        <f t="shared" si="87"/>
        <v>3836</v>
      </c>
      <c r="AJ252" t="s">
        <v>1239</v>
      </c>
      <c r="AK252">
        <v>672</v>
      </c>
      <c r="AL252">
        <v>1916</v>
      </c>
      <c r="AM252">
        <v>1098</v>
      </c>
      <c r="AN252">
        <v>826</v>
      </c>
      <c r="AO252">
        <v>1454</v>
      </c>
      <c r="AP252">
        <v>2185</v>
      </c>
      <c r="AQ252">
        <v>1620</v>
      </c>
      <c r="AR252">
        <v>638</v>
      </c>
      <c r="AS252">
        <v>129</v>
      </c>
      <c r="AT252">
        <v>1432</v>
      </c>
      <c r="AU252">
        <v>2093</v>
      </c>
      <c r="AV252">
        <v>1091</v>
      </c>
      <c r="AW252">
        <v>150</v>
      </c>
      <c r="AX252">
        <v>1879</v>
      </c>
      <c r="AY252">
        <v>1901</v>
      </c>
      <c r="AZ252">
        <v>18813</v>
      </c>
      <c r="BA252">
        <v>216</v>
      </c>
      <c r="BB252">
        <v>2612</v>
      </c>
      <c r="BD252">
        <v>43</v>
      </c>
    </row>
    <row r="253" spans="1:56" x14ac:dyDescent="0.25">
      <c r="A253" t="s">
        <v>603</v>
      </c>
      <c r="B253" t="s">
        <v>373</v>
      </c>
      <c r="C253">
        <f t="shared" si="84"/>
        <v>3424073</v>
      </c>
      <c r="D253">
        <v>3474009</v>
      </c>
      <c r="E253">
        <v>49936</v>
      </c>
      <c r="F253">
        <f t="shared" si="85"/>
        <v>3437059</v>
      </c>
      <c r="G253">
        <v>3486995</v>
      </c>
      <c r="H253">
        <v>49936</v>
      </c>
      <c r="I253">
        <f t="shared" si="65"/>
        <v>138206</v>
      </c>
      <c r="J253">
        <f t="shared" si="66"/>
        <v>900172</v>
      </c>
      <c r="K253">
        <f t="shared" si="67"/>
        <v>247331</v>
      </c>
      <c r="L253">
        <f t="shared" si="68"/>
        <v>83777</v>
      </c>
      <c r="M253">
        <f t="shared" si="69"/>
        <v>19828</v>
      </c>
      <c r="N253">
        <f t="shared" si="70"/>
        <v>183469</v>
      </c>
      <c r="O253">
        <f t="shared" si="71"/>
        <v>260084</v>
      </c>
      <c r="P253">
        <f t="shared" si="72"/>
        <v>639956</v>
      </c>
      <c r="Q253">
        <f t="shared" si="73"/>
        <v>600661</v>
      </c>
      <c r="R253">
        <f t="shared" si="74"/>
        <v>191515</v>
      </c>
      <c r="S253">
        <f t="shared" si="75"/>
        <v>19274</v>
      </c>
      <c r="U253">
        <v>732287</v>
      </c>
      <c r="V253">
        <v>133588</v>
      </c>
      <c r="W253">
        <v>238550</v>
      </c>
      <c r="X253">
        <v>26572</v>
      </c>
      <c r="Y253">
        <v>196599</v>
      </c>
      <c r="Z253">
        <v>281468</v>
      </c>
      <c r="AA253">
        <v>1459784</v>
      </c>
      <c r="AB253">
        <v>643671</v>
      </c>
      <c r="AC253">
        <v>69114</v>
      </c>
      <c r="AD253">
        <v>76671</v>
      </c>
      <c r="AE253">
        <f t="shared" si="86"/>
        <v>670328</v>
      </c>
      <c r="AF253">
        <v>235027</v>
      </c>
      <c r="AG253">
        <v>170134</v>
      </c>
      <c r="AH253">
        <v>59188</v>
      </c>
      <c r="AI253">
        <f t="shared" si="87"/>
        <v>110946</v>
      </c>
      <c r="AJ253" t="s">
        <v>1129</v>
      </c>
      <c r="AK253">
        <v>1338</v>
      </c>
      <c r="AL253">
        <v>90334</v>
      </c>
      <c r="AM253">
        <v>11804</v>
      </c>
      <c r="AN253">
        <v>31708</v>
      </c>
      <c r="AO253">
        <v>1796</v>
      </c>
      <c r="AP253">
        <v>19588</v>
      </c>
      <c r="AR253">
        <v>13130</v>
      </c>
      <c r="AT253">
        <v>6744</v>
      </c>
      <c r="AU253">
        <v>17538</v>
      </c>
      <c r="AV253">
        <v>90464</v>
      </c>
      <c r="AW253">
        <v>820</v>
      </c>
      <c r="AX253">
        <v>48991</v>
      </c>
      <c r="AY253">
        <v>103245</v>
      </c>
      <c r="AZ253">
        <v>381711</v>
      </c>
      <c r="BA253">
        <v>1623</v>
      </c>
      <c r="BB253">
        <v>68044</v>
      </c>
      <c r="BC253">
        <v>42</v>
      </c>
      <c r="BD253">
        <v>149458</v>
      </c>
    </row>
    <row r="254" spans="1:56" x14ac:dyDescent="0.25">
      <c r="A254" t="s">
        <v>601</v>
      </c>
      <c r="B254" t="s">
        <v>250</v>
      </c>
      <c r="C254">
        <f t="shared" si="84"/>
        <v>4695</v>
      </c>
      <c r="D254">
        <v>4738</v>
      </c>
      <c r="E254">
        <v>43</v>
      </c>
      <c r="F254">
        <f t="shared" si="85"/>
        <v>5651</v>
      </c>
      <c r="G254">
        <v>5694</v>
      </c>
      <c r="H254">
        <v>43</v>
      </c>
      <c r="I254">
        <f t="shared" si="65"/>
        <v>183</v>
      </c>
      <c r="J254">
        <f t="shared" si="66"/>
        <v>1079</v>
      </c>
      <c r="K254">
        <f t="shared" si="67"/>
        <v>793</v>
      </c>
      <c r="L254">
        <f t="shared" si="68"/>
        <v>96</v>
      </c>
      <c r="M254">
        <f t="shared" si="69"/>
        <v>3</v>
      </c>
      <c r="N254">
        <f t="shared" si="70"/>
        <v>507</v>
      </c>
      <c r="O254">
        <f t="shared" si="71"/>
        <v>143</v>
      </c>
      <c r="P254">
        <f t="shared" si="72"/>
        <v>156</v>
      </c>
      <c r="Q254">
        <f t="shared" si="73"/>
        <v>424</v>
      </c>
      <c r="R254">
        <f t="shared" si="74"/>
        <v>339</v>
      </c>
      <c r="S254">
        <f t="shared" si="75"/>
        <v>40</v>
      </c>
      <c r="U254">
        <v>1908</v>
      </c>
      <c r="V254">
        <v>96</v>
      </c>
      <c r="W254">
        <v>120</v>
      </c>
      <c r="X254">
        <v>3</v>
      </c>
      <c r="Y254">
        <v>615</v>
      </c>
      <c r="Z254">
        <v>143</v>
      </c>
      <c r="AA254">
        <v>580</v>
      </c>
      <c r="AB254">
        <v>97</v>
      </c>
      <c r="AC254">
        <v>57</v>
      </c>
      <c r="AD254">
        <v>2</v>
      </c>
      <c r="AE254">
        <f t="shared" si="86"/>
        <v>424</v>
      </c>
      <c r="AF254">
        <v>355</v>
      </c>
      <c r="AG254">
        <v>918</v>
      </c>
      <c r="AH254">
        <v>878</v>
      </c>
      <c r="AI254">
        <f t="shared" si="87"/>
        <v>40</v>
      </c>
      <c r="AJ254" t="s">
        <v>1029</v>
      </c>
      <c r="AK254">
        <v>0</v>
      </c>
      <c r="AM254">
        <v>16</v>
      </c>
      <c r="AQ254">
        <v>108</v>
      </c>
      <c r="AU254">
        <v>23</v>
      </c>
      <c r="AY254">
        <v>36</v>
      </c>
      <c r="AZ254">
        <v>1079</v>
      </c>
    </row>
    <row r="255" spans="1:56" x14ac:dyDescent="0.25">
      <c r="A255" t="s">
        <v>608</v>
      </c>
      <c r="B255" t="s">
        <v>446</v>
      </c>
      <c r="C255">
        <f t="shared" si="84"/>
        <v>55250</v>
      </c>
      <c r="D255">
        <v>56008</v>
      </c>
      <c r="E255">
        <v>758</v>
      </c>
      <c r="F255">
        <f t="shared" si="85"/>
        <v>55157</v>
      </c>
      <c r="G255">
        <v>55915</v>
      </c>
      <c r="H255">
        <v>758</v>
      </c>
      <c r="I255">
        <f t="shared" si="65"/>
        <v>3709</v>
      </c>
      <c r="J255">
        <f t="shared" si="66"/>
        <v>9856</v>
      </c>
      <c r="K255">
        <f t="shared" si="67"/>
        <v>4742</v>
      </c>
      <c r="L255">
        <f t="shared" si="68"/>
        <v>1233</v>
      </c>
      <c r="M255">
        <f t="shared" si="69"/>
        <v>290</v>
      </c>
      <c r="N255">
        <f t="shared" si="70"/>
        <v>882</v>
      </c>
      <c r="O255">
        <f t="shared" si="71"/>
        <v>2257</v>
      </c>
      <c r="P255">
        <f t="shared" si="72"/>
        <v>13909</v>
      </c>
      <c r="Q255">
        <f t="shared" si="73"/>
        <v>12913</v>
      </c>
      <c r="R255">
        <f t="shared" si="74"/>
        <v>3244</v>
      </c>
      <c r="S255">
        <f t="shared" si="75"/>
        <v>241</v>
      </c>
      <c r="U255">
        <v>10685</v>
      </c>
      <c r="V255">
        <v>1698</v>
      </c>
      <c r="W255">
        <v>3668</v>
      </c>
      <c r="X255">
        <v>416</v>
      </c>
      <c r="Y255">
        <v>1622</v>
      </c>
      <c r="Z255">
        <v>3176</v>
      </c>
      <c r="AA255">
        <v>28243</v>
      </c>
      <c r="AB255">
        <v>6151</v>
      </c>
      <c r="AC255">
        <v>7113</v>
      </c>
      <c r="AD255">
        <v>797</v>
      </c>
      <c r="AE255">
        <f t="shared" si="86"/>
        <v>14182</v>
      </c>
      <c r="AF255">
        <v>4355</v>
      </c>
      <c r="AG255">
        <v>2145</v>
      </c>
      <c r="AH255">
        <v>915</v>
      </c>
      <c r="AI255">
        <f t="shared" si="87"/>
        <v>1230</v>
      </c>
      <c r="AJ255" t="s">
        <v>1186</v>
      </c>
      <c r="AK255">
        <v>5</v>
      </c>
      <c r="AL255">
        <v>984</v>
      </c>
      <c r="AM255">
        <v>549</v>
      </c>
      <c r="AN255">
        <v>562</v>
      </c>
      <c r="AO255">
        <v>373</v>
      </c>
      <c r="AP255">
        <v>546</v>
      </c>
      <c r="AQ255">
        <v>547</v>
      </c>
      <c r="AR255">
        <v>193</v>
      </c>
      <c r="AS255">
        <v>1</v>
      </c>
      <c r="AT255">
        <v>125</v>
      </c>
      <c r="AU255">
        <v>1229</v>
      </c>
      <c r="AV255">
        <v>622</v>
      </c>
      <c r="AW255">
        <v>36</v>
      </c>
      <c r="AX255">
        <v>429</v>
      </c>
      <c r="AY255">
        <v>704</v>
      </c>
      <c r="AZ255">
        <v>5239</v>
      </c>
      <c r="BA255">
        <v>265</v>
      </c>
      <c r="BB255">
        <v>1004</v>
      </c>
      <c r="BD255">
        <v>152</v>
      </c>
    </row>
    <row r="256" spans="1:56" x14ac:dyDescent="0.25">
      <c r="A256" t="s">
        <v>600</v>
      </c>
      <c r="B256" t="s">
        <v>320</v>
      </c>
      <c r="C256">
        <f t="shared" si="84"/>
        <v>113836</v>
      </c>
      <c r="D256">
        <v>129684</v>
      </c>
      <c r="E256">
        <v>15848</v>
      </c>
      <c r="F256">
        <f t="shared" si="85"/>
        <v>106034</v>
      </c>
      <c r="G256">
        <v>121882</v>
      </c>
      <c r="H256">
        <v>15848</v>
      </c>
      <c r="I256">
        <f t="shared" si="65"/>
        <v>9661</v>
      </c>
      <c r="J256">
        <f t="shared" si="66"/>
        <v>27955</v>
      </c>
      <c r="K256">
        <f t="shared" si="67"/>
        <v>26029</v>
      </c>
      <c r="L256">
        <f t="shared" si="68"/>
        <v>3383</v>
      </c>
      <c r="M256">
        <f t="shared" si="69"/>
        <v>379</v>
      </c>
      <c r="N256">
        <f t="shared" si="70"/>
        <v>2639</v>
      </c>
      <c r="O256">
        <f t="shared" si="71"/>
        <v>6972</v>
      </c>
      <c r="P256">
        <f t="shared" si="72"/>
        <v>15172</v>
      </c>
      <c r="Q256">
        <f t="shared" si="73"/>
        <v>18396</v>
      </c>
      <c r="R256">
        <f t="shared" si="74"/>
        <v>9896</v>
      </c>
      <c r="S256">
        <f t="shared" si="75"/>
        <v>647</v>
      </c>
      <c r="U256">
        <v>54915</v>
      </c>
      <c r="V256">
        <v>4146</v>
      </c>
      <c r="W256">
        <v>6704</v>
      </c>
      <c r="X256">
        <v>379</v>
      </c>
      <c r="Y256">
        <v>4560</v>
      </c>
      <c r="Z256">
        <v>9762</v>
      </c>
      <c r="AA256">
        <v>33620</v>
      </c>
      <c r="AB256">
        <v>9309</v>
      </c>
      <c r="AC256">
        <v>5341</v>
      </c>
      <c r="AD256">
        <v>522</v>
      </c>
      <c r="AE256">
        <f t="shared" si="86"/>
        <v>18448</v>
      </c>
      <c r="AF256">
        <v>10626</v>
      </c>
      <c r="AG256">
        <v>4972</v>
      </c>
      <c r="AH256">
        <v>4300</v>
      </c>
      <c r="AI256">
        <f t="shared" si="87"/>
        <v>672</v>
      </c>
      <c r="AJ256" t="s">
        <v>1093</v>
      </c>
      <c r="AK256">
        <v>25</v>
      </c>
      <c r="AM256">
        <v>730</v>
      </c>
      <c r="AO256">
        <v>2790</v>
      </c>
      <c r="AQ256">
        <v>1780</v>
      </c>
      <c r="AR256">
        <v>141</v>
      </c>
      <c r="AU256">
        <v>2449</v>
      </c>
      <c r="AW256">
        <v>254</v>
      </c>
      <c r="AX256">
        <v>509</v>
      </c>
      <c r="AY256">
        <v>1581</v>
      </c>
      <c r="AZ256">
        <v>27305</v>
      </c>
      <c r="BA256">
        <v>52</v>
      </c>
    </row>
    <row r="257" spans="1:56" x14ac:dyDescent="0.25">
      <c r="A257" t="s">
        <v>601</v>
      </c>
      <c r="B257" t="s">
        <v>251</v>
      </c>
      <c r="C257">
        <f t="shared" si="84"/>
        <v>18575</v>
      </c>
      <c r="D257">
        <v>18862</v>
      </c>
      <c r="E257">
        <v>287</v>
      </c>
      <c r="F257">
        <f t="shared" si="85"/>
        <v>21840</v>
      </c>
      <c r="G257">
        <v>22127</v>
      </c>
      <c r="H257">
        <v>287</v>
      </c>
      <c r="I257">
        <f t="shared" si="65"/>
        <v>1080</v>
      </c>
      <c r="J257">
        <f t="shared" si="66"/>
        <v>4956</v>
      </c>
      <c r="K257">
        <f t="shared" si="67"/>
        <v>2317</v>
      </c>
      <c r="L257">
        <f t="shared" si="68"/>
        <v>527</v>
      </c>
      <c r="M257">
        <f t="shared" si="69"/>
        <v>106</v>
      </c>
      <c r="N257">
        <f t="shared" si="70"/>
        <v>358</v>
      </c>
      <c r="O257">
        <f t="shared" si="71"/>
        <v>1242</v>
      </c>
      <c r="P257">
        <f t="shared" si="72"/>
        <v>1281</v>
      </c>
      <c r="Q257">
        <f t="shared" si="73"/>
        <v>3718</v>
      </c>
      <c r="R257">
        <f t="shared" si="74"/>
        <v>1729</v>
      </c>
      <c r="S257">
        <f t="shared" si="75"/>
        <v>667</v>
      </c>
      <c r="U257">
        <v>4979</v>
      </c>
      <c r="V257">
        <v>677</v>
      </c>
      <c r="W257">
        <v>1016</v>
      </c>
      <c r="X257">
        <v>179</v>
      </c>
      <c r="Y257">
        <v>662</v>
      </c>
      <c r="Z257">
        <v>1675</v>
      </c>
      <c r="AA257">
        <v>5982</v>
      </c>
      <c r="AB257">
        <v>1321</v>
      </c>
      <c r="AC257">
        <v>153</v>
      </c>
      <c r="AD257">
        <v>189</v>
      </c>
      <c r="AE257">
        <f t="shared" si="86"/>
        <v>4319</v>
      </c>
      <c r="AF257">
        <v>2283</v>
      </c>
      <c r="AG257">
        <v>1409</v>
      </c>
      <c r="AH257">
        <v>395</v>
      </c>
      <c r="AI257">
        <f t="shared" si="87"/>
        <v>1014</v>
      </c>
      <c r="AJ257" t="s">
        <v>1030</v>
      </c>
      <c r="AK257">
        <v>0</v>
      </c>
      <c r="AL257">
        <v>347</v>
      </c>
      <c r="AM257">
        <v>223</v>
      </c>
      <c r="AN257">
        <v>331</v>
      </c>
      <c r="AO257">
        <v>69</v>
      </c>
      <c r="AP257">
        <v>364</v>
      </c>
      <c r="AQ257">
        <v>227</v>
      </c>
      <c r="AR257">
        <v>77</v>
      </c>
      <c r="AT257">
        <v>73</v>
      </c>
      <c r="AU257">
        <v>276</v>
      </c>
      <c r="AV257">
        <v>254</v>
      </c>
      <c r="AW257">
        <v>16</v>
      </c>
      <c r="AX257">
        <v>134</v>
      </c>
      <c r="AY257">
        <v>269</v>
      </c>
      <c r="AZ257">
        <v>2393</v>
      </c>
      <c r="BB257">
        <v>601</v>
      </c>
      <c r="BD257">
        <v>382</v>
      </c>
    </row>
    <row r="258" spans="1:56" x14ac:dyDescent="0.25">
      <c r="A258" t="s">
        <v>603</v>
      </c>
      <c r="B258" t="s">
        <v>374</v>
      </c>
      <c r="C258">
        <f t="shared" si="84"/>
        <v>294870</v>
      </c>
      <c r="D258">
        <v>318461</v>
      </c>
      <c r="E258">
        <v>23591</v>
      </c>
      <c r="F258">
        <f t="shared" si="85"/>
        <v>274479</v>
      </c>
      <c r="G258">
        <v>298070</v>
      </c>
      <c r="H258">
        <v>23591</v>
      </c>
      <c r="I258">
        <f t="shared" si="65"/>
        <v>10247</v>
      </c>
      <c r="J258">
        <f t="shared" si="66"/>
        <v>40733</v>
      </c>
      <c r="K258">
        <f t="shared" si="67"/>
        <v>49514</v>
      </c>
      <c r="L258">
        <f t="shared" si="68"/>
        <v>6574</v>
      </c>
      <c r="M258">
        <f t="shared" si="69"/>
        <v>9213</v>
      </c>
      <c r="N258">
        <f t="shared" si="70"/>
        <v>13017</v>
      </c>
      <c r="O258">
        <f t="shared" si="71"/>
        <v>23700</v>
      </c>
      <c r="P258">
        <f t="shared" si="72"/>
        <v>64179</v>
      </c>
      <c r="Q258">
        <f t="shared" si="73"/>
        <v>49943</v>
      </c>
      <c r="R258">
        <f t="shared" si="74"/>
        <v>22791</v>
      </c>
      <c r="S258">
        <f t="shared" si="75"/>
        <v>9498</v>
      </c>
      <c r="U258">
        <v>73248</v>
      </c>
      <c r="V258">
        <v>10557</v>
      </c>
      <c r="W258">
        <v>19070</v>
      </c>
      <c r="X258">
        <v>9633</v>
      </c>
      <c r="Y258">
        <v>16098</v>
      </c>
      <c r="Z258">
        <v>27746</v>
      </c>
      <c r="AA258">
        <v>116852</v>
      </c>
      <c r="AB258">
        <v>43996</v>
      </c>
      <c r="AC258">
        <v>21076</v>
      </c>
      <c r="AD258">
        <v>0</v>
      </c>
      <c r="AE258">
        <f t="shared" si="86"/>
        <v>51780</v>
      </c>
      <c r="AF258">
        <v>25047</v>
      </c>
      <c r="AG258">
        <v>20210</v>
      </c>
      <c r="AH258">
        <v>5437</v>
      </c>
      <c r="AI258">
        <f t="shared" si="87"/>
        <v>14773</v>
      </c>
      <c r="AJ258" t="s">
        <v>1131</v>
      </c>
      <c r="AK258">
        <v>468</v>
      </c>
      <c r="AL258">
        <v>4807</v>
      </c>
      <c r="AM258">
        <v>1327</v>
      </c>
      <c r="AN258">
        <v>929</v>
      </c>
      <c r="AO258">
        <v>871</v>
      </c>
      <c r="AP258">
        <v>3175</v>
      </c>
      <c r="AQ258">
        <v>2517</v>
      </c>
      <c r="AR258">
        <v>564</v>
      </c>
      <c r="AT258">
        <v>420</v>
      </c>
      <c r="AU258">
        <v>2831</v>
      </c>
      <c r="AV258">
        <v>2624</v>
      </c>
      <c r="AX258">
        <v>3983</v>
      </c>
      <c r="AY258">
        <v>2233</v>
      </c>
      <c r="AZ258">
        <v>21501</v>
      </c>
      <c r="BB258">
        <v>1837</v>
      </c>
      <c r="BD258">
        <v>893</v>
      </c>
    </row>
    <row r="259" spans="1:56" x14ac:dyDescent="0.25">
      <c r="A259" t="s">
        <v>602</v>
      </c>
      <c r="B259" t="s">
        <v>179</v>
      </c>
      <c r="C259">
        <f t="shared" si="84"/>
        <v>6857</v>
      </c>
      <c r="D259">
        <v>7110</v>
      </c>
      <c r="E259">
        <v>253</v>
      </c>
      <c r="F259">
        <f t="shared" si="85"/>
        <v>6570</v>
      </c>
      <c r="G259">
        <v>6823</v>
      </c>
      <c r="H259">
        <v>253</v>
      </c>
      <c r="I259">
        <f t="shared" ref="I259:I322" si="88">SUM(AK259,AM259,AO259,AQ259,AS259,AU259,AW259,AY259,BA259,BC259)</f>
        <v>446</v>
      </c>
      <c r="J259">
        <f t="shared" ref="J259:J322" si="89">SUM(AL259,AN259,AP259,AR259,AT259,AV259,AX259,AZ259,BB259,BD259)</f>
        <v>2014</v>
      </c>
      <c r="K259">
        <f t="shared" ref="K259:K322" si="90">SUM(U259,-AY259,-AZ259)</f>
        <v>1436</v>
      </c>
      <c r="L259">
        <f t="shared" ref="L259:L322" si="91">SUM(V259,-AW259,-AX259)</f>
        <v>299</v>
      </c>
      <c r="M259">
        <f t="shared" ref="M259:M322" si="92">SUM(X259,-AS259,-AT259)</f>
        <v>103</v>
      </c>
      <c r="N259">
        <f t="shared" ref="N259:N322" si="93">SUM(Y259,-AQ259,-AR259)</f>
        <v>247</v>
      </c>
      <c r="O259">
        <f t="shared" ref="O259:O322" si="94">SUM(Z259,-AO259,-AP259)</f>
        <v>605</v>
      </c>
      <c r="P259">
        <f t="shared" ref="P259:P322" si="95">SUM(AB259,AC259,AD259,-BC259,-BD259)</f>
        <v>201</v>
      </c>
      <c r="Q259">
        <f t="shared" ref="Q259:Q322" si="96">SUM(AE259,-BA259,-BB259)</f>
        <v>471</v>
      </c>
      <c r="R259">
        <f t="shared" ref="R259:R322" si="97">SUM(AF259,-AM259,-AN259)</f>
        <v>454</v>
      </c>
      <c r="S259">
        <f t="shared" ref="S259:S322" si="98">SUM(AI259,-AK259,-AL259)</f>
        <v>261</v>
      </c>
      <c r="U259">
        <v>2592</v>
      </c>
      <c r="V259">
        <v>365</v>
      </c>
      <c r="W259">
        <v>765</v>
      </c>
      <c r="X259">
        <v>131</v>
      </c>
      <c r="Y259">
        <v>325</v>
      </c>
      <c r="Z259">
        <v>869</v>
      </c>
      <c r="AA259">
        <v>879</v>
      </c>
      <c r="AB259">
        <v>193</v>
      </c>
      <c r="AC259">
        <v>5</v>
      </c>
      <c r="AD259">
        <v>9</v>
      </c>
      <c r="AE259">
        <f t="shared" si="86"/>
        <v>672</v>
      </c>
      <c r="AF259">
        <v>652</v>
      </c>
      <c r="AG259">
        <v>532</v>
      </c>
      <c r="AH259">
        <v>0</v>
      </c>
      <c r="AI259">
        <f t="shared" si="87"/>
        <v>532</v>
      </c>
      <c r="AJ259" t="s">
        <v>971</v>
      </c>
      <c r="AK259">
        <v>49</v>
      </c>
      <c r="AL259">
        <v>222</v>
      </c>
      <c r="AM259">
        <v>85</v>
      </c>
      <c r="AN259">
        <v>113</v>
      </c>
      <c r="AO259">
        <v>46</v>
      </c>
      <c r="AP259">
        <v>218</v>
      </c>
      <c r="AQ259">
        <v>56</v>
      </c>
      <c r="AR259">
        <v>22</v>
      </c>
      <c r="AT259">
        <v>28</v>
      </c>
      <c r="AU259">
        <v>83</v>
      </c>
      <c r="AV259">
        <v>109</v>
      </c>
      <c r="AW259">
        <v>1</v>
      </c>
      <c r="AX259">
        <v>65</v>
      </c>
      <c r="AY259">
        <v>116</v>
      </c>
      <c r="AZ259">
        <v>1040</v>
      </c>
      <c r="BA259">
        <v>10</v>
      </c>
      <c r="BB259">
        <v>191</v>
      </c>
      <c r="BD259">
        <v>6</v>
      </c>
    </row>
    <row r="260" spans="1:56" x14ac:dyDescent="0.25">
      <c r="A260" t="s">
        <v>610</v>
      </c>
      <c r="B260" t="s">
        <v>396</v>
      </c>
      <c r="C260">
        <f t="shared" si="84"/>
        <v>107674</v>
      </c>
      <c r="D260">
        <v>111878</v>
      </c>
      <c r="E260">
        <v>4204</v>
      </c>
      <c r="F260">
        <f t="shared" si="85"/>
        <v>101085</v>
      </c>
      <c r="G260">
        <v>105289</v>
      </c>
      <c r="H260">
        <v>4204</v>
      </c>
      <c r="I260">
        <f t="shared" si="88"/>
        <v>5947</v>
      </c>
      <c r="J260">
        <f t="shared" si="89"/>
        <v>28038</v>
      </c>
      <c r="K260">
        <f t="shared" si="90"/>
        <v>11843</v>
      </c>
      <c r="L260">
        <f t="shared" si="91"/>
        <v>3489</v>
      </c>
      <c r="M260">
        <f t="shared" si="92"/>
        <v>2415</v>
      </c>
      <c r="N260">
        <f t="shared" si="93"/>
        <v>2716</v>
      </c>
      <c r="O260">
        <f t="shared" si="94"/>
        <v>8247</v>
      </c>
      <c r="P260">
        <f t="shared" si="95"/>
        <v>10544</v>
      </c>
      <c r="Q260">
        <f t="shared" si="96"/>
        <v>17981</v>
      </c>
      <c r="R260">
        <f t="shared" si="97"/>
        <v>10204</v>
      </c>
      <c r="S260">
        <f t="shared" si="98"/>
        <v>2076</v>
      </c>
      <c r="U260">
        <v>20866</v>
      </c>
      <c r="V260">
        <v>4645</v>
      </c>
      <c r="W260">
        <v>10356</v>
      </c>
      <c r="X260">
        <v>2745</v>
      </c>
      <c r="Y260">
        <v>3403</v>
      </c>
      <c r="Z260">
        <v>13233</v>
      </c>
      <c r="AA260">
        <v>37790</v>
      </c>
      <c r="AB260">
        <v>8721</v>
      </c>
      <c r="AC260">
        <v>8051</v>
      </c>
      <c r="AD260">
        <v>918</v>
      </c>
      <c r="AE260">
        <f t="shared" si="86"/>
        <v>20100</v>
      </c>
      <c r="AF260">
        <v>13525</v>
      </c>
      <c r="AG260">
        <v>5315</v>
      </c>
      <c r="AH260">
        <v>535</v>
      </c>
      <c r="AI260">
        <f t="shared" si="87"/>
        <v>4780</v>
      </c>
      <c r="AJ260" t="s">
        <v>1240</v>
      </c>
      <c r="AK260">
        <v>25</v>
      </c>
      <c r="AL260">
        <v>2679</v>
      </c>
      <c r="AM260">
        <v>832</v>
      </c>
      <c r="AN260">
        <v>2489</v>
      </c>
      <c r="AO260">
        <v>2302</v>
      </c>
      <c r="AP260">
        <v>2684</v>
      </c>
      <c r="AQ260">
        <v>558</v>
      </c>
      <c r="AR260">
        <v>129</v>
      </c>
      <c r="AS260">
        <v>27</v>
      </c>
      <c r="AT260">
        <v>303</v>
      </c>
      <c r="AU260">
        <v>1073</v>
      </c>
      <c r="AV260">
        <v>1440</v>
      </c>
      <c r="AW260">
        <v>95</v>
      </c>
      <c r="AX260">
        <v>1061</v>
      </c>
      <c r="AY260">
        <v>990</v>
      </c>
      <c r="AZ260">
        <v>8033</v>
      </c>
      <c r="BA260">
        <v>36</v>
      </c>
      <c r="BB260">
        <v>2083</v>
      </c>
      <c r="BC260">
        <v>9</v>
      </c>
      <c r="BD260">
        <v>7137</v>
      </c>
    </row>
    <row r="261" spans="1:56" x14ac:dyDescent="0.25">
      <c r="A261" t="s">
        <v>603</v>
      </c>
      <c r="B261" t="s">
        <v>511</v>
      </c>
      <c r="C261">
        <f t="shared" si="84"/>
        <v>2425681</v>
      </c>
      <c r="D261">
        <v>2582734</v>
      </c>
      <c r="E261">
        <v>157053</v>
      </c>
      <c r="F261">
        <f t="shared" si="85"/>
        <v>2289895</v>
      </c>
      <c r="G261">
        <v>2446948</v>
      </c>
      <c r="H261">
        <v>157053</v>
      </c>
      <c r="I261">
        <f t="shared" si="88"/>
        <v>76018</v>
      </c>
      <c r="J261">
        <f t="shared" si="89"/>
        <v>582383</v>
      </c>
      <c r="K261">
        <f t="shared" si="90"/>
        <v>238737</v>
      </c>
      <c r="L261">
        <f t="shared" si="91"/>
        <v>62981</v>
      </c>
      <c r="M261">
        <f t="shared" si="92"/>
        <v>40807</v>
      </c>
      <c r="N261">
        <f t="shared" si="93"/>
        <v>116020</v>
      </c>
      <c r="O261">
        <f t="shared" si="94"/>
        <v>141647</v>
      </c>
      <c r="P261">
        <f t="shared" si="95"/>
        <v>484417</v>
      </c>
      <c r="Q261">
        <f t="shared" si="96"/>
        <v>471175</v>
      </c>
      <c r="R261">
        <f t="shared" si="97"/>
        <v>119742</v>
      </c>
      <c r="S261">
        <f t="shared" si="98"/>
        <v>77229</v>
      </c>
      <c r="U261">
        <v>510148</v>
      </c>
      <c r="V261">
        <v>83818</v>
      </c>
      <c r="W261">
        <v>165598</v>
      </c>
      <c r="X261">
        <v>50659</v>
      </c>
      <c r="Y261">
        <v>138058</v>
      </c>
      <c r="Z261">
        <v>194243</v>
      </c>
      <c r="AA261">
        <v>1121326</v>
      </c>
      <c r="AB261">
        <v>467235</v>
      </c>
      <c r="AC261">
        <v>60125</v>
      </c>
      <c r="AD261">
        <v>55157</v>
      </c>
      <c r="AE261">
        <f t="shared" si="86"/>
        <v>538809</v>
      </c>
      <c r="AF261">
        <v>158148</v>
      </c>
      <c r="AG261">
        <v>160736</v>
      </c>
      <c r="AH261">
        <v>62341</v>
      </c>
      <c r="AI261">
        <f t="shared" si="87"/>
        <v>98395</v>
      </c>
      <c r="AJ261" t="s">
        <v>1111</v>
      </c>
      <c r="AK261">
        <v>1283</v>
      </c>
      <c r="AL261">
        <v>19883</v>
      </c>
      <c r="AM261">
        <v>3592</v>
      </c>
      <c r="AN261">
        <v>34814</v>
      </c>
      <c r="AO261">
        <v>13461</v>
      </c>
      <c r="AP261">
        <v>39135</v>
      </c>
      <c r="AQ261">
        <v>15178</v>
      </c>
      <c r="AR261">
        <v>6860</v>
      </c>
      <c r="AS261">
        <v>2503</v>
      </c>
      <c r="AT261">
        <v>7349</v>
      </c>
      <c r="AU261">
        <v>13149</v>
      </c>
      <c r="AV261">
        <v>43212</v>
      </c>
      <c r="AW261">
        <v>28</v>
      </c>
      <c r="AX261">
        <v>20809</v>
      </c>
      <c r="AY261">
        <v>23943</v>
      </c>
      <c r="AZ261">
        <v>247468</v>
      </c>
      <c r="BA261">
        <v>2616</v>
      </c>
      <c r="BB261">
        <v>65018</v>
      </c>
      <c r="BC261">
        <v>265</v>
      </c>
      <c r="BD261">
        <v>97835</v>
      </c>
    </row>
    <row r="262" spans="1:56" x14ac:dyDescent="0.25">
      <c r="A262" t="s">
        <v>599</v>
      </c>
      <c r="B262" t="s">
        <v>551</v>
      </c>
      <c r="C262">
        <f t="shared" si="84"/>
        <v>767472</v>
      </c>
      <c r="D262">
        <v>783988</v>
      </c>
      <c r="E262">
        <v>16516</v>
      </c>
      <c r="F262">
        <f t="shared" si="85"/>
        <v>731109</v>
      </c>
      <c r="G262">
        <v>747625</v>
      </c>
      <c r="H262">
        <v>16516</v>
      </c>
      <c r="I262">
        <f t="shared" si="88"/>
        <v>45715</v>
      </c>
      <c r="J262">
        <f t="shared" si="89"/>
        <v>162253</v>
      </c>
      <c r="K262">
        <f t="shared" si="90"/>
        <v>61008</v>
      </c>
      <c r="L262">
        <f t="shared" si="91"/>
        <v>12631</v>
      </c>
      <c r="M262">
        <f t="shared" si="92"/>
        <v>6561</v>
      </c>
      <c r="N262">
        <f t="shared" si="93"/>
        <v>23555</v>
      </c>
      <c r="O262">
        <f t="shared" si="94"/>
        <v>37407</v>
      </c>
      <c r="P262">
        <f t="shared" si="95"/>
        <v>78465</v>
      </c>
      <c r="Q262">
        <f t="shared" si="96"/>
        <v>261081</v>
      </c>
      <c r="R262">
        <f t="shared" si="97"/>
        <v>40431</v>
      </c>
      <c r="S262">
        <f t="shared" si="98"/>
        <v>4091</v>
      </c>
      <c r="U262">
        <v>108591</v>
      </c>
      <c r="V262">
        <v>16768</v>
      </c>
      <c r="W262">
        <v>39096</v>
      </c>
      <c r="X262">
        <v>8562</v>
      </c>
      <c r="Y262">
        <v>40788</v>
      </c>
      <c r="Z262">
        <v>51749</v>
      </c>
      <c r="AA262">
        <v>415790</v>
      </c>
      <c r="AB262">
        <v>78039</v>
      </c>
      <c r="AC262">
        <v>22595</v>
      </c>
      <c r="AD262">
        <v>10972</v>
      </c>
      <c r="AE262">
        <f t="shared" si="86"/>
        <v>304184</v>
      </c>
      <c r="AF262">
        <v>64139</v>
      </c>
      <c r="AG262">
        <v>38505</v>
      </c>
      <c r="AH262">
        <v>28200</v>
      </c>
      <c r="AI262">
        <f t="shared" si="87"/>
        <v>10305</v>
      </c>
      <c r="AJ262" t="s">
        <v>1176</v>
      </c>
      <c r="AK262">
        <v>702</v>
      </c>
      <c r="AL262">
        <v>5512</v>
      </c>
      <c r="AM262">
        <v>6221</v>
      </c>
      <c r="AN262">
        <v>17487</v>
      </c>
      <c r="AO262">
        <v>6568</v>
      </c>
      <c r="AP262">
        <v>7774</v>
      </c>
      <c r="AQ262">
        <v>8405</v>
      </c>
      <c r="AR262">
        <v>8828</v>
      </c>
      <c r="AS262">
        <v>392</v>
      </c>
      <c r="AT262">
        <v>1609</v>
      </c>
      <c r="AU262">
        <v>10683</v>
      </c>
      <c r="AV262">
        <v>5823</v>
      </c>
      <c r="AW262">
        <v>430</v>
      </c>
      <c r="AX262">
        <v>3707</v>
      </c>
      <c r="AY262">
        <v>7637</v>
      </c>
      <c r="AZ262">
        <v>39946</v>
      </c>
      <c r="BA262">
        <v>4514</v>
      </c>
      <c r="BB262">
        <v>38589</v>
      </c>
      <c r="BC262">
        <v>163</v>
      </c>
      <c r="BD262">
        <v>32978</v>
      </c>
    </row>
    <row r="263" spans="1:56" x14ac:dyDescent="0.25">
      <c r="A263" t="s">
        <v>608</v>
      </c>
      <c r="B263" t="s">
        <v>485</v>
      </c>
      <c r="C263">
        <f t="shared" si="84"/>
        <v>25575</v>
      </c>
      <c r="D263">
        <v>25688</v>
      </c>
      <c r="E263">
        <v>113</v>
      </c>
      <c r="F263">
        <f t="shared" si="85"/>
        <v>24862</v>
      </c>
      <c r="G263">
        <v>24975</v>
      </c>
      <c r="H263">
        <v>113</v>
      </c>
      <c r="I263">
        <f t="shared" si="88"/>
        <v>873</v>
      </c>
      <c r="J263">
        <f t="shared" si="89"/>
        <v>4959</v>
      </c>
      <c r="K263">
        <f t="shared" si="90"/>
        <v>2317</v>
      </c>
      <c r="L263">
        <f t="shared" si="91"/>
        <v>873</v>
      </c>
      <c r="M263">
        <f t="shared" si="92"/>
        <v>169</v>
      </c>
      <c r="N263">
        <f t="shared" si="93"/>
        <v>374</v>
      </c>
      <c r="O263">
        <f t="shared" si="94"/>
        <v>1218</v>
      </c>
      <c r="P263">
        <f t="shared" si="95"/>
        <v>6222</v>
      </c>
      <c r="Q263">
        <f t="shared" si="96"/>
        <v>6020</v>
      </c>
      <c r="R263">
        <f t="shared" si="97"/>
        <v>1787</v>
      </c>
      <c r="S263">
        <f t="shared" si="98"/>
        <v>140</v>
      </c>
      <c r="U263">
        <v>5664</v>
      </c>
      <c r="V263">
        <v>1070</v>
      </c>
      <c r="W263">
        <v>908</v>
      </c>
      <c r="X263">
        <v>264</v>
      </c>
      <c r="Y263">
        <v>523</v>
      </c>
      <c r="Z263">
        <v>1456</v>
      </c>
      <c r="AA263">
        <v>12784</v>
      </c>
      <c r="AB263">
        <v>2920</v>
      </c>
      <c r="AC263">
        <v>2829</v>
      </c>
      <c r="AD263">
        <v>518</v>
      </c>
      <c r="AE263">
        <f t="shared" si="86"/>
        <v>6517</v>
      </c>
      <c r="AF263">
        <v>2410</v>
      </c>
      <c r="AG263">
        <v>609</v>
      </c>
      <c r="AH263">
        <v>39</v>
      </c>
      <c r="AI263">
        <f t="shared" si="87"/>
        <v>570</v>
      </c>
      <c r="AJ263" t="s">
        <v>1215</v>
      </c>
      <c r="AL263">
        <v>430</v>
      </c>
      <c r="AM263">
        <v>362</v>
      </c>
      <c r="AN263">
        <v>261</v>
      </c>
      <c r="AO263">
        <v>81</v>
      </c>
      <c r="AP263">
        <v>157</v>
      </c>
      <c r="AQ263">
        <v>117</v>
      </c>
      <c r="AR263">
        <v>32</v>
      </c>
      <c r="AT263">
        <v>95</v>
      </c>
      <c r="AU263">
        <v>37</v>
      </c>
      <c r="AV263">
        <v>174</v>
      </c>
      <c r="AW263">
        <v>26</v>
      </c>
      <c r="AX263">
        <v>171</v>
      </c>
      <c r="AY263">
        <v>220</v>
      </c>
      <c r="AZ263">
        <v>3127</v>
      </c>
      <c r="BA263">
        <v>30</v>
      </c>
      <c r="BB263">
        <v>467</v>
      </c>
      <c r="BD263">
        <v>45</v>
      </c>
    </row>
    <row r="264" spans="1:56" x14ac:dyDescent="0.25">
      <c r="A264" t="s">
        <v>599</v>
      </c>
      <c r="B264" t="s">
        <v>507</v>
      </c>
      <c r="C264">
        <f t="shared" si="84"/>
        <v>27212</v>
      </c>
      <c r="D264">
        <v>27254</v>
      </c>
      <c r="E264">
        <v>42</v>
      </c>
      <c r="F264">
        <f t="shared" si="85"/>
        <v>30219</v>
      </c>
      <c r="G264">
        <v>30219</v>
      </c>
      <c r="H264">
        <v>0</v>
      </c>
      <c r="I264">
        <f t="shared" si="88"/>
        <v>1737</v>
      </c>
      <c r="J264">
        <f t="shared" si="89"/>
        <v>6076</v>
      </c>
      <c r="K264">
        <f t="shared" si="90"/>
        <v>2120</v>
      </c>
      <c r="L264">
        <f t="shared" si="91"/>
        <v>748</v>
      </c>
      <c r="M264">
        <f t="shared" si="92"/>
        <v>739</v>
      </c>
      <c r="N264">
        <f t="shared" si="93"/>
        <v>540</v>
      </c>
      <c r="O264">
        <f t="shared" si="94"/>
        <v>1880</v>
      </c>
      <c r="P264">
        <f t="shared" si="95"/>
        <v>3358</v>
      </c>
      <c r="Q264">
        <f t="shared" si="96"/>
        <v>6004</v>
      </c>
      <c r="R264">
        <f t="shared" si="97"/>
        <v>2548</v>
      </c>
      <c r="S264">
        <f t="shared" si="98"/>
        <v>113</v>
      </c>
      <c r="U264">
        <v>5290</v>
      </c>
      <c r="V264">
        <v>865</v>
      </c>
      <c r="W264">
        <v>1451</v>
      </c>
      <c r="X264">
        <v>850</v>
      </c>
      <c r="Y264">
        <v>1035</v>
      </c>
      <c r="Z264">
        <v>2846</v>
      </c>
      <c r="AA264">
        <v>9789</v>
      </c>
      <c r="AB264">
        <v>1812</v>
      </c>
      <c r="AC264">
        <v>1332</v>
      </c>
      <c r="AD264">
        <v>214</v>
      </c>
      <c r="AE264">
        <f t="shared" si="86"/>
        <v>6431</v>
      </c>
      <c r="AF264">
        <v>3173</v>
      </c>
      <c r="AG264">
        <v>1955</v>
      </c>
      <c r="AH264">
        <v>585</v>
      </c>
      <c r="AI264">
        <f t="shared" si="87"/>
        <v>1370</v>
      </c>
      <c r="AJ264" t="s">
        <v>1251</v>
      </c>
      <c r="AL264">
        <v>1257</v>
      </c>
      <c r="AM264">
        <v>236</v>
      </c>
      <c r="AN264">
        <v>389</v>
      </c>
      <c r="AO264">
        <v>391</v>
      </c>
      <c r="AP264">
        <v>575</v>
      </c>
      <c r="AQ264">
        <v>466</v>
      </c>
      <c r="AR264">
        <v>29</v>
      </c>
      <c r="AT264">
        <v>111</v>
      </c>
      <c r="AU264">
        <v>316</v>
      </c>
      <c r="AV264">
        <v>329</v>
      </c>
      <c r="AW264">
        <v>14</v>
      </c>
      <c r="AX264">
        <v>103</v>
      </c>
      <c r="AY264">
        <v>163</v>
      </c>
      <c r="AZ264">
        <v>3007</v>
      </c>
      <c r="BA264">
        <v>151</v>
      </c>
      <c r="BB264">
        <v>276</v>
      </c>
    </row>
    <row r="265" spans="1:56" x14ac:dyDescent="0.25">
      <c r="A265" t="s">
        <v>599</v>
      </c>
      <c r="B265" t="s">
        <v>447</v>
      </c>
      <c r="C265">
        <f t="shared" si="84"/>
        <v>70655</v>
      </c>
      <c r="D265">
        <v>71227</v>
      </c>
      <c r="E265">
        <v>572</v>
      </c>
      <c r="F265">
        <f t="shared" si="85"/>
        <v>65117</v>
      </c>
      <c r="G265">
        <v>65689</v>
      </c>
      <c r="H265">
        <v>572</v>
      </c>
      <c r="I265">
        <f t="shared" si="88"/>
        <v>2652</v>
      </c>
      <c r="J265">
        <f t="shared" si="89"/>
        <v>1130</v>
      </c>
      <c r="K265">
        <f t="shared" si="90"/>
        <v>6327</v>
      </c>
      <c r="L265">
        <f t="shared" si="91"/>
        <v>2618</v>
      </c>
      <c r="M265">
        <f t="shared" si="92"/>
        <v>612</v>
      </c>
      <c r="N265">
        <f t="shared" si="93"/>
        <v>3205</v>
      </c>
      <c r="O265">
        <f t="shared" si="94"/>
        <v>5364</v>
      </c>
      <c r="P265">
        <f t="shared" si="95"/>
        <v>10319</v>
      </c>
      <c r="Q265">
        <f t="shared" si="96"/>
        <v>15910</v>
      </c>
      <c r="R265">
        <f t="shared" si="97"/>
        <v>5928</v>
      </c>
      <c r="S265">
        <f t="shared" si="98"/>
        <v>2860</v>
      </c>
      <c r="U265">
        <v>9070</v>
      </c>
      <c r="V265">
        <v>2638</v>
      </c>
      <c r="W265">
        <v>2614</v>
      </c>
      <c r="X265">
        <v>612</v>
      </c>
      <c r="Y265">
        <v>3495</v>
      </c>
      <c r="Z265">
        <v>5609</v>
      </c>
      <c r="AA265">
        <v>26431</v>
      </c>
      <c r="AB265">
        <v>5756</v>
      </c>
      <c r="AC265">
        <v>4240</v>
      </c>
      <c r="AD265">
        <v>323</v>
      </c>
      <c r="AE265">
        <f t="shared" si="86"/>
        <v>16112</v>
      </c>
      <c r="AF265">
        <v>6140</v>
      </c>
      <c r="AG265">
        <v>14618</v>
      </c>
      <c r="AH265">
        <v>11758</v>
      </c>
      <c r="AI265">
        <f t="shared" si="87"/>
        <v>2860</v>
      </c>
      <c r="AJ265" t="s">
        <v>1187</v>
      </c>
      <c r="AM265">
        <v>212</v>
      </c>
      <c r="AO265">
        <v>245</v>
      </c>
      <c r="AQ265">
        <v>290</v>
      </c>
      <c r="AU265">
        <v>70</v>
      </c>
      <c r="AW265">
        <v>4</v>
      </c>
      <c r="AX265">
        <v>16</v>
      </c>
      <c r="AY265">
        <v>1629</v>
      </c>
      <c r="AZ265">
        <v>1114</v>
      </c>
      <c r="BA265">
        <v>202</v>
      </c>
    </row>
    <row r="266" spans="1:56" x14ac:dyDescent="0.25">
      <c r="A266" t="s">
        <v>608</v>
      </c>
      <c r="B266" t="s">
        <v>486</v>
      </c>
      <c r="C266">
        <f t="shared" si="84"/>
        <v>308244</v>
      </c>
      <c r="D266">
        <v>316208</v>
      </c>
      <c r="E266">
        <v>7964</v>
      </c>
      <c r="F266">
        <f t="shared" si="85"/>
        <v>308804</v>
      </c>
      <c r="G266">
        <v>316768</v>
      </c>
      <c r="H266">
        <v>7964</v>
      </c>
      <c r="I266">
        <f t="shared" si="88"/>
        <v>14320</v>
      </c>
      <c r="J266">
        <f t="shared" si="89"/>
        <v>52857</v>
      </c>
      <c r="K266">
        <f t="shared" si="90"/>
        <v>35648</v>
      </c>
      <c r="L266">
        <f t="shared" si="91"/>
        <v>9108</v>
      </c>
      <c r="M266">
        <f t="shared" si="92"/>
        <v>5564</v>
      </c>
      <c r="N266">
        <f t="shared" si="93"/>
        <v>6704</v>
      </c>
      <c r="O266">
        <f t="shared" si="94"/>
        <v>26507</v>
      </c>
      <c r="P266">
        <f t="shared" si="95"/>
        <v>67884</v>
      </c>
      <c r="Q266">
        <f t="shared" si="96"/>
        <v>66237</v>
      </c>
      <c r="R266">
        <f t="shared" si="97"/>
        <v>15976</v>
      </c>
      <c r="S266">
        <f t="shared" si="98"/>
        <v>1657</v>
      </c>
      <c r="U266">
        <v>61634</v>
      </c>
      <c r="V266">
        <v>12440</v>
      </c>
      <c r="W266">
        <v>15702</v>
      </c>
      <c r="X266">
        <v>7870</v>
      </c>
      <c r="Y266">
        <v>10576</v>
      </c>
      <c r="Z266">
        <v>31079</v>
      </c>
      <c r="AA266">
        <v>146952</v>
      </c>
      <c r="AB266">
        <v>50058</v>
      </c>
      <c r="AC266">
        <v>19429</v>
      </c>
      <c r="AD266">
        <v>6703</v>
      </c>
      <c r="AE266">
        <f t="shared" si="86"/>
        <v>70762</v>
      </c>
      <c r="AF266">
        <v>19979</v>
      </c>
      <c r="AG266">
        <v>9976</v>
      </c>
      <c r="AH266">
        <v>4923</v>
      </c>
      <c r="AI266">
        <f t="shared" si="87"/>
        <v>5053</v>
      </c>
      <c r="AJ266" t="s">
        <v>1277</v>
      </c>
      <c r="AK266">
        <v>163</v>
      </c>
      <c r="AL266">
        <v>3233</v>
      </c>
      <c r="AM266">
        <v>2043</v>
      </c>
      <c r="AN266">
        <v>1960</v>
      </c>
      <c r="AO266">
        <v>2364</v>
      </c>
      <c r="AP266">
        <v>2208</v>
      </c>
      <c r="AQ266">
        <v>2093</v>
      </c>
      <c r="AR266">
        <v>1779</v>
      </c>
      <c r="AS266">
        <v>556</v>
      </c>
      <c r="AT266">
        <v>1750</v>
      </c>
      <c r="AU266">
        <v>4576</v>
      </c>
      <c r="AV266">
        <v>2303</v>
      </c>
      <c r="AW266">
        <v>114</v>
      </c>
      <c r="AX266">
        <v>3218</v>
      </c>
      <c r="AY266">
        <v>2024</v>
      </c>
      <c r="AZ266">
        <v>23962</v>
      </c>
      <c r="BA266">
        <v>380</v>
      </c>
      <c r="BB266">
        <v>4145</v>
      </c>
      <c r="BC266">
        <v>7</v>
      </c>
      <c r="BD266">
        <v>8299</v>
      </c>
    </row>
    <row r="267" spans="1:56" x14ac:dyDescent="0.25">
      <c r="A267" t="s">
        <v>603</v>
      </c>
      <c r="B267" t="s">
        <v>375</v>
      </c>
      <c r="C267">
        <f t="shared" si="84"/>
        <v>68049</v>
      </c>
      <c r="D267">
        <v>70095</v>
      </c>
      <c r="E267">
        <v>2046</v>
      </c>
      <c r="F267">
        <f t="shared" si="85"/>
        <v>61232</v>
      </c>
      <c r="G267">
        <v>63278</v>
      </c>
      <c r="H267">
        <v>2046</v>
      </c>
      <c r="I267">
        <f t="shared" si="88"/>
        <v>2449</v>
      </c>
      <c r="J267">
        <f t="shared" si="89"/>
        <v>8797</v>
      </c>
      <c r="K267">
        <f t="shared" si="90"/>
        <v>11409</v>
      </c>
      <c r="L267">
        <f t="shared" si="91"/>
        <v>1924</v>
      </c>
      <c r="M267">
        <f t="shared" si="92"/>
        <v>5574</v>
      </c>
      <c r="N267">
        <f t="shared" si="93"/>
        <v>1493</v>
      </c>
      <c r="O267">
        <f t="shared" si="94"/>
        <v>3440</v>
      </c>
      <c r="P267">
        <f t="shared" si="95"/>
        <v>13000</v>
      </c>
      <c r="Q267">
        <f t="shared" si="96"/>
        <v>14615</v>
      </c>
      <c r="R267">
        <f t="shared" si="97"/>
        <v>4634</v>
      </c>
      <c r="S267">
        <f t="shared" si="98"/>
        <v>1339</v>
      </c>
      <c r="U267">
        <v>15179</v>
      </c>
      <c r="V267">
        <v>2130</v>
      </c>
      <c r="W267">
        <v>2527</v>
      </c>
      <c r="X267">
        <v>5810</v>
      </c>
      <c r="Y267">
        <v>2179</v>
      </c>
      <c r="Z267">
        <v>5813</v>
      </c>
      <c r="AA267">
        <v>28093</v>
      </c>
      <c r="AB267">
        <v>9675</v>
      </c>
      <c r="AC267">
        <v>2699</v>
      </c>
      <c r="AD267">
        <v>647</v>
      </c>
      <c r="AE267">
        <f t="shared" si="86"/>
        <v>15072</v>
      </c>
      <c r="AF267">
        <v>6080</v>
      </c>
      <c r="AG267">
        <v>2284</v>
      </c>
      <c r="AH267">
        <v>0</v>
      </c>
      <c r="AI267">
        <f t="shared" si="87"/>
        <v>2284</v>
      </c>
      <c r="AJ267" t="s">
        <v>1132</v>
      </c>
      <c r="AK267">
        <v>10</v>
      </c>
      <c r="AL267">
        <v>935</v>
      </c>
      <c r="AM267">
        <v>276</v>
      </c>
      <c r="AN267">
        <v>1170</v>
      </c>
      <c r="AO267">
        <v>663</v>
      </c>
      <c r="AP267">
        <v>1710</v>
      </c>
      <c r="AQ267">
        <v>505</v>
      </c>
      <c r="AR267">
        <v>181</v>
      </c>
      <c r="AS267">
        <v>45</v>
      </c>
      <c r="AT267">
        <v>191</v>
      </c>
      <c r="AU267">
        <v>306</v>
      </c>
      <c r="AV267">
        <v>800</v>
      </c>
      <c r="AW267">
        <v>9</v>
      </c>
      <c r="AX267">
        <v>197</v>
      </c>
      <c r="AY267">
        <v>500</v>
      </c>
      <c r="AZ267">
        <v>3270</v>
      </c>
      <c r="BA267">
        <v>135</v>
      </c>
      <c r="BB267">
        <v>322</v>
      </c>
      <c r="BD267">
        <v>21</v>
      </c>
    </row>
    <row r="268" spans="1:56" x14ac:dyDescent="0.25">
      <c r="A268" t="s">
        <v>610</v>
      </c>
      <c r="B268" t="s">
        <v>397</v>
      </c>
      <c r="C268">
        <f t="shared" si="84"/>
        <v>72898</v>
      </c>
      <c r="D268">
        <v>72913</v>
      </c>
      <c r="E268">
        <v>15</v>
      </c>
      <c r="F268">
        <f t="shared" si="85"/>
        <v>70186</v>
      </c>
      <c r="G268">
        <v>70201</v>
      </c>
      <c r="H268">
        <v>15</v>
      </c>
      <c r="I268">
        <f t="shared" si="88"/>
        <v>4838</v>
      </c>
      <c r="J268">
        <f t="shared" si="89"/>
        <v>14476</v>
      </c>
      <c r="K268">
        <f t="shared" si="90"/>
        <v>5545</v>
      </c>
      <c r="L268">
        <f t="shared" si="91"/>
        <v>2535</v>
      </c>
      <c r="M268">
        <f t="shared" si="92"/>
        <v>1208</v>
      </c>
      <c r="N268">
        <f t="shared" si="93"/>
        <v>1836</v>
      </c>
      <c r="O268">
        <f t="shared" si="94"/>
        <v>6713</v>
      </c>
      <c r="P268">
        <f t="shared" si="95"/>
        <v>13174</v>
      </c>
      <c r="Q268">
        <f t="shared" si="96"/>
        <v>8303</v>
      </c>
      <c r="R268">
        <f t="shared" si="97"/>
        <v>6651</v>
      </c>
      <c r="S268">
        <f t="shared" si="98"/>
        <v>829</v>
      </c>
      <c r="U268">
        <v>12727</v>
      </c>
      <c r="V268">
        <v>2833</v>
      </c>
      <c r="W268">
        <v>7996</v>
      </c>
      <c r="X268">
        <v>1772</v>
      </c>
      <c r="Y268">
        <v>2160</v>
      </c>
      <c r="Z268">
        <v>8746</v>
      </c>
      <c r="AA268">
        <v>24252</v>
      </c>
      <c r="AB268">
        <v>6552</v>
      </c>
      <c r="AC268">
        <v>7703</v>
      </c>
      <c r="AD268">
        <v>0</v>
      </c>
      <c r="AE268">
        <f t="shared" si="86"/>
        <v>9997</v>
      </c>
      <c r="AF268">
        <v>9212</v>
      </c>
      <c r="AG268">
        <v>3215</v>
      </c>
      <c r="AH268">
        <v>527</v>
      </c>
      <c r="AI268">
        <f t="shared" si="87"/>
        <v>2688</v>
      </c>
      <c r="AJ268" t="s">
        <v>1257</v>
      </c>
      <c r="AK268">
        <v>85</v>
      </c>
      <c r="AL268">
        <v>1774</v>
      </c>
      <c r="AM268">
        <v>1211</v>
      </c>
      <c r="AN268">
        <v>1350</v>
      </c>
      <c r="AO268">
        <v>810</v>
      </c>
      <c r="AP268">
        <v>1223</v>
      </c>
      <c r="AQ268">
        <v>304</v>
      </c>
      <c r="AR268">
        <v>20</v>
      </c>
      <c r="AS268">
        <v>262</v>
      </c>
      <c r="AT268">
        <v>302</v>
      </c>
      <c r="AU268">
        <v>1042</v>
      </c>
      <c r="AV268">
        <v>676</v>
      </c>
      <c r="AW268">
        <v>66</v>
      </c>
      <c r="AX268">
        <v>232</v>
      </c>
      <c r="AY268">
        <v>468</v>
      </c>
      <c r="AZ268">
        <v>6714</v>
      </c>
      <c r="BA268">
        <v>590</v>
      </c>
      <c r="BB268">
        <v>1104</v>
      </c>
      <c r="BD268">
        <v>1081</v>
      </c>
    </row>
    <row r="269" spans="1:56" x14ac:dyDescent="0.25">
      <c r="A269" t="s">
        <v>602</v>
      </c>
      <c r="B269" t="s">
        <v>180</v>
      </c>
      <c r="C269">
        <f t="shared" si="84"/>
        <v>198848</v>
      </c>
      <c r="D269">
        <v>198848</v>
      </c>
      <c r="E269">
        <v>0</v>
      </c>
      <c r="F269">
        <f t="shared" si="85"/>
        <v>203063</v>
      </c>
      <c r="G269">
        <v>203063</v>
      </c>
      <c r="H269">
        <v>0</v>
      </c>
      <c r="I269">
        <f t="shared" si="88"/>
        <v>6801</v>
      </c>
      <c r="J269">
        <f t="shared" si="89"/>
        <v>32617</v>
      </c>
      <c r="K269">
        <f t="shared" si="90"/>
        <v>6717</v>
      </c>
      <c r="L269">
        <f t="shared" si="91"/>
        <v>3163</v>
      </c>
      <c r="M269">
        <f t="shared" si="92"/>
        <v>5429</v>
      </c>
      <c r="N269">
        <f t="shared" si="93"/>
        <v>6548</v>
      </c>
      <c r="O269">
        <f t="shared" si="94"/>
        <v>15280</v>
      </c>
      <c r="P269">
        <f t="shared" si="95"/>
        <v>46457</v>
      </c>
      <c r="Q269">
        <f t="shared" si="96"/>
        <v>45735</v>
      </c>
      <c r="R269">
        <f t="shared" si="97"/>
        <v>11212</v>
      </c>
      <c r="S269">
        <f t="shared" si="98"/>
        <v>1070</v>
      </c>
      <c r="U269">
        <v>20848</v>
      </c>
      <c r="V269">
        <v>3980</v>
      </c>
      <c r="W269">
        <v>17158</v>
      </c>
      <c r="X269">
        <v>5877</v>
      </c>
      <c r="Y269">
        <v>10421</v>
      </c>
      <c r="Z269">
        <v>17135</v>
      </c>
      <c r="AA269">
        <v>99963</v>
      </c>
      <c r="AB269">
        <v>35378</v>
      </c>
      <c r="AC269">
        <v>11856</v>
      </c>
      <c r="AD269">
        <v>3781</v>
      </c>
      <c r="AE269">
        <f t="shared" si="86"/>
        <v>48948</v>
      </c>
      <c r="AF269">
        <v>15623</v>
      </c>
      <c r="AG269">
        <v>7843</v>
      </c>
      <c r="AH269">
        <v>3812</v>
      </c>
      <c r="AI269">
        <f t="shared" si="87"/>
        <v>4031</v>
      </c>
      <c r="AJ269" t="s">
        <v>972</v>
      </c>
      <c r="AK269">
        <v>19</v>
      </c>
      <c r="AL269">
        <v>2942</v>
      </c>
      <c r="AM269">
        <v>1483</v>
      </c>
      <c r="AN269">
        <v>2928</v>
      </c>
      <c r="AO269">
        <v>344</v>
      </c>
      <c r="AP269">
        <v>1511</v>
      </c>
      <c r="AQ269">
        <v>2620</v>
      </c>
      <c r="AR269">
        <v>1253</v>
      </c>
      <c r="AT269">
        <v>448</v>
      </c>
      <c r="AU269">
        <v>795</v>
      </c>
      <c r="AV269">
        <v>2356</v>
      </c>
      <c r="AW269">
        <v>17</v>
      </c>
      <c r="AX269">
        <v>800</v>
      </c>
      <c r="AY269">
        <v>1404</v>
      </c>
      <c r="AZ269">
        <v>12727</v>
      </c>
      <c r="BA269">
        <v>119</v>
      </c>
      <c r="BB269">
        <v>3094</v>
      </c>
      <c r="BD269">
        <v>4558</v>
      </c>
    </row>
    <row r="270" spans="1:56" x14ac:dyDescent="0.25">
      <c r="A270" t="s">
        <v>606</v>
      </c>
      <c r="B270" t="s">
        <v>277</v>
      </c>
      <c r="C270">
        <f t="shared" si="84"/>
        <v>115959</v>
      </c>
      <c r="D270">
        <v>120569</v>
      </c>
      <c r="E270">
        <v>4610</v>
      </c>
      <c r="F270">
        <f t="shared" si="85"/>
        <v>105709</v>
      </c>
      <c r="G270">
        <v>110319</v>
      </c>
      <c r="H270">
        <v>4610</v>
      </c>
      <c r="I270">
        <f t="shared" si="88"/>
        <v>8656</v>
      </c>
      <c r="J270">
        <f t="shared" si="89"/>
        <v>17546</v>
      </c>
      <c r="K270">
        <f t="shared" si="90"/>
        <v>14348</v>
      </c>
      <c r="L270">
        <f t="shared" si="91"/>
        <v>2960</v>
      </c>
      <c r="M270">
        <f t="shared" si="92"/>
        <v>279</v>
      </c>
      <c r="N270">
        <f t="shared" si="93"/>
        <v>3193</v>
      </c>
      <c r="O270">
        <f t="shared" si="94"/>
        <v>6839</v>
      </c>
      <c r="P270">
        <f t="shared" si="95"/>
        <v>21881</v>
      </c>
      <c r="Q270">
        <f t="shared" si="96"/>
        <v>21049</v>
      </c>
      <c r="R270">
        <f t="shared" si="97"/>
        <v>9680</v>
      </c>
      <c r="S270">
        <f t="shared" si="98"/>
        <v>900</v>
      </c>
      <c r="U270">
        <v>28296</v>
      </c>
      <c r="V270">
        <v>3636</v>
      </c>
      <c r="W270">
        <v>7274</v>
      </c>
      <c r="X270">
        <v>413</v>
      </c>
      <c r="Y270">
        <v>4685</v>
      </c>
      <c r="Z270">
        <v>9537</v>
      </c>
      <c r="AA270">
        <v>44516</v>
      </c>
      <c r="AB270">
        <v>15360</v>
      </c>
      <c r="AC270">
        <v>5577</v>
      </c>
      <c r="AD270">
        <v>1234</v>
      </c>
      <c r="AE270">
        <f t="shared" si="86"/>
        <v>22345</v>
      </c>
      <c r="AF270">
        <v>11865</v>
      </c>
      <c r="AG270">
        <v>10347</v>
      </c>
      <c r="AH270">
        <v>7383</v>
      </c>
      <c r="AI270">
        <f t="shared" si="87"/>
        <v>2964</v>
      </c>
      <c r="AJ270" t="s">
        <v>1054</v>
      </c>
      <c r="AK270">
        <v>16</v>
      </c>
      <c r="AL270">
        <v>2048</v>
      </c>
      <c r="AM270">
        <v>1191</v>
      </c>
      <c r="AN270">
        <v>994</v>
      </c>
      <c r="AO270">
        <v>1137</v>
      </c>
      <c r="AP270">
        <v>1561</v>
      </c>
      <c r="AQ270">
        <v>1034</v>
      </c>
      <c r="AR270">
        <v>458</v>
      </c>
      <c r="AS270">
        <v>8</v>
      </c>
      <c r="AT270">
        <v>126</v>
      </c>
      <c r="AU270">
        <v>422</v>
      </c>
      <c r="AV270">
        <v>997</v>
      </c>
      <c r="AW270">
        <v>92</v>
      </c>
      <c r="AX270">
        <v>584</v>
      </c>
      <c r="AY270">
        <v>4743</v>
      </c>
      <c r="AZ270">
        <v>9205</v>
      </c>
      <c r="BA270">
        <v>13</v>
      </c>
      <c r="BB270">
        <v>1283</v>
      </c>
      <c r="BD270">
        <v>290</v>
      </c>
    </row>
    <row r="271" spans="1:56" x14ac:dyDescent="0.25">
      <c r="A271" t="s">
        <v>599</v>
      </c>
      <c r="B271" t="s">
        <v>448</v>
      </c>
      <c r="C271">
        <f t="shared" si="84"/>
        <v>50151</v>
      </c>
      <c r="D271">
        <v>56532</v>
      </c>
      <c r="E271">
        <v>6381</v>
      </c>
      <c r="F271">
        <f t="shared" si="85"/>
        <v>41894</v>
      </c>
      <c r="G271">
        <v>48275</v>
      </c>
      <c r="H271">
        <v>6381</v>
      </c>
      <c r="I271">
        <f t="shared" si="88"/>
        <v>1911</v>
      </c>
      <c r="J271">
        <f t="shared" si="89"/>
        <v>7713</v>
      </c>
      <c r="K271">
        <f t="shared" si="90"/>
        <v>9463</v>
      </c>
      <c r="L271">
        <f t="shared" si="91"/>
        <v>1421</v>
      </c>
      <c r="M271">
        <f t="shared" si="92"/>
        <v>1985</v>
      </c>
      <c r="N271">
        <f t="shared" si="93"/>
        <v>814</v>
      </c>
      <c r="O271">
        <f t="shared" si="94"/>
        <v>2738</v>
      </c>
      <c r="P271">
        <f t="shared" si="95"/>
        <v>6598</v>
      </c>
      <c r="Q271">
        <f t="shared" si="96"/>
        <v>8639</v>
      </c>
      <c r="R271">
        <f t="shared" si="97"/>
        <v>4370</v>
      </c>
      <c r="S271">
        <f t="shared" si="98"/>
        <v>1598</v>
      </c>
      <c r="U271">
        <v>14282</v>
      </c>
      <c r="V271">
        <v>1812</v>
      </c>
      <c r="W271">
        <v>2745</v>
      </c>
      <c r="X271">
        <v>2195</v>
      </c>
      <c r="Y271">
        <v>1392</v>
      </c>
      <c r="Z271">
        <v>3840</v>
      </c>
      <c r="AA271">
        <v>15956</v>
      </c>
      <c r="AB271">
        <v>4646</v>
      </c>
      <c r="AC271">
        <v>1722</v>
      </c>
      <c r="AD271">
        <v>286</v>
      </c>
      <c r="AE271">
        <f t="shared" si="86"/>
        <v>9302</v>
      </c>
      <c r="AF271">
        <v>4830</v>
      </c>
      <c r="AG271">
        <v>9480</v>
      </c>
      <c r="AH271">
        <v>7230</v>
      </c>
      <c r="AI271">
        <f t="shared" si="87"/>
        <v>2250</v>
      </c>
      <c r="AJ271" t="s">
        <v>1188</v>
      </c>
      <c r="AK271">
        <v>27</v>
      </c>
      <c r="AL271">
        <v>625</v>
      </c>
      <c r="AM271">
        <v>24</v>
      </c>
      <c r="AN271">
        <v>436</v>
      </c>
      <c r="AO271">
        <v>376</v>
      </c>
      <c r="AP271">
        <v>726</v>
      </c>
      <c r="AQ271">
        <v>475</v>
      </c>
      <c r="AR271">
        <v>103</v>
      </c>
      <c r="AS271">
        <v>4</v>
      </c>
      <c r="AT271">
        <v>206</v>
      </c>
      <c r="AU271">
        <v>459</v>
      </c>
      <c r="AV271">
        <v>234</v>
      </c>
      <c r="AW271">
        <v>22</v>
      </c>
      <c r="AX271">
        <v>369</v>
      </c>
      <c r="AY271">
        <v>225</v>
      </c>
      <c r="AZ271">
        <v>4594</v>
      </c>
      <c r="BA271">
        <v>299</v>
      </c>
      <c r="BB271">
        <v>364</v>
      </c>
      <c r="BD271">
        <v>56</v>
      </c>
    </row>
    <row r="272" spans="1:56" x14ac:dyDescent="0.25">
      <c r="A272" t="s">
        <v>599</v>
      </c>
      <c r="B272" t="s">
        <v>449</v>
      </c>
      <c r="C272">
        <f t="shared" si="84"/>
        <v>45672</v>
      </c>
      <c r="D272">
        <v>47065</v>
      </c>
      <c r="E272">
        <v>1393</v>
      </c>
      <c r="F272">
        <f t="shared" si="85"/>
        <v>47862</v>
      </c>
      <c r="G272">
        <v>49255</v>
      </c>
      <c r="H272">
        <v>1393</v>
      </c>
      <c r="I272">
        <f t="shared" si="88"/>
        <v>1335</v>
      </c>
      <c r="J272">
        <f t="shared" si="89"/>
        <v>5760</v>
      </c>
      <c r="K272">
        <f t="shared" si="90"/>
        <v>7933</v>
      </c>
      <c r="L272">
        <f t="shared" si="91"/>
        <v>931</v>
      </c>
      <c r="M272">
        <f t="shared" si="92"/>
        <v>86</v>
      </c>
      <c r="N272">
        <f t="shared" si="93"/>
        <v>778</v>
      </c>
      <c r="O272">
        <f t="shared" si="94"/>
        <v>1959</v>
      </c>
      <c r="P272">
        <f t="shared" si="95"/>
        <v>5046</v>
      </c>
      <c r="Q272">
        <f t="shared" si="96"/>
        <v>6528</v>
      </c>
      <c r="R272">
        <f t="shared" si="97"/>
        <v>2791</v>
      </c>
      <c r="S272">
        <f t="shared" si="98"/>
        <v>800</v>
      </c>
      <c r="U272">
        <v>9766</v>
      </c>
      <c r="V272">
        <v>1221</v>
      </c>
      <c r="W272">
        <v>1561</v>
      </c>
      <c r="X272">
        <v>251</v>
      </c>
      <c r="Y272">
        <v>1379</v>
      </c>
      <c r="Z272">
        <v>2959</v>
      </c>
      <c r="AA272">
        <v>12855</v>
      </c>
      <c r="AB272">
        <v>4076</v>
      </c>
      <c r="AC272">
        <v>931</v>
      </c>
      <c r="AD272">
        <v>430</v>
      </c>
      <c r="AE272">
        <f t="shared" si="86"/>
        <v>7418</v>
      </c>
      <c r="AF272">
        <v>3386</v>
      </c>
      <c r="AG272">
        <v>13687</v>
      </c>
      <c r="AH272">
        <v>11974</v>
      </c>
      <c r="AI272">
        <f t="shared" si="87"/>
        <v>1713</v>
      </c>
      <c r="AJ272" t="s">
        <v>1189</v>
      </c>
      <c r="AL272">
        <v>913</v>
      </c>
      <c r="AM272">
        <v>178</v>
      </c>
      <c r="AN272">
        <v>417</v>
      </c>
      <c r="AO272">
        <v>337</v>
      </c>
      <c r="AP272">
        <v>663</v>
      </c>
      <c r="AQ272">
        <v>503</v>
      </c>
      <c r="AR272">
        <v>98</v>
      </c>
      <c r="AT272">
        <v>165</v>
      </c>
      <c r="AU272">
        <v>194</v>
      </c>
      <c r="AV272">
        <v>223</v>
      </c>
      <c r="AX272">
        <v>290</v>
      </c>
      <c r="AY272">
        <v>106</v>
      </c>
      <c r="AZ272">
        <v>1727</v>
      </c>
      <c r="BA272">
        <v>17</v>
      </c>
      <c r="BB272">
        <v>873</v>
      </c>
      <c r="BD272">
        <v>391</v>
      </c>
    </row>
    <row r="273" spans="1:56" x14ac:dyDescent="0.25">
      <c r="A273" t="s">
        <v>607</v>
      </c>
      <c r="B273" t="s">
        <v>159</v>
      </c>
      <c r="C273">
        <f t="shared" si="84"/>
        <v>115844</v>
      </c>
      <c r="D273">
        <v>120262</v>
      </c>
      <c r="E273">
        <v>4418</v>
      </c>
      <c r="F273">
        <f t="shared" si="85"/>
        <v>107000</v>
      </c>
      <c r="G273">
        <v>111418</v>
      </c>
      <c r="H273">
        <v>4418</v>
      </c>
      <c r="I273">
        <f t="shared" si="88"/>
        <v>3542</v>
      </c>
      <c r="J273">
        <f t="shared" si="89"/>
        <v>16904</v>
      </c>
      <c r="K273">
        <f t="shared" si="90"/>
        <v>8683</v>
      </c>
      <c r="L273">
        <f t="shared" si="91"/>
        <v>2074</v>
      </c>
      <c r="M273">
        <f t="shared" si="92"/>
        <v>1379</v>
      </c>
      <c r="N273">
        <f t="shared" si="93"/>
        <v>3154</v>
      </c>
      <c r="O273">
        <f t="shared" si="94"/>
        <v>4528</v>
      </c>
      <c r="P273">
        <f t="shared" si="95"/>
        <v>38069</v>
      </c>
      <c r="Q273">
        <f t="shared" si="96"/>
        <v>26851</v>
      </c>
      <c r="R273">
        <f t="shared" si="97"/>
        <v>6062</v>
      </c>
      <c r="S273">
        <f t="shared" si="98"/>
        <v>1973</v>
      </c>
      <c r="U273">
        <v>17393</v>
      </c>
      <c r="V273">
        <v>2524</v>
      </c>
      <c r="W273">
        <v>7886</v>
      </c>
      <c r="X273">
        <v>1593</v>
      </c>
      <c r="Y273">
        <v>4782</v>
      </c>
      <c r="Z273">
        <v>5975</v>
      </c>
      <c r="AA273">
        <v>69760</v>
      </c>
      <c r="AB273">
        <v>18184</v>
      </c>
      <c r="AC273">
        <v>19285</v>
      </c>
      <c r="AD273">
        <v>2617</v>
      </c>
      <c r="AE273">
        <f t="shared" si="86"/>
        <v>29674</v>
      </c>
      <c r="AF273">
        <v>7113</v>
      </c>
      <c r="AG273">
        <v>3236</v>
      </c>
      <c r="AH273">
        <v>409</v>
      </c>
      <c r="AI273">
        <f t="shared" si="87"/>
        <v>2827</v>
      </c>
      <c r="AJ273" t="s">
        <v>961</v>
      </c>
      <c r="AK273">
        <v>48</v>
      </c>
      <c r="AL273">
        <v>806</v>
      </c>
      <c r="AM273">
        <v>486</v>
      </c>
      <c r="AN273">
        <v>565</v>
      </c>
      <c r="AO273">
        <v>569</v>
      </c>
      <c r="AP273">
        <v>878</v>
      </c>
      <c r="AQ273">
        <v>1240</v>
      </c>
      <c r="AR273">
        <v>388</v>
      </c>
      <c r="AT273">
        <v>214</v>
      </c>
      <c r="AU273">
        <v>443</v>
      </c>
      <c r="AV273">
        <v>809</v>
      </c>
      <c r="AX273">
        <v>450</v>
      </c>
      <c r="AY273">
        <v>495</v>
      </c>
      <c r="AZ273">
        <v>8215</v>
      </c>
      <c r="BA273">
        <v>258</v>
      </c>
      <c r="BB273">
        <v>2565</v>
      </c>
      <c r="BC273">
        <v>3</v>
      </c>
      <c r="BD273">
        <v>2014</v>
      </c>
    </row>
    <row r="274" spans="1:56" x14ac:dyDescent="0.25">
      <c r="A274" t="s">
        <v>604</v>
      </c>
      <c r="B274" t="s">
        <v>202</v>
      </c>
      <c r="C274">
        <f t="shared" si="84"/>
        <v>36202</v>
      </c>
      <c r="D274">
        <v>37063</v>
      </c>
      <c r="E274">
        <v>861</v>
      </c>
      <c r="F274">
        <f t="shared" si="85"/>
        <v>35956</v>
      </c>
      <c r="G274">
        <v>36817</v>
      </c>
      <c r="H274">
        <v>861</v>
      </c>
      <c r="I274">
        <f t="shared" si="88"/>
        <v>1887</v>
      </c>
      <c r="J274">
        <f t="shared" si="89"/>
        <v>9830</v>
      </c>
      <c r="K274">
        <f t="shared" si="90"/>
        <v>4080</v>
      </c>
      <c r="L274">
        <f t="shared" si="91"/>
        <v>1071</v>
      </c>
      <c r="M274">
        <f t="shared" si="92"/>
        <v>71</v>
      </c>
      <c r="N274">
        <f t="shared" si="93"/>
        <v>948</v>
      </c>
      <c r="O274">
        <f t="shared" si="94"/>
        <v>2099</v>
      </c>
      <c r="P274">
        <f t="shared" si="95"/>
        <v>3958</v>
      </c>
      <c r="Q274">
        <f t="shared" si="96"/>
        <v>5562</v>
      </c>
      <c r="R274">
        <f t="shared" si="97"/>
        <v>3168</v>
      </c>
      <c r="S274">
        <f t="shared" si="98"/>
        <v>312</v>
      </c>
      <c r="U274">
        <v>9419</v>
      </c>
      <c r="V274">
        <v>1331</v>
      </c>
      <c r="W274">
        <v>2929</v>
      </c>
      <c r="X274">
        <v>162</v>
      </c>
      <c r="Y274">
        <v>1579</v>
      </c>
      <c r="Z274">
        <v>3143</v>
      </c>
      <c r="AA274">
        <v>10812</v>
      </c>
      <c r="AB274">
        <v>2955</v>
      </c>
      <c r="AC274">
        <v>1157</v>
      </c>
      <c r="AD274">
        <v>421</v>
      </c>
      <c r="AE274">
        <f t="shared" si="86"/>
        <v>6279</v>
      </c>
      <c r="AF274">
        <v>4300</v>
      </c>
      <c r="AG274">
        <v>3388</v>
      </c>
      <c r="AH274">
        <v>2054</v>
      </c>
      <c r="AI274">
        <f t="shared" si="87"/>
        <v>1334</v>
      </c>
      <c r="AJ274" t="s">
        <v>996</v>
      </c>
      <c r="AK274">
        <v>0</v>
      </c>
      <c r="AL274">
        <v>1022</v>
      </c>
      <c r="AM274">
        <v>483</v>
      </c>
      <c r="AN274">
        <v>649</v>
      </c>
      <c r="AO274">
        <v>281</v>
      </c>
      <c r="AP274">
        <v>763</v>
      </c>
      <c r="AQ274">
        <v>494</v>
      </c>
      <c r="AR274">
        <v>137</v>
      </c>
      <c r="AS274">
        <v>5</v>
      </c>
      <c r="AT274">
        <v>86</v>
      </c>
      <c r="AU274">
        <v>306</v>
      </c>
      <c r="AV274">
        <v>600</v>
      </c>
      <c r="AW274">
        <v>10</v>
      </c>
      <c r="AX274">
        <v>250</v>
      </c>
      <c r="AY274">
        <v>308</v>
      </c>
      <c r="AZ274">
        <v>5031</v>
      </c>
      <c r="BB274">
        <v>717</v>
      </c>
      <c r="BD274">
        <v>575</v>
      </c>
    </row>
    <row r="275" spans="1:56" x14ac:dyDescent="0.25">
      <c r="A275" t="s">
        <v>600</v>
      </c>
      <c r="B275" t="s">
        <v>321</v>
      </c>
      <c r="C275">
        <f t="shared" si="84"/>
        <v>48800</v>
      </c>
      <c r="D275">
        <v>48810</v>
      </c>
      <c r="E275">
        <v>10</v>
      </c>
      <c r="F275">
        <f t="shared" si="85"/>
        <v>45616</v>
      </c>
      <c r="G275">
        <v>45626</v>
      </c>
      <c r="H275">
        <v>10</v>
      </c>
      <c r="I275">
        <f t="shared" si="88"/>
        <v>2284</v>
      </c>
      <c r="J275">
        <f t="shared" si="89"/>
        <v>1493</v>
      </c>
      <c r="K275">
        <f t="shared" si="90"/>
        <v>7021</v>
      </c>
      <c r="L275">
        <f t="shared" si="91"/>
        <v>1461</v>
      </c>
      <c r="M275">
        <f t="shared" si="92"/>
        <v>381</v>
      </c>
      <c r="N275">
        <f t="shared" si="93"/>
        <v>1757</v>
      </c>
      <c r="O275">
        <f t="shared" si="94"/>
        <v>5352</v>
      </c>
      <c r="P275">
        <f t="shared" si="95"/>
        <v>8737</v>
      </c>
      <c r="Q275">
        <f t="shared" si="96"/>
        <v>11147</v>
      </c>
      <c r="R275">
        <f t="shared" si="97"/>
        <v>4702</v>
      </c>
      <c r="S275">
        <f t="shared" si="98"/>
        <v>1446</v>
      </c>
      <c r="U275">
        <v>8170</v>
      </c>
      <c r="V275">
        <v>1464</v>
      </c>
      <c r="W275">
        <v>3168</v>
      </c>
      <c r="X275">
        <v>382</v>
      </c>
      <c r="Y275">
        <v>2518</v>
      </c>
      <c r="Z275">
        <v>6456</v>
      </c>
      <c r="AA275">
        <v>19947</v>
      </c>
      <c r="AB275">
        <v>5310</v>
      </c>
      <c r="AC275">
        <v>3001</v>
      </c>
      <c r="AD275">
        <v>426</v>
      </c>
      <c r="AE275">
        <f t="shared" si="86"/>
        <v>11210</v>
      </c>
      <c r="AF275">
        <v>5006</v>
      </c>
      <c r="AG275">
        <v>1699</v>
      </c>
      <c r="AH275">
        <v>252</v>
      </c>
      <c r="AI275">
        <f t="shared" si="87"/>
        <v>1447</v>
      </c>
      <c r="AJ275" t="s">
        <v>1115</v>
      </c>
      <c r="AK275">
        <v>1</v>
      </c>
      <c r="AM275">
        <v>304</v>
      </c>
      <c r="AO275">
        <v>575</v>
      </c>
      <c r="AP275">
        <v>529</v>
      </c>
      <c r="AQ275">
        <v>761</v>
      </c>
      <c r="AS275">
        <v>1</v>
      </c>
      <c r="AU275">
        <v>391</v>
      </c>
      <c r="AX275">
        <v>3</v>
      </c>
      <c r="AY275">
        <v>188</v>
      </c>
      <c r="AZ275">
        <v>961</v>
      </c>
      <c r="BA275">
        <v>63</v>
      </c>
    </row>
    <row r="276" spans="1:56" x14ac:dyDescent="0.25">
      <c r="A276" t="s">
        <v>599</v>
      </c>
      <c r="B276" t="s">
        <v>450</v>
      </c>
      <c r="C276">
        <f t="shared" si="84"/>
        <v>59155</v>
      </c>
      <c r="D276">
        <v>59856</v>
      </c>
      <c r="E276">
        <v>701</v>
      </c>
      <c r="F276">
        <f t="shared" si="85"/>
        <v>54855</v>
      </c>
      <c r="G276">
        <v>55556</v>
      </c>
      <c r="H276">
        <v>701</v>
      </c>
      <c r="I276">
        <f t="shared" si="88"/>
        <v>3063</v>
      </c>
      <c r="J276">
        <f t="shared" si="89"/>
        <v>11083</v>
      </c>
      <c r="K276">
        <f t="shared" si="90"/>
        <v>5028</v>
      </c>
      <c r="L276">
        <f t="shared" si="91"/>
        <v>2065</v>
      </c>
      <c r="M276">
        <f t="shared" si="92"/>
        <v>357</v>
      </c>
      <c r="N276">
        <f t="shared" si="93"/>
        <v>1026</v>
      </c>
      <c r="O276">
        <f t="shared" si="94"/>
        <v>2816</v>
      </c>
      <c r="P276">
        <f t="shared" si="95"/>
        <v>10208</v>
      </c>
      <c r="Q276">
        <f t="shared" si="96"/>
        <v>12994</v>
      </c>
      <c r="R276">
        <f t="shared" si="97"/>
        <v>4120</v>
      </c>
      <c r="S276">
        <f t="shared" si="98"/>
        <v>1164</v>
      </c>
      <c r="U276">
        <v>11886</v>
      </c>
      <c r="V276">
        <v>2404</v>
      </c>
      <c r="W276">
        <v>4845</v>
      </c>
      <c r="X276">
        <v>428</v>
      </c>
      <c r="Y276">
        <v>1535</v>
      </c>
      <c r="Z276">
        <v>4743</v>
      </c>
      <c r="AA276">
        <v>24368</v>
      </c>
      <c r="AB276">
        <v>6933</v>
      </c>
      <c r="AC276">
        <v>3354</v>
      </c>
      <c r="AD276">
        <v>0</v>
      </c>
      <c r="AE276">
        <f t="shared" si="86"/>
        <v>14081</v>
      </c>
      <c r="AF276">
        <v>5670</v>
      </c>
      <c r="AG276">
        <v>3977</v>
      </c>
      <c r="AH276">
        <v>2304</v>
      </c>
      <c r="AI276">
        <f t="shared" si="87"/>
        <v>1673</v>
      </c>
      <c r="AJ276" t="s">
        <v>1190</v>
      </c>
      <c r="AK276">
        <v>7</v>
      </c>
      <c r="AL276">
        <v>502</v>
      </c>
      <c r="AM276">
        <v>696</v>
      </c>
      <c r="AN276">
        <v>854</v>
      </c>
      <c r="AO276">
        <v>588</v>
      </c>
      <c r="AP276">
        <v>1339</v>
      </c>
      <c r="AQ276">
        <v>363</v>
      </c>
      <c r="AR276">
        <v>146</v>
      </c>
      <c r="AT276">
        <v>71</v>
      </c>
      <c r="AU276">
        <v>527</v>
      </c>
      <c r="AV276">
        <v>690</v>
      </c>
      <c r="AW276">
        <v>13</v>
      </c>
      <c r="AX276">
        <v>326</v>
      </c>
      <c r="AY276">
        <v>691</v>
      </c>
      <c r="AZ276">
        <v>6167</v>
      </c>
      <c r="BA276">
        <v>178</v>
      </c>
      <c r="BB276">
        <v>909</v>
      </c>
      <c r="BD276">
        <v>79</v>
      </c>
    </row>
    <row r="277" spans="1:56" x14ac:dyDescent="0.25">
      <c r="A277" t="s">
        <v>604</v>
      </c>
      <c r="B277" t="s">
        <v>203</v>
      </c>
      <c r="C277">
        <f t="shared" ref="C277:C307" si="99">SUM(D277,-E277)</f>
        <v>126755</v>
      </c>
      <c r="D277">
        <v>127847</v>
      </c>
      <c r="E277">
        <v>1092</v>
      </c>
      <c r="F277">
        <f t="shared" ref="F277:F307" si="100">SUM(G277,-H277)</f>
        <v>116455</v>
      </c>
      <c r="G277">
        <v>117547</v>
      </c>
      <c r="H277">
        <v>1092</v>
      </c>
      <c r="I277">
        <f t="shared" si="88"/>
        <v>5093</v>
      </c>
      <c r="J277">
        <f t="shared" si="89"/>
        <v>24315</v>
      </c>
      <c r="K277">
        <f t="shared" si="90"/>
        <v>10045</v>
      </c>
      <c r="L277">
        <f t="shared" si="91"/>
        <v>3017</v>
      </c>
      <c r="M277">
        <f t="shared" si="92"/>
        <v>2169</v>
      </c>
      <c r="N277">
        <f t="shared" si="93"/>
        <v>3672</v>
      </c>
      <c r="O277">
        <f t="shared" si="94"/>
        <v>7238</v>
      </c>
      <c r="P277">
        <f t="shared" si="95"/>
        <v>24645</v>
      </c>
      <c r="Q277">
        <f t="shared" si="96"/>
        <v>25487</v>
      </c>
      <c r="R277">
        <f t="shared" si="97"/>
        <v>9082</v>
      </c>
      <c r="S277">
        <f t="shared" si="98"/>
        <v>1252</v>
      </c>
      <c r="U277">
        <v>24068</v>
      </c>
      <c r="V277">
        <v>3876</v>
      </c>
      <c r="W277">
        <v>8474</v>
      </c>
      <c r="X277">
        <v>2840</v>
      </c>
      <c r="Y277">
        <v>5219</v>
      </c>
      <c r="Z277">
        <v>9545</v>
      </c>
      <c r="AA277">
        <v>53145</v>
      </c>
      <c r="AB277">
        <v>15903</v>
      </c>
      <c r="AC277">
        <v>7559</v>
      </c>
      <c r="AD277">
        <v>1408</v>
      </c>
      <c r="AE277">
        <f t="shared" ref="AE277:AE307" si="101">SUM(AA277,-AB277,-AC277,-AD277)</f>
        <v>28275</v>
      </c>
      <c r="AF277">
        <v>11866</v>
      </c>
      <c r="AG277">
        <v>8814</v>
      </c>
      <c r="AH277">
        <v>4930</v>
      </c>
      <c r="AI277">
        <f t="shared" ref="AI277:AI307" si="102">SUM(AG277,-AH277)</f>
        <v>3884</v>
      </c>
      <c r="AJ277" t="s">
        <v>1254</v>
      </c>
      <c r="AK277">
        <v>207</v>
      </c>
      <c r="AL277">
        <v>2425</v>
      </c>
      <c r="AM277">
        <v>1448</v>
      </c>
      <c r="AN277">
        <v>1336</v>
      </c>
      <c r="AO277">
        <v>516</v>
      </c>
      <c r="AP277">
        <v>1791</v>
      </c>
      <c r="AQ277">
        <v>1180</v>
      </c>
      <c r="AR277">
        <v>367</v>
      </c>
      <c r="AS277">
        <v>12</v>
      </c>
      <c r="AT277">
        <v>659</v>
      </c>
      <c r="AU277">
        <v>493</v>
      </c>
      <c r="AV277">
        <v>1079</v>
      </c>
      <c r="AW277">
        <v>27</v>
      </c>
      <c r="AX277">
        <v>832</v>
      </c>
      <c r="AY277">
        <v>1112</v>
      </c>
      <c r="AZ277">
        <v>12911</v>
      </c>
      <c r="BA277">
        <v>98</v>
      </c>
      <c r="BB277">
        <v>2690</v>
      </c>
      <c r="BD277">
        <v>225</v>
      </c>
    </row>
    <row r="278" spans="1:56" x14ac:dyDescent="0.25">
      <c r="A278" t="s">
        <v>608</v>
      </c>
      <c r="B278" t="s">
        <v>487</v>
      </c>
      <c r="C278">
        <f t="shared" si="99"/>
        <v>60070</v>
      </c>
      <c r="D278">
        <v>62398</v>
      </c>
      <c r="E278">
        <v>2328</v>
      </c>
      <c r="F278">
        <f t="shared" si="100"/>
        <v>57873</v>
      </c>
      <c r="G278">
        <v>60201</v>
      </c>
      <c r="H278">
        <v>2328</v>
      </c>
      <c r="I278">
        <f t="shared" si="88"/>
        <v>3302</v>
      </c>
      <c r="J278">
        <f t="shared" si="89"/>
        <v>11239</v>
      </c>
      <c r="K278">
        <f t="shared" si="90"/>
        <v>7097</v>
      </c>
      <c r="L278">
        <f t="shared" si="91"/>
        <v>1499</v>
      </c>
      <c r="M278">
        <f t="shared" si="92"/>
        <v>752</v>
      </c>
      <c r="N278">
        <f t="shared" si="93"/>
        <v>2223</v>
      </c>
      <c r="O278">
        <f t="shared" si="94"/>
        <v>4133</v>
      </c>
      <c r="P278">
        <f t="shared" si="95"/>
        <v>9824</v>
      </c>
      <c r="Q278">
        <f t="shared" si="96"/>
        <v>13029</v>
      </c>
      <c r="R278">
        <f t="shared" si="97"/>
        <v>5097</v>
      </c>
      <c r="S278">
        <f t="shared" si="98"/>
        <v>388</v>
      </c>
      <c r="U278">
        <v>13922</v>
      </c>
      <c r="V278">
        <v>1821</v>
      </c>
      <c r="W278">
        <v>3746</v>
      </c>
      <c r="X278">
        <v>1050</v>
      </c>
      <c r="Y278">
        <v>2953</v>
      </c>
      <c r="Z278">
        <v>5184</v>
      </c>
      <c r="AA278">
        <v>25465</v>
      </c>
      <c r="AB278">
        <v>5596</v>
      </c>
      <c r="AC278">
        <v>4599</v>
      </c>
      <c r="AD278">
        <v>440</v>
      </c>
      <c r="AE278">
        <f t="shared" si="101"/>
        <v>14830</v>
      </c>
      <c r="AF278">
        <v>6064</v>
      </c>
      <c r="AG278">
        <v>2193</v>
      </c>
      <c r="AH278">
        <v>1059</v>
      </c>
      <c r="AI278">
        <f t="shared" si="102"/>
        <v>1134</v>
      </c>
      <c r="AJ278" t="s">
        <v>1216</v>
      </c>
      <c r="AK278">
        <v>38</v>
      </c>
      <c r="AL278">
        <v>708</v>
      </c>
      <c r="AM278">
        <v>619</v>
      </c>
      <c r="AN278">
        <v>348</v>
      </c>
      <c r="AO278">
        <v>747</v>
      </c>
      <c r="AP278">
        <v>304</v>
      </c>
      <c r="AQ278">
        <v>538</v>
      </c>
      <c r="AR278">
        <v>192</v>
      </c>
      <c r="AS278">
        <v>11</v>
      </c>
      <c r="AT278">
        <v>287</v>
      </c>
      <c r="AU278">
        <v>600</v>
      </c>
      <c r="AV278">
        <v>390</v>
      </c>
      <c r="AW278">
        <v>2</v>
      </c>
      <c r="AX278">
        <v>320</v>
      </c>
      <c r="AY278">
        <v>443</v>
      </c>
      <c r="AZ278">
        <v>6382</v>
      </c>
      <c r="BA278">
        <v>304</v>
      </c>
      <c r="BB278">
        <v>1497</v>
      </c>
      <c r="BD278">
        <v>811</v>
      </c>
    </row>
    <row r="279" spans="1:56" x14ac:dyDescent="0.25">
      <c r="A279" t="s">
        <v>606</v>
      </c>
      <c r="B279" t="s">
        <v>278</v>
      </c>
      <c r="C279">
        <f t="shared" si="99"/>
        <v>130632</v>
      </c>
      <c r="D279">
        <v>131528</v>
      </c>
      <c r="E279">
        <v>896</v>
      </c>
      <c r="F279">
        <f t="shared" si="100"/>
        <v>127621</v>
      </c>
      <c r="G279">
        <v>128517</v>
      </c>
      <c r="H279">
        <v>896</v>
      </c>
      <c r="I279">
        <f t="shared" si="88"/>
        <v>8069</v>
      </c>
      <c r="J279">
        <f t="shared" si="89"/>
        <v>30863</v>
      </c>
      <c r="K279">
        <f t="shared" si="90"/>
        <v>10284</v>
      </c>
      <c r="L279">
        <f t="shared" si="91"/>
        <v>4769</v>
      </c>
      <c r="M279">
        <f t="shared" si="92"/>
        <v>416</v>
      </c>
      <c r="N279">
        <f t="shared" si="93"/>
        <v>3798</v>
      </c>
      <c r="O279">
        <f t="shared" si="94"/>
        <v>9382</v>
      </c>
      <c r="P279">
        <f t="shared" si="95"/>
        <v>18624</v>
      </c>
      <c r="Q279">
        <f t="shared" si="96"/>
        <v>19623</v>
      </c>
      <c r="R279">
        <f t="shared" si="97"/>
        <v>13050</v>
      </c>
      <c r="S279">
        <f t="shared" si="98"/>
        <v>1585</v>
      </c>
      <c r="U279">
        <v>26127</v>
      </c>
      <c r="V279">
        <v>6057</v>
      </c>
      <c r="W279">
        <v>9991</v>
      </c>
      <c r="X279">
        <v>912</v>
      </c>
      <c r="Y279">
        <v>6008</v>
      </c>
      <c r="Z279">
        <v>12406</v>
      </c>
      <c r="AA279">
        <v>44487</v>
      </c>
      <c r="AB279">
        <v>16132</v>
      </c>
      <c r="AC279">
        <v>3273</v>
      </c>
      <c r="AD279">
        <v>1614</v>
      </c>
      <c r="AE279">
        <f t="shared" si="101"/>
        <v>23468</v>
      </c>
      <c r="AF279">
        <v>16733</v>
      </c>
      <c r="AG279">
        <v>8807</v>
      </c>
      <c r="AH279">
        <v>3893</v>
      </c>
      <c r="AI279">
        <f t="shared" si="102"/>
        <v>4914</v>
      </c>
      <c r="AJ279" t="s">
        <v>1287</v>
      </c>
      <c r="AK279">
        <v>69</v>
      </c>
      <c r="AL279">
        <v>3260</v>
      </c>
      <c r="AM279">
        <v>2177</v>
      </c>
      <c r="AN279">
        <v>1506</v>
      </c>
      <c r="AO279">
        <v>1154</v>
      </c>
      <c r="AP279">
        <v>1870</v>
      </c>
      <c r="AQ279">
        <v>1762</v>
      </c>
      <c r="AR279">
        <v>448</v>
      </c>
      <c r="AT279">
        <v>496</v>
      </c>
      <c r="AU279">
        <v>1587</v>
      </c>
      <c r="AV279">
        <v>1232</v>
      </c>
      <c r="AW279">
        <v>184</v>
      </c>
      <c r="AX279">
        <v>1104</v>
      </c>
      <c r="AY279">
        <v>1031</v>
      </c>
      <c r="AZ279">
        <v>14812</v>
      </c>
      <c r="BA279">
        <v>99</v>
      </c>
      <c r="BB279">
        <v>3746</v>
      </c>
      <c r="BC279">
        <v>6</v>
      </c>
      <c r="BD279">
        <v>2389</v>
      </c>
    </row>
    <row r="280" spans="1:56" x14ac:dyDescent="0.25">
      <c r="A280" t="s">
        <v>602</v>
      </c>
      <c r="B280" t="s">
        <v>508</v>
      </c>
      <c r="C280">
        <f t="shared" si="99"/>
        <v>251774</v>
      </c>
      <c r="D280">
        <v>254365</v>
      </c>
      <c r="E280">
        <v>2591</v>
      </c>
      <c r="F280">
        <f t="shared" si="100"/>
        <v>243849</v>
      </c>
      <c r="G280">
        <v>246440</v>
      </c>
      <c r="H280">
        <v>2591</v>
      </c>
      <c r="I280">
        <f t="shared" si="88"/>
        <v>11544</v>
      </c>
      <c r="J280">
        <f t="shared" si="89"/>
        <v>59041</v>
      </c>
      <c r="K280">
        <f t="shared" si="90"/>
        <v>15536</v>
      </c>
      <c r="L280">
        <f t="shared" si="91"/>
        <v>5580</v>
      </c>
      <c r="M280">
        <f t="shared" si="92"/>
        <v>2114</v>
      </c>
      <c r="N280">
        <f t="shared" si="93"/>
        <v>6950</v>
      </c>
      <c r="O280">
        <f t="shared" si="94"/>
        <v>15293</v>
      </c>
      <c r="P280">
        <f t="shared" si="95"/>
        <v>59111</v>
      </c>
      <c r="Q280">
        <f t="shared" si="96"/>
        <v>43402</v>
      </c>
      <c r="R280">
        <f t="shared" si="97"/>
        <v>15533</v>
      </c>
      <c r="S280">
        <f t="shared" si="98"/>
        <v>2412</v>
      </c>
      <c r="U280">
        <v>43967</v>
      </c>
      <c r="V280">
        <v>7045</v>
      </c>
      <c r="W280">
        <v>22786</v>
      </c>
      <c r="X280">
        <v>2779</v>
      </c>
      <c r="Y280">
        <v>10861</v>
      </c>
      <c r="Z280">
        <v>24172</v>
      </c>
      <c r="AA280">
        <v>113939</v>
      </c>
      <c r="AB280">
        <v>44718</v>
      </c>
      <c r="AC280">
        <v>14565</v>
      </c>
      <c r="AD280">
        <v>2403</v>
      </c>
      <c r="AE280">
        <f t="shared" si="101"/>
        <v>52253</v>
      </c>
      <c r="AF280">
        <v>21561</v>
      </c>
      <c r="AG280">
        <v>7255</v>
      </c>
      <c r="AH280">
        <v>1086</v>
      </c>
      <c r="AI280">
        <f t="shared" si="102"/>
        <v>6169</v>
      </c>
      <c r="AJ280" t="s">
        <v>1284</v>
      </c>
      <c r="AK280">
        <v>154</v>
      </c>
      <c r="AL280">
        <v>3603</v>
      </c>
      <c r="AM280">
        <v>1949</v>
      </c>
      <c r="AN280">
        <v>4079</v>
      </c>
      <c r="AO280">
        <v>2501</v>
      </c>
      <c r="AP280">
        <v>6378</v>
      </c>
      <c r="AQ280">
        <v>2983</v>
      </c>
      <c r="AR280">
        <v>928</v>
      </c>
      <c r="AS280">
        <v>93</v>
      </c>
      <c r="AT280">
        <v>572</v>
      </c>
      <c r="AU280">
        <v>1205</v>
      </c>
      <c r="AV280">
        <v>4818</v>
      </c>
      <c r="AW280">
        <v>35</v>
      </c>
      <c r="AX280">
        <v>1430</v>
      </c>
      <c r="AY280">
        <v>2412</v>
      </c>
      <c r="AZ280">
        <v>26019</v>
      </c>
      <c r="BA280">
        <v>212</v>
      </c>
      <c r="BB280">
        <v>8639</v>
      </c>
      <c r="BD280">
        <v>2575</v>
      </c>
    </row>
    <row r="281" spans="1:56" x14ac:dyDescent="0.25">
      <c r="A281" t="s">
        <v>610</v>
      </c>
      <c r="B281" t="s">
        <v>398</v>
      </c>
      <c r="C281">
        <f t="shared" si="99"/>
        <v>155752</v>
      </c>
      <c r="D281">
        <v>157081</v>
      </c>
      <c r="E281">
        <v>1329</v>
      </c>
      <c r="F281">
        <f t="shared" si="100"/>
        <v>150299</v>
      </c>
      <c r="G281">
        <v>151628</v>
      </c>
      <c r="H281">
        <v>1329</v>
      </c>
      <c r="I281">
        <f t="shared" si="88"/>
        <v>10704</v>
      </c>
      <c r="J281">
        <f t="shared" si="89"/>
        <v>28724</v>
      </c>
      <c r="K281">
        <f t="shared" si="90"/>
        <v>12368</v>
      </c>
      <c r="L281">
        <f t="shared" si="91"/>
        <v>4453</v>
      </c>
      <c r="M281">
        <f t="shared" si="92"/>
        <v>3185</v>
      </c>
      <c r="N281">
        <f t="shared" si="93"/>
        <v>4952</v>
      </c>
      <c r="O281">
        <f t="shared" si="94"/>
        <v>11308</v>
      </c>
      <c r="P281">
        <f t="shared" si="95"/>
        <v>29611</v>
      </c>
      <c r="Q281">
        <f t="shared" si="96"/>
        <v>32793</v>
      </c>
      <c r="R281">
        <f t="shared" si="97"/>
        <v>10672</v>
      </c>
      <c r="S281">
        <f t="shared" si="98"/>
        <v>1344</v>
      </c>
      <c r="U281">
        <v>26407</v>
      </c>
      <c r="V281">
        <v>5319</v>
      </c>
      <c r="W281">
        <v>11072</v>
      </c>
      <c r="X281">
        <v>3707</v>
      </c>
      <c r="Y281">
        <v>7180</v>
      </c>
      <c r="Z281">
        <v>17219</v>
      </c>
      <c r="AA281">
        <v>65797</v>
      </c>
      <c r="AB281">
        <v>19176</v>
      </c>
      <c r="AC281">
        <v>10028</v>
      </c>
      <c r="AD281">
        <v>2301</v>
      </c>
      <c r="AE281">
        <f t="shared" si="101"/>
        <v>34292</v>
      </c>
      <c r="AF281">
        <v>15357</v>
      </c>
      <c r="AG281">
        <v>5023</v>
      </c>
      <c r="AH281">
        <v>472</v>
      </c>
      <c r="AI281">
        <f t="shared" si="102"/>
        <v>4551</v>
      </c>
      <c r="AJ281" t="s">
        <v>1150</v>
      </c>
      <c r="AK281">
        <v>1262</v>
      </c>
      <c r="AL281">
        <v>1945</v>
      </c>
      <c r="AM281">
        <v>1856</v>
      </c>
      <c r="AN281">
        <v>2829</v>
      </c>
      <c r="AO281">
        <v>2000</v>
      </c>
      <c r="AP281">
        <v>3911</v>
      </c>
      <c r="AQ281">
        <v>1257</v>
      </c>
      <c r="AR281">
        <v>971</v>
      </c>
      <c r="AS281">
        <v>20</v>
      </c>
      <c r="AT281">
        <v>502</v>
      </c>
      <c r="AU281">
        <v>2829</v>
      </c>
      <c r="AV281">
        <v>1748</v>
      </c>
      <c r="AW281">
        <v>86</v>
      </c>
      <c r="AX281">
        <v>780</v>
      </c>
      <c r="AY281">
        <v>1133</v>
      </c>
      <c r="AZ281">
        <v>12906</v>
      </c>
      <c r="BA281">
        <v>261</v>
      </c>
      <c r="BB281">
        <v>1238</v>
      </c>
      <c r="BD281">
        <v>1894</v>
      </c>
    </row>
    <row r="282" spans="1:56" x14ac:dyDescent="0.25">
      <c r="A282" t="s">
        <v>602</v>
      </c>
      <c r="B282" t="s">
        <v>181</v>
      </c>
      <c r="C282">
        <f t="shared" si="99"/>
        <v>20780</v>
      </c>
      <c r="D282">
        <v>21176</v>
      </c>
      <c r="E282">
        <v>396</v>
      </c>
      <c r="F282">
        <f t="shared" si="100"/>
        <v>20967</v>
      </c>
      <c r="G282">
        <v>21363</v>
      </c>
      <c r="H282">
        <v>396</v>
      </c>
      <c r="I282">
        <f t="shared" si="88"/>
        <v>1076</v>
      </c>
      <c r="J282">
        <f t="shared" si="89"/>
        <v>8078</v>
      </c>
      <c r="K282">
        <f t="shared" si="90"/>
        <v>1971</v>
      </c>
      <c r="L282">
        <f t="shared" si="91"/>
        <v>809</v>
      </c>
      <c r="M282">
        <f t="shared" si="92"/>
        <v>444</v>
      </c>
      <c r="N282">
        <f t="shared" si="93"/>
        <v>976</v>
      </c>
      <c r="O282">
        <f t="shared" si="94"/>
        <v>1649</v>
      </c>
      <c r="P282">
        <f t="shared" si="95"/>
        <v>888</v>
      </c>
      <c r="Q282">
        <f t="shared" si="96"/>
        <v>1433</v>
      </c>
      <c r="R282">
        <f t="shared" si="97"/>
        <v>1652</v>
      </c>
      <c r="S282">
        <f t="shared" si="98"/>
        <v>722</v>
      </c>
      <c r="U282">
        <v>7467</v>
      </c>
      <c r="V282">
        <v>809</v>
      </c>
      <c r="W282">
        <v>1885</v>
      </c>
      <c r="X282">
        <v>444</v>
      </c>
      <c r="Y282">
        <v>3851</v>
      </c>
      <c r="Z282">
        <v>1803</v>
      </c>
      <c r="AA282">
        <v>2341</v>
      </c>
      <c r="AB282">
        <v>552</v>
      </c>
      <c r="AC282">
        <v>286</v>
      </c>
      <c r="AD282">
        <v>50</v>
      </c>
      <c r="AE282">
        <f t="shared" si="101"/>
        <v>1453</v>
      </c>
      <c r="AF282">
        <v>1854</v>
      </c>
      <c r="AG282">
        <v>722</v>
      </c>
      <c r="AH282">
        <v>0</v>
      </c>
      <c r="AI282">
        <f t="shared" si="102"/>
        <v>722</v>
      </c>
      <c r="AJ282" t="s">
        <v>973</v>
      </c>
      <c r="AK282">
        <v>0</v>
      </c>
      <c r="AM282">
        <v>202</v>
      </c>
      <c r="AO282">
        <v>154</v>
      </c>
      <c r="AQ282">
        <v>209</v>
      </c>
      <c r="AR282">
        <v>2666</v>
      </c>
      <c r="AU282">
        <v>250</v>
      </c>
      <c r="AV282">
        <v>157</v>
      </c>
      <c r="AY282">
        <v>241</v>
      </c>
      <c r="AZ282">
        <v>5255</v>
      </c>
      <c r="BA282">
        <v>20</v>
      </c>
    </row>
    <row r="283" spans="1:56" x14ac:dyDescent="0.25">
      <c r="A283" t="s">
        <v>600</v>
      </c>
      <c r="B283" t="s">
        <v>322</v>
      </c>
      <c r="C283">
        <f t="shared" si="99"/>
        <v>52335</v>
      </c>
      <c r="D283">
        <v>53232</v>
      </c>
      <c r="E283">
        <v>897</v>
      </c>
      <c r="F283">
        <f t="shared" si="100"/>
        <v>57443</v>
      </c>
      <c r="G283">
        <v>58340</v>
      </c>
      <c r="H283">
        <v>897</v>
      </c>
      <c r="I283">
        <f t="shared" si="88"/>
        <v>2692</v>
      </c>
      <c r="J283">
        <f t="shared" si="89"/>
        <v>15957</v>
      </c>
      <c r="K283">
        <f t="shared" si="90"/>
        <v>6243</v>
      </c>
      <c r="L283">
        <f t="shared" si="91"/>
        <v>2849</v>
      </c>
      <c r="M283">
        <f t="shared" si="92"/>
        <v>1082</v>
      </c>
      <c r="N283">
        <f t="shared" si="93"/>
        <v>1044</v>
      </c>
      <c r="O283">
        <f t="shared" si="94"/>
        <v>4352</v>
      </c>
      <c r="P283">
        <f t="shared" si="95"/>
        <v>3091</v>
      </c>
      <c r="Q283">
        <f t="shared" si="96"/>
        <v>7450</v>
      </c>
      <c r="R283">
        <f t="shared" si="97"/>
        <v>4497</v>
      </c>
      <c r="S283">
        <f t="shared" si="98"/>
        <v>201</v>
      </c>
      <c r="U283">
        <v>12330</v>
      </c>
      <c r="V283">
        <v>2862</v>
      </c>
      <c r="W283">
        <v>5513</v>
      </c>
      <c r="X283">
        <v>1323</v>
      </c>
      <c r="Y283">
        <v>1644</v>
      </c>
      <c r="Z283">
        <v>6239</v>
      </c>
      <c r="AA283">
        <v>16089</v>
      </c>
      <c r="AB283">
        <v>2630</v>
      </c>
      <c r="AC283">
        <v>4511</v>
      </c>
      <c r="AD283">
        <v>272</v>
      </c>
      <c r="AE283">
        <f t="shared" si="101"/>
        <v>8676</v>
      </c>
      <c r="AF283">
        <v>5473</v>
      </c>
      <c r="AG283">
        <v>1759</v>
      </c>
      <c r="AH283">
        <v>0</v>
      </c>
      <c r="AI283">
        <f t="shared" si="102"/>
        <v>1759</v>
      </c>
      <c r="AJ283" t="s">
        <v>1094</v>
      </c>
      <c r="AK283">
        <v>60</v>
      </c>
      <c r="AL283">
        <v>1498</v>
      </c>
      <c r="AM283">
        <v>162</v>
      </c>
      <c r="AN283">
        <v>814</v>
      </c>
      <c r="AO283">
        <v>443</v>
      </c>
      <c r="AP283">
        <v>1444</v>
      </c>
      <c r="AQ283">
        <v>419</v>
      </c>
      <c r="AR283">
        <v>181</v>
      </c>
      <c r="AS283">
        <v>108</v>
      </c>
      <c r="AT283">
        <v>133</v>
      </c>
      <c r="AU283">
        <v>750</v>
      </c>
      <c r="AV283">
        <v>989</v>
      </c>
      <c r="AW283">
        <v>13</v>
      </c>
      <c r="AY283">
        <v>449</v>
      </c>
      <c r="AZ283">
        <v>5638</v>
      </c>
      <c r="BA283">
        <v>18</v>
      </c>
      <c r="BB283">
        <v>1208</v>
      </c>
      <c r="BC283">
        <v>270</v>
      </c>
      <c r="BD283">
        <v>4052</v>
      </c>
    </row>
    <row r="284" spans="1:56" x14ac:dyDescent="0.25">
      <c r="A284" t="s">
        <v>603</v>
      </c>
      <c r="B284" t="s">
        <v>377</v>
      </c>
      <c r="C284">
        <f t="shared" si="99"/>
        <v>74643</v>
      </c>
      <c r="D284">
        <v>77566</v>
      </c>
      <c r="E284">
        <v>2923</v>
      </c>
      <c r="F284">
        <f t="shared" si="100"/>
        <v>71082</v>
      </c>
      <c r="G284">
        <v>74005</v>
      </c>
      <c r="H284">
        <v>2923</v>
      </c>
      <c r="I284">
        <f t="shared" si="88"/>
        <v>3970</v>
      </c>
      <c r="J284">
        <f t="shared" si="89"/>
        <v>1285</v>
      </c>
      <c r="K284">
        <f t="shared" si="90"/>
        <v>14764</v>
      </c>
      <c r="L284">
        <f t="shared" si="91"/>
        <v>3505</v>
      </c>
      <c r="M284">
        <f t="shared" si="92"/>
        <v>1291</v>
      </c>
      <c r="N284">
        <f t="shared" si="93"/>
        <v>2890</v>
      </c>
      <c r="O284">
        <f t="shared" si="94"/>
        <v>5653</v>
      </c>
      <c r="P284">
        <f t="shared" si="95"/>
        <v>12296</v>
      </c>
      <c r="Q284">
        <f t="shared" si="96"/>
        <v>14857</v>
      </c>
      <c r="R284">
        <f t="shared" si="97"/>
        <v>6561</v>
      </c>
      <c r="S284">
        <f t="shared" si="98"/>
        <v>4154</v>
      </c>
      <c r="U284">
        <v>16748</v>
      </c>
      <c r="V284">
        <v>3545</v>
      </c>
      <c r="W284">
        <v>4861</v>
      </c>
      <c r="X284">
        <v>1293</v>
      </c>
      <c r="Y284">
        <v>3537</v>
      </c>
      <c r="Z284">
        <v>6875</v>
      </c>
      <c r="AA284">
        <v>27423</v>
      </c>
      <c r="AB284">
        <v>6739</v>
      </c>
      <c r="AC284">
        <v>5304</v>
      </c>
      <c r="AD284">
        <v>253</v>
      </c>
      <c r="AE284">
        <f t="shared" si="101"/>
        <v>15127</v>
      </c>
      <c r="AF284">
        <v>7223</v>
      </c>
      <c r="AG284">
        <v>6061</v>
      </c>
      <c r="AH284">
        <v>1809</v>
      </c>
      <c r="AI284">
        <f t="shared" si="102"/>
        <v>4252</v>
      </c>
      <c r="AJ284" t="s">
        <v>1226</v>
      </c>
      <c r="AK284">
        <v>98</v>
      </c>
      <c r="AM284">
        <v>662</v>
      </c>
      <c r="AO284">
        <v>1222</v>
      </c>
      <c r="AQ284">
        <v>647</v>
      </c>
      <c r="AS284">
        <v>2</v>
      </c>
      <c r="AU284">
        <v>330</v>
      </c>
      <c r="AW284">
        <v>40</v>
      </c>
      <c r="AY284">
        <v>699</v>
      </c>
      <c r="AZ284">
        <v>1285</v>
      </c>
      <c r="BA284">
        <v>270</v>
      </c>
    </row>
    <row r="285" spans="1:56" x14ac:dyDescent="0.25">
      <c r="A285" t="s">
        <v>610</v>
      </c>
      <c r="B285" t="s">
        <v>399</v>
      </c>
      <c r="C285">
        <f t="shared" si="99"/>
        <v>65545</v>
      </c>
      <c r="D285">
        <v>66242</v>
      </c>
      <c r="E285">
        <v>697</v>
      </c>
      <c r="F285">
        <f t="shared" si="100"/>
        <v>61017</v>
      </c>
      <c r="G285">
        <v>61714</v>
      </c>
      <c r="H285">
        <v>697</v>
      </c>
      <c r="I285">
        <f t="shared" si="88"/>
        <v>1886</v>
      </c>
      <c r="J285">
        <f t="shared" si="89"/>
        <v>12523</v>
      </c>
      <c r="K285">
        <f t="shared" si="90"/>
        <v>5025</v>
      </c>
      <c r="L285">
        <f t="shared" si="91"/>
        <v>1928</v>
      </c>
      <c r="M285">
        <f t="shared" si="92"/>
        <v>6567</v>
      </c>
      <c r="N285">
        <f t="shared" si="93"/>
        <v>1770</v>
      </c>
      <c r="O285">
        <f t="shared" si="94"/>
        <v>2343</v>
      </c>
      <c r="P285">
        <f t="shared" si="95"/>
        <v>8537</v>
      </c>
      <c r="Q285">
        <f t="shared" si="96"/>
        <v>13517</v>
      </c>
      <c r="R285">
        <f t="shared" si="97"/>
        <v>5624</v>
      </c>
      <c r="S285">
        <f t="shared" si="98"/>
        <v>537</v>
      </c>
      <c r="U285">
        <v>11662</v>
      </c>
      <c r="V285">
        <v>2423</v>
      </c>
      <c r="W285">
        <v>3256</v>
      </c>
      <c r="X285">
        <v>6754</v>
      </c>
      <c r="Y285">
        <v>2504</v>
      </c>
      <c r="Z285">
        <v>4068</v>
      </c>
      <c r="AA285">
        <v>24112</v>
      </c>
      <c r="AB285">
        <v>6531</v>
      </c>
      <c r="AC285">
        <v>2104</v>
      </c>
      <c r="AD285">
        <v>750</v>
      </c>
      <c r="AE285">
        <f t="shared" si="101"/>
        <v>14727</v>
      </c>
      <c r="AF285">
        <v>6464</v>
      </c>
      <c r="AG285">
        <v>4999</v>
      </c>
      <c r="AH285">
        <v>3492</v>
      </c>
      <c r="AI285">
        <f t="shared" si="102"/>
        <v>1507</v>
      </c>
      <c r="AJ285" t="s">
        <v>1151</v>
      </c>
      <c r="AK285">
        <v>9</v>
      </c>
      <c r="AL285">
        <v>961</v>
      </c>
      <c r="AM285">
        <v>33</v>
      </c>
      <c r="AN285">
        <v>807</v>
      </c>
      <c r="AO285">
        <v>332</v>
      </c>
      <c r="AP285">
        <v>1393</v>
      </c>
      <c r="AQ285">
        <v>590</v>
      </c>
      <c r="AR285">
        <v>144</v>
      </c>
      <c r="AS285">
        <v>2</v>
      </c>
      <c r="AT285">
        <v>185</v>
      </c>
      <c r="AU285">
        <v>190</v>
      </c>
      <c r="AV285">
        <v>573</v>
      </c>
      <c r="AW285">
        <v>35</v>
      </c>
      <c r="AX285">
        <v>460</v>
      </c>
      <c r="AY285">
        <v>628</v>
      </c>
      <c r="AZ285">
        <v>6009</v>
      </c>
      <c r="BA285">
        <v>67</v>
      </c>
      <c r="BB285">
        <v>1143</v>
      </c>
      <c r="BD285">
        <v>848</v>
      </c>
    </row>
    <row r="286" spans="1:56" x14ac:dyDescent="0.25">
      <c r="A286" t="s">
        <v>601</v>
      </c>
      <c r="B286" t="s">
        <v>252</v>
      </c>
      <c r="C286">
        <f t="shared" si="99"/>
        <v>119638</v>
      </c>
      <c r="D286">
        <v>122539</v>
      </c>
      <c r="E286">
        <v>2901</v>
      </c>
      <c r="F286">
        <f t="shared" si="100"/>
        <v>120311</v>
      </c>
      <c r="G286">
        <v>123212</v>
      </c>
      <c r="H286">
        <v>2901</v>
      </c>
      <c r="I286">
        <f t="shared" si="88"/>
        <v>5477</v>
      </c>
      <c r="J286">
        <f t="shared" si="89"/>
        <v>18055</v>
      </c>
      <c r="K286">
        <f t="shared" si="90"/>
        <v>13410</v>
      </c>
      <c r="L286">
        <f t="shared" si="91"/>
        <v>2878</v>
      </c>
      <c r="M286">
        <f t="shared" si="92"/>
        <v>774</v>
      </c>
      <c r="N286">
        <f t="shared" si="93"/>
        <v>6834</v>
      </c>
      <c r="O286">
        <f t="shared" si="94"/>
        <v>9080</v>
      </c>
      <c r="P286">
        <f t="shared" si="95"/>
        <v>32540</v>
      </c>
      <c r="Q286">
        <f t="shared" si="96"/>
        <v>23368</v>
      </c>
      <c r="R286">
        <f t="shared" si="97"/>
        <v>4454</v>
      </c>
      <c r="S286">
        <f t="shared" si="98"/>
        <v>321</v>
      </c>
      <c r="U286">
        <v>21778</v>
      </c>
      <c r="V286">
        <v>3618</v>
      </c>
      <c r="W286">
        <v>7053</v>
      </c>
      <c r="X286">
        <v>1094</v>
      </c>
      <c r="Y286">
        <v>8483</v>
      </c>
      <c r="Z286">
        <v>13709</v>
      </c>
      <c r="AA286">
        <v>59099</v>
      </c>
      <c r="AB286">
        <v>22316</v>
      </c>
      <c r="AC286">
        <v>7282</v>
      </c>
      <c r="AD286">
        <v>3699</v>
      </c>
      <c r="AE286">
        <f t="shared" si="101"/>
        <v>25802</v>
      </c>
      <c r="AF286">
        <v>5796</v>
      </c>
      <c r="AG286">
        <v>1909</v>
      </c>
      <c r="AH286">
        <v>55</v>
      </c>
      <c r="AI286">
        <f t="shared" si="102"/>
        <v>1854</v>
      </c>
      <c r="AJ286" t="s">
        <v>1031</v>
      </c>
      <c r="AK286">
        <v>78</v>
      </c>
      <c r="AL286">
        <v>1455</v>
      </c>
      <c r="AM286">
        <v>594</v>
      </c>
      <c r="AN286">
        <v>748</v>
      </c>
      <c r="AO286">
        <v>1292</v>
      </c>
      <c r="AP286">
        <v>3337</v>
      </c>
      <c r="AQ286">
        <v>1215</v>
      </c>
      <c r="AR286">
        <v>434</v>
      </c>
      <c r="AT286">
        <v>320</v>
      </c>
      <c r="AU286">
        <v>989</v>
      </c>
      <c r="AV286">
        <v>771</v>
      </c>
      <c r="AW286">
        <v>8</v>
      </c>
      <c r="AX286">
        <v>732</v>
      </c>
      <c r="AY286">
        <v>1299</v>
      </c>
      <c r="AZ286">
        <v>7069</v>
      </c>
      <c r="BA286">
        <v>2</v>
      </c>
      <c r="BB286">
        <v>2432</v>
      </c>
      <c r="BD286">
        <v>757</v>
      </c>
    </row>
    <row r="287" spans="1:56" x14ac:dyDescent="0.25">
      <c r="A287" t="s">
        <v>599</v>
      </c>
      <c r="B287" t="s">
        <v>451</v>
      </c>
      <c r="C287">
        <f t="shared" si="99"/>
        <v>878926</v>
      </c>
      <c r="D287">
        <v>984734</v>
      </c>
      <c r="E287">
        <v>105808</v>
      </c>
      <c r="F287">
        <f t="shared" si="100"/>
        <v>756040</v>
      </c>
      <c r="G287">
        <v>861848</v>
      </c>
      <c r="H287">
        <v>105808</v>
      </c>
      <c r="I287">
        <f t="shared" si="88"/>
        <v>48076</v>
      </c>
      <c r="J287">
        <f t="shared" si="89"/>
        <v>144905</v>
      </c>
      <c r="K287">
        <f t="shared" si="90"/>
        <v>134533</v>
      </c>
      <c r="L287">
        <f t="shared" si="91"/>
        <v>23281</v>
      </c>
      <c r="M287">
        <f t="shared" si="92"/>
        <v>27952</v>
      </c>
      <c r="N287">
        <f t="shared" si="93"/>
        <v>24061</v>
      </c>
      <c r="O287">
        <f t="shared" si="94"/>
        <v>57711</v>
      </c>
      <c r="P287">
        <f t="shared" si="95"/>
        <v>170480</v>
      </c>
      <c r="Q287">
        <f t="shared" si="96"/>
        <v>240659</v>
      </c>
      <c r="R287">
        <f t="shared" si="97"/>
        <v>30397</v>
      </c>
      <c r="S287">
        <f t="shared" si="98"/>
        <v>18802</v>
      </c>
      <c r="U287">
        <v>224816</v>
      </c>
      <c r="V287">
        <v>30163</v>
      </c>
      <c r="W287">
        <v>49171</v>
      </c>
      <c r="X287">
        <v>30614</v>
      </c>
      <c r="Y287">
        <v>32184</v>
      </c>
      <c r="Z287">
        <v>77682</v>
      </c>
      <c r="AA287">
        <v>434365</v>
      </c>
      <c r="AB287">
        <v>138520</v>
      </c>
      <c r="AC287">
        <v>29320</v>
      </c>
      <c r="AD287">
        <v>14083</v>
      </c>
      <c r="AE287">
        <f t="shared" si="101"/>
        <v>252442</v>
      </c>
      <c r="AF287">
        <v>47953</v>
      </c>
      <c r="AG287">
        <v>57786</v>
      </c>
      <c r="AH287">
        <v>32682</v>
      </c>
      <c r="AI287">
        <f t="shared" si="102"/>
        <v>25104</v>
      </c>
      <c r="AJ287" t="s">
        <v>1192</v>
      </c>
      <c r="AK287">
        <v>637</v>
      </c>
      <c r="AL287">
        <v>5665</v>
      </c>
      <c r="AM287">
        <v>8365</v>
      </c>
      <c r="AN287">
        <v>9191</v>
      </c>
      <c r="AO287">
        <v>9737</v>
      </c>
      <c r="AP287">
        <v>10234</v>
      </c>
      <c r="AQ287">
        <v>6406</v>
      </c>
      <c r="AR287">
        <v>1717</v>
      </c>
      <c r="AS287">
        <v>975</v>
      </c>
      <c r="AT287">
        <v>1687</v>
      </c>
      <c r="AU287">
        <v>12368</v>
      </c>
      <c r="AV287">
        <v>5608</v>
      </c>
      <c r="AW287">
        <v>680</v>
      </c>
      <c r="AX287">
        <v>6202</v>
      </c>
      <c r="AY287">
        <v>5903</v>
      </c>
      <c r="AZ287">
        <v>84380</v>
      </c>
      <c r="BA287">
        <v>2988</v>
      </c>
      <c r="BB287">
        <v>8795</v>
      </c>
      <c r="BC287">
        <v>17</v>
      </c>
      <c r="BD287">
        <v>11426</v>
      </c>
    </row>
    <row r="288" spans="1:56" x14ac:dyDescent="0.25">
      <c r="A288" t="s">
        <v>604</v>
      </c>
      <c r="B288" t="s">
        <v>204</v>
      </c>
      <c r="C288">
        <f t="shared" si="99"/>
        <v>43502</v>
      </c>
      <c r="D288">
        <v>44320</v>
      </c>
      <c r="E288">
        <v>818</v>
      </c>
      <c r="F288">
        <f t="shared" si="100"/>
        <v>56150</v>
      </c>
      <c r="G288">
        <v>56968</v>
      </c>
      <c r="H288">
        <v>818</v>
      </c>
      <c r="I288">
        <f t="shared" si="88"/>
        <v>1456</v>
      </c>
      <c r="J288">
        <f t="shared" si="89"/>
        <v>956</v>
      </c>
      <c r="K288">
        <f t="shared" si="90"/>
        <v>7405</v>
      </c>
      <c r="L288">
        <f t="shared" si="91"/>
        <v>2780</v>
      </c>
      <c r="M288">
        <f t="shared" si="92"/>
        <v>674</v>
      </c>
      <c r="N288">
        <f t="shared" si="93"/>
        <v>1275</v>
      </c>
      <c r="O288">
        <f t="shared" si="94"/>
        <v>3396</v>
      </c>
      <c r="P288">
        <f t="shared" si="95"/>
        <v>5625</v>
      </c>
      <c r="Q288">
        <f t="shared" si="96"/>
        <v>11926</v>
      </c>
      <c r="R288">
        <f t="shared" si="97"/>
        <v>3477</v>
      </c>
      <c r="S288">
        <f t="shared" si="98"/>
        <v>1297</v>
      </c>
      <c r="U288">
        <v>8300</v>
      </c>
      <c r="V288">
        <v>2780</v>
      </c>
      <c r="W288">
        <v>3225</v>
      </c>
      <c r="X288">
        <v>674</v>
      </c>
      <c r="Y288">
        <v>1676</v>
      </c>
      <c r="Z288">
        <v>3675</v>
      </c>
      <c r="AA288">
        <v>17780</v>
      </c>
      <c r="AB288">
        <v>2946</v>
      </c>
      <c r="AC288">
        <v>2610</v>
      </c>
      <c r="AD288">
        <v>297</v>
      </c>
      <c r="AE288">
        <f t="shared" si="101"/>
        <v>11927</v>
      </c>
      <c r="AF288">
        <v>3901</v>
      </c>
      <c r="AG288">
        <v>2309</v>
      </c>
      <c r="AH288">
        <v>1012</v>
      </c>
      <c r="AI288">
        <f t="shared" si="102"/>
        <v>1297</v>
      </c>
      <c r="AJ288" t="s">
        <v>997</v>
      </c>
      <c r="AK288">
        <v>0</v>
      </c>
      <c r="AM288">
        <v>424</v>
      </c>
      <c r="AO288">
        <v>279</v>
      </c>
      <c r="AQ288">
        <v>401</v>
      </c>
      <c r="AU288">
        <v>184</v>
      </c>
      <c r="AY288">
        <v>167</v>
      </c>
      <c r="AZ288">
        <v>728</v>
      </c>
      <c r="BA288">
        <v>1</v>
      </c>
      <c r="BD288">
        <v>228</v>
      </c>
    </row>
    <row r="289" spans="1:56" x14ac:dyDescent="0.25">
      <c r="A289" t="s">
        <v>604</v>
      </c>
      <c r="B289" t="s">
        <v>205</v>
      </c>
      <c r="C289">
        <f t="shared" si="99"/>
        <v>93665</v>
      </c>
      <c r="D289">
        <v>94429</v>
      </c>
      <c r="E289">
        <v>764</v>
      </c>
      <c r="F289">
        <f t="shared" si="100"/>
        <v>83488</v>
      </c>
      <c r="G289">
        <v>84252</v>
      </c>
      <c r="H289">
        <v>764</v>
      </c>
      <c r="I289">
        <f t="shared" si="88"/>
        <v>11188</v>
      </c>
      <c r="J289">
        <f t="shared" si="89"/>
        <v>16039</v>
      </c>
      <c r="K289">
        <f t="shared" si="90"/>
        <v>5923</v>
      </c>
      <c r="L289">
        <f t="shared" si="91"/>
        <v>2155</v>
      </c>
      <c r="M289">
        <f t="shared" si="92"/>
        <v>1693</v>
      </c>
      <c r="N289">
        <f t="shared" si="93"/>
        <v>1813</v>
      </c>
      <c r="O289">
        <f t="shared" si="94"/>
        <v>3540</v>
      </c>
      <c r="P289">
        <f t="shared" si="95"/>
        <v>24158</v>
      </c>
      <c r="Q289">
        <f t="shared" si="96"/>
        <v>16838</v>
      </c>
      <c r="R289">
        <f t="shared" si="97"/>
        <v>5611</v>
      </c>
      <c r="S289">
        <f t="shared" si="98"/>
        <v>1026</v>
      </c>
      <c r="U289">
        <v>23664</v>
      </c>
      <c r="V289">
        <v>2155</v>
      </c>
      <c r="W289">
        <v>2302</v>
      </c>
      <c r="X289">
        <v>1916</v>
      </c>
      <c r="Y289">
        <v>3093</v>
      </c>
      <c r="Z289">
        <v>3887</v>
      </c>
      <c r="AA289">
        <v>41207</v>
      </c>
      <c r="AB289">
        <v>8210</v>
      </c>
      <c r="AC289">
        <v>15948</v>
      </c>
      <c r="AD289">
        <v>0</v>
      </c>
      <c r="AE289">
        <f t="shared" si="101"/>
        <v>17049</v>
      </c>
      <c r="AF289">
        <v>12610</v>
      </c>
      <c r="AG289">
        <v>3595</v>
      </c>
      <c r="AH289">
        <v>2538</v>
      </c>
      <c r="AI289">
        <f t="shared" si="102"/>
        <v>1057</v>
      </c>
      <c r="AJ289" t="s">
        <v>1249</v>
      </c>
      <c r="AK289">
        <v>31</v>
      </c>
      <c r="AM289">
        <v>6999</v>
      </c>
      <c r="AO289">
        <v>347</v>
      </c>
      <c r="AQ289">
        <v>1280</v>
      </c>
      <c r="AS289">
        <v>223</v>
      </c>
      <c r="AU289">
        <v>395</v>
      </c>
      <c r="AY289">
        <v>1702</v>
      </c>
      <c r="AZ289">
        <v>16039</v>
      </c>
      <c r="BA289">
        <v>211</v>
      </c>
    </row>
    <row r="290" spans="1:56" x14ac:dyDescent="0.25">
      <c r="A290" t="s">
        <v>598</v>
      </c>
      <c r="B290" t="s">
        <v>138</v>
      </c>
      <c r="C290">
        <f t="shared" si="99"/>
        <v>75720</v>
      </c>
      <c r="D290">
        <v>76591</v>
      </c>
      <c r="E290">
        <v>871</v>
      </c>
      <c r="F290">
        <f t="shared" si="100"/>
        <v>74886</v>
      </c>
      <c r="G290">
        <v>75757</v>
      </c>
      <c r="H290">
        <v>871</v>
      </c>
      <c r="I290">
        <f t="shared" si="88"/>
        <v>3357</v>
      </c>
      <c r="J290">
        <f t="shared" si="89"/>
        <v>16627</v>
      </c>
      <c r="K290">
        <f t="shared" si="90"/>
        <v>6524</v>
      </c>
      <c r="L290">
        <f t="shared" si="91"/>
        <v>1647</v>
      </c>
      <c r="M290">
        <f t="shared" si="92"/>
        <v>3039</v>
      </c>
      <c r="N290">
        <f t="shared" si="93"/>
        <v>2518</v>
      </c>
      <c r="O290">
        <f t="shared" si="94"/>
        <v>4564</v>
      </c>
      <c r="P290">
        <f t="shared" si="95"/>
        <v>10785</v>
      </c>
      <c r="Q290">
        <f t="shared" si="96"/>
        <v>12640</v>
      </c>
      <c r="R290">
        <f t="shared" si="97"/>
        <v>4309</v>
      </c>
      <c r="S290">
        <f t="shared" si="98"/>
        <v>555</v>
      </c>
      <c r="U290">
        <v>14322</v>
      </c>
      <c r="V290">
        <v>2082</v>
      </c>
      <c r="W290">
        <v>4058</v>
      </c>
      <c r="X290">
        <v>3342</v>
      </c>
      <c r="Y290">
        <v>4074</v>
      </c>
      <c r="Z290">
        <v>6601</v>
      </c>
      <c r="AA290">
        <v>26485</v>
      </c>
      <c r="AB290">
        <v>10138</v>
      </c>
      <c r="AC290">
        <v>191</v>
      </c>
      <c r="AD290">
        <v>507</v>
      </c>
      <c r="AE290">
        <f t="shared" si="101"/>
        <v>15649</v>
      </c>
      <c r="AF290">
        <v>6669</v>
      </c>
      <c r="AG290">
        <v>8958</v>
      </c>
      <c r="AH290">
        <v>6910</v>
      </c>
      <c r="AI290">
        <f t="shared" si="102"/>
        <v>2048</v>
      </c>
      <c r="AJ290" t="s">
        <v>1264</v>
      </c>
      <c r="AK290">
        <v>1</v>
      </c>
      <c r="AL290">
        <v>1492</v>
      </c>
      <c r="AM290">
        <v>974</v>
      </c>
      <c r="AN290">
        <v>1386</v>
      </c>
      <c r="AO290">
        <v>295</v>
      </c>
      <c r="AP290">
        <v>1742</v>
      </c>
      <c r="AQ290">
        <v>1286</v>
      </c>
      <c r="AR290">
        <v>270</v>
      </c>
      <c r="AS290">
        <v>5</v>
      </c>
      <c r="AT290">
        <v>298</v>
      </c>
      <c r="AU290">
        <v>286</v>
      </c>
      <c r="AV290">
        <v>656</v>
      </c>
      <c r="AW290">
        <v>2</v>
      </c>
      <c r="AX290">
        <v>433</v>
      </c>
      <c r="AY290">
        <v>498</v>
      </c>
      <c r="AZ290">
        <v>7300</v>
      </c>
      <c r="BA290">
        <v>10</v>
      </c>
      <c r="BB290">
        <v>2999</v>
      </c>
      <c r="BD290">
        <v>51</v>
      </c>
    </row>
    <row r="291" spans="1:56" x14ac:dyDescent="0.25">
      <c r="A291" t="s">
        <v>602</v>
      </c>
      <c r="B291" t="s">
        <v>182</v>
      </c>
      <c r="C291">
        <f t="shared" si="99"/>
        <v>77694</v>
      </c>
      <c r="D291">
        <v>77694</v>
      </c>
      <c r="E291">
        <v>0</v>
      </c>
      <c r="F291">
        <f t="shared" si="100"/>
        <v>76616</v>
      </c>
      <c r="G291">
        <v>76616</v>
      </c>
      <c r="H291">
        <v>0</v>
      </c>
      <c r="I291">
        <f t="shared" si="88"/>
        <v>3750</v>
      </c>
      <c r="J291">
        <f t="shared" si="89"/>
        <v>9262</v>
      </c>
      <c r="K291">
        <f t="shared" si="90"/>
        <v>8961</v>
      </c>
      <c r="L291">
        <f t="shared" si="91"/>
        <v>2405</v>
      </c>
      <c r="M291">
        <f t="shared" si="92"/>
        <v>449</v>
      </c>
      <c r="N291">
        <f t="shared" si="93"/>
        <v>3329</v>
      </c>
      <c r="O291">
        <f t="shared" si="94"/>
        <v>4080</v>
      </c>
      <c r="P291">
        <f t="shared" si="95"/>
        <v>16850</v>
      </c>
      <c r="Q291">
        <f t="shared" si="96"/>
        <v>19837</v>
      </c>
      <c r="R291">
        <f t="shared" si="97"/>
        <v>4564</v>
      </c>
      <c r="S291">
        <f t="shared" si="98"/>
        <v>1359</v>
      </c>
      <c r="U291">
        <v>13582</v>
      </c>
      <c r="V291">
        <v>2406</v>
      </c>
      <c r="W291">
        <v>3840</v>
      </c>
      <c r="X291">
        <v>639</v>
      </c>
      <c r="Y291">
        <v>4281</v>
      </c>
      <c r="Z291">
        <v>6285</v>
      </c>
      <c r="AA291">
        <v>37486</v>
      </c>
      <c r="AB291">
        <v>11377</v>
      </c>
      <c r="AC291">
        <v>4089</v>
      </c>
      <c r="AD291">
        <v>1585</v>
      </c>
      <c r="AE291">
        <f t="shared" si="101"/>
        <v>20435</v>
      </c>
      <c r="AF291">
        <v>6483</v>
      </c>
      <c r="AG291">
        <v>2692</v>
      </c>
      <c r="AH291">
        <v>143</v>
      </c>
      <c r="AI291">
        <f t="shared" si="102"/>
        <v>2549</v>
      </c>
      <c r="AJ291" t="s">
        <v>1155</v>
      </c>
      <c r="AK291">
        <v>37</v>
      </c>
      <c r="AL291">
        <v>1153</v>
      </c>
      <c r="AM291">
        <v>829</v>
      </c>
      <c r="AN291">
        <v>1090</v>
      </c>
      <c r="AO291">
        <v>636</v>
      </c>
      <c r="AP291">
        <v>1569</v>
      </c>
      <c r="AQ291">
        <v>917</v>
      </c>
      <c r="AR291">
        <v>35</v>
      </c>
      <c r="AS291">
        <v>1</v>
      </c>
      <c r="AT291">
        <v>189</v>
      </c>
      <c r="AU291">
        <v>403</v>
      </c>
      <c r="AV291">
        <v>732</v>
      </c>
      <c r="AW291">
        <v>1</v>
      </c>
      <c r="AY291">
        <v>715</v>
      </c>
      <c r="AZ291">
        <v>3906</v>
      </c>
      <c r="BA291">
        <v>211</v>
      </c>
      <c r="BB291">
        <v>387</v>
      </c>
      <c r="BD291">
        <v>201</v>
      </c>
    </row>
    <row r="292" spans="1:56" x14ac:dyDescent="0.25">
      <c r="A292" t="s">
        <v>599</v>
      </c>
      <c r="B292" t="s">
        <v>452</v>
      </c>
      <c r="C292">
        <f t="shared" si="99"/>
        <v>114269</v>
      </c>
      <c r="D292">
        <v>119574</v>
      </c>
      <c r="E292">
        <v>5305</v>
      </c>
      <c r="F292">
        <f t="shared" si="100"/>
        <v>116513</v>
      </c>
      <c r="G292">
        <v>121818</v>
      </c>
      <c r="H292">
        <v>5305</v>
      </c>
      <c r="I292">
        <f t="shared" si="88"/>
        <v>5271</v>
      </c>
      <c r="J292">
        <f t="shared" si="89"/>
        <v>21476</v>
      </c>
      <c r="K292">
        <f t="shared" si="90"/>
        <v>10670</v>
      </c>
      <c r="L292">
        <f t="shared" si="91"/>
        <v>2243</v>
      </c>
      <c r="M292">
        <f t="shared" si="92"/>
        <v>1224</v>
      </c>
      <c r="N292">
        <f t="shared" si="93"/>
        <v>3261</v>
      </c>
      <c r="O292">
        <f t="shared" si="94"/>
        <v>10468</v>
      </c>
      <c r="P292">
        <f t="shared" si="95"/>
        <v>21707</v>
      </c>
      <c r="Q292">
        <f t="shared" si="96"/>
        <v>25609</v>
      </c>
      <c r="R292">
        <f t="shared" si="97"/>
        <v>9446</v>
      </c>
      <c r="S292">
        <f t="shared" si="98"/>
        <v>1581</v>
      </c>
      <c r="U292">
        <v>20619</v>
      </c>
      <c r="V292">
        <v>2910</v>
      </c>
      <c r="W292">
        <v>5775</v>
      </c>
      <c r="X292">
        <v>1557</v>
      </c>
      <c r="Y292">
        <v>4776</v>
      </c>
      <c r="Z292">
        <v>13329</v>
      </c>
      <c r="AA292">
        <v>52285</v>
      </c>
      <c r="AB292">
        <v>14150</v>
      </c>
      <c r="AC292">
        <v>7735</v>
      </c>
      <c r="AD292">
        <v>2334</v>
      </c>
      <c r="AE292">
        <f t="shared" si="101"/>
        <v>28066</v>
      </c>
      <c r="AF292">
        <v>12008</v>
      </c>
      <c r="AG292">
        <v>6315</v>
      </c>
      <c r="AH292">
        <v>2968</v>
      </c>
      <c r="AI292">
        <f t="shared" si="102"/>
        <v>3347</v>
      </c>
      <c r="AJ292" t="s">
        <v>1193</v>
      </c>
      <c r="AL292">
        <v>1766</v>
      </c>
      <c r="AM292">
        <v>910</v>
      </c>
      <c r="AN292">
        <v>1652</v>
      </c>
      <c r="AO292">
        <v>1052</v>
      </c>
      <c r="AP292">
        <v>1809</v>
      </c>
      <c r="AQ292">
        <v>1364</v>
      </c>
      <c r="AR292">
        <v>151</v>
      </c>
      <c r="AS292">
        <v>15</v>
      </c>
      <c r="AT292">
        <v>318</v>
      </c>
      <c r="AU292">
        <v>833</v>
      </c>
      <c r="AV292">
        <v>1292</v>
      </c>
      <c r="AW292">
        <v>101</v>
      </c>
      <c r="AX292">
        <v>566</v>
      </c>
      <c r="AY292">
        <v>868</v>
      </c>
      <c r="AZ292">
        <v>9081</v>
      </c>
      <c r="BA292">
        <v>128</v>
      </c>
      <c r="BB292">
        <v>2329</v>
      </c>
      <c r="BD292">
        <v>2512</v>
      </c>
    </row>
    <row r="293" spans="1:56" x14ac:dyDescent="0.25">
      <c r="A293" t="s">
        <v>600</v>
      </c>
      <c r="B293" t="s">
        <v>323</v>
      </c>
      <c r="C293">
        <f t="shared" si="99"/>
        <v>24106</v>
      </c>
      <c r="D293">
        <v>24165</v>
      </c>
      <c r="E293">
        <v>59</v>
      </c>
      <c r="F293">
        <f t="shared" si="100"/>
        <v>22553</v>
      </c>
      <c r="G293">
        <v>22612</v>
      </c>
      <c r="H293">
        <v>59</v>
      </c>
      <c r="I293">
        <f t="shared" si="88"/>
        <v>788</v>
      </c>
      <c r="J293">
        <f t="shared" si="89"/>
        <v>1130</v>
      </c>
      <c r="K293">
        <f t="shared" si="90"/>
        <v>4983</v>
      </c>
      <c r="L293">
        <f t="shared" si="91"/>
        <v>996</v>
      </c>
      <c r="M293">
        <f t="shared" si="92"/>
        <v>114</v>
      </c>
      <c r="N293">
        <f t="shared" si="93"/>
        <v>412</v>
      </c>
      <c r="O293">
        <f t="shared" si="94"/>
        <v>2120</v>
      </c>
      <c r="P293">
        <f t="shared" si="95"/>
        <v>3850</v>
      </c>
      <c r="Q293">
        <f t="shared" si="96"/>
        <v>4400</v>
      </c>
      <c r="R293">
        <f t="shared" si="97"/>
        <v>2483</v>
      </c>
      <c r="S293">
        <f t="shared" si="98"/>
        <v>1453</v>
      </c>
      <c r="U293">
        <v>6218</v>
      </c>
      <c r="V293">
        <v>996</v>
      </c>
      <c r="W293">
        <v>1566</v>
      </c>
      <c r="X293">
        <v>119</v>
      </c>
      <c r="Y293">
        <v>589</v>
      </c>
      <c r="Z293">
        <v>2255</v>
      </c>
      <c r="AA293">
        <v>8290</v>
      </c>
      <c r="AB293">
        <v>2831</v>
      </c>
      <c r="AC293">
        <v>765</v>
      </c>
      <c r="AD293">
        <v>254</v>
      </c>
      <c r="AE293">
        <f t="shared" si="101"/>
        <v>4440</v>
      </c>
      <c r="AF293">
        <v>2633</v>
      </c>
      <c r="AG293">
        <v>1499</v>
      </c>
      <c r="AH293">
        <v>44</v>
      </c>
      <c r="AI293">
        <f t="shared" si="102"/>
        <v>1455</v>
      </c>
      <c r="AJ293" t="s">
        <v>1095</v>
      </c>
      <c r="AL293">
        <v>2</v>
      </c>
      <c r="AM293">
        <v>150</v>
      </c>
      <c r="AO293">
        <v>135</v>
      </c>
      <c r="AQ293">
        <v>177</v>
      </c>
      <c r="AS293">
        <v>5</v>
      </c>
      <c r="AU293">
        <v>174</v>
      </c>
      <c r="AY293">
        <v>107</v>
      </c>
      <c r="AZ293">
        <v>1128</v>
      </c>
      <c r="BA293">
        <v>40</v>
      </c>
    </row>
    <row r="294" spans="1:56" x14ac:dyDescent="0.25">
      <c r="A294" t="s">
        <v>600</v>
      </c>
      <c r="B294" t="s">
        <v>324</v>
      </c>
      <c r="C294">
        <f t="shared" si="99"/>
        <v>76412</v>
      </c>
      <c r="D294">
        <v>79757</v>
      </c>
      <c r="E294">
        <v>3345</v>
      </c>
      <c r="F294">
        <f t="shared" si="100"/>
        <v>72482</v>
      </c>
      <c r="G294">
        <v>75827</v>
      </c>
      <c r="H294">
        <v>3345</v>
      </c>
      <c r="I294">
        <f t="shared" si="88"/>
        <v>4012</v>
      </c>
      <c r="J294">
        <f t="shared" si="89"/>
        <v>4708</v>
      </c>
      <c r="K294">
        <f t="shared" si="90"/>
        <v>12599</v>
      </c>
      <c r="L294">
        <f t="shared" si="91"/>
        <v>2234</v>
      </c>
      <c r="M294">
        <f t="shared" si="92"/>
        <v>382</v>
      </c>
      <c r="N294">
        <f t="shared" si="93"/>
        <v>3331</v>
      </c>
      <c r="O294">
        <f t="shared" si="94"/>
        <v>4326</v>
      </c>
      <c r="P294">
        <f t="shared" si="95"/>
        <v>9001</v>
      </c>
      <c r="Q294">
        <f t="shared" si="96"/>
        <v>15025</v>
      </c>
      <c r="R294">
        <f t="shared" si="97"/>
        <v>6925</v>
      </c>
      <c r="S294">
        <f t="shared" si="98"/>
        <v>1821</v>
      </c>
      <c r="U294">
        <v>15019</v>
      </c>
      <c r="V294">
        <v>2542</v>
      </c>
      <c r="W294">
        <v>5793</v>
      </c>
      <c r="X294">
        <v>513</v>
      </c>
      <c r="Y294">
        <v>4923</v>
      </c>
      <c r="Z294">
        <v>5085</v>
      </c>
      <c r="AA294">
        <v>25166</v>
      </c>
      <c r="AB294">
        <v>7084</v>
      </c>
      <c r="AC294">
        <v>1386</v>
      </c>
      <c r="AD294">
        <v>672</v>
      </c>
      <c r="AE294">
        <f t="shared" si="101"/>
        <v>16024</v>
      </c>
      <c r="AF294">
        <v>8413</v>
      </c>
      <c r="AG294">
        <v>12303</v>
      </c>
      <c r="AH294">
        <v>9920</v>
      </c>
      <c r="AI294">
        <f t="shared" si="102"/>
        <v>2383</v>
      </c>
      <c r="AJ294" t="s">
        <v>1096</v>
      </c>
      <c r="AL294">
        <v>562</v>
      </c>
      <c r="AM294">
        <v>1319</v>
      </c>
      <c r="AN294">
        <v>169</v>
      </c>
      <c r="AO294">
        <v>719</v>
      </c>
      <c r="AP294">
        <v>40</v>
      </c>
      <c r="AQ294">
        <v>1477</v>
      </c>
      <c r="AR294">
        <v>115</v>
      </c>
      <c r="AS294">
        <v>1</v>
      </c>
      <c r="AT294">
        <v>130</v>
      </c>
      <c r="AU294">
        <v>223</v>
      </c>
      <c r="AV294">
        <v>97</v>
      </c>
      <c r="AX294">
        <v>308</v>
      </c>
      <c r="AY294">
        <v>175</v>
      </c>
      <c r="AZ294">
        <v>2245</v>
      </c>
      <c r="BA294">
        <v>98</v>
      </c>
      <c r="BB294">
        <v>901</v>
      </c>
      <c r="BD294">
        <v>141</v>
      </c>
    </row>
    <row r="295" spans="1:56" x14ac:dyDescent="0.25">
      <c r="A295" t="s">
        <v>605</v>
      </c>
      <c r="B295" t="s">
        <v>498</v>
      </c>
      <c r="C295">
        <f t="shared" si="99"/>
        <v>46024</v>
      </c>
      <c r="D295">
        <v>48399</v>
      </c>
      <c r="E295">
        <v>2375</v>
      </c>
      <c r="F295">
        <f t="shared" si="100"/>
        <v>44721</v>
      </c>
      <c r="G295">
        <v>47096</v>
      </c>
      <c r="H295">
        <v>2375</v>
      </c>
      <c r="I295">
        <f t="shared" si="88"/>
        <v>1638</v>
      </c>
      <c r="J295">
        <f t="shared" si="89"/>
        <v>10233</v>
      </c>
      <c r="K295">
        <f t="shared" si="90"/>
        <v>5247</v>
      </c>
      <c r="L295">
        <f t="shared" si="91"/>
        <v>847</v>
      </c>
      <c r="M295">
        <f t="shared" si="92"/>
        <v>1232</v>
      </c>
      <c r="N295">
        <f t="shared" si="93"/>
        <v>2655</v>
      </c>
      <c r="O295">
        <f t="shared" si="94"/>
        <v>2517</v>
      </c>
      <c r="P295">
        <f t="shared" si="95"/>
        <v>5657</v>
      </c>
      <c r="Q295">
        <f t="shared" si="96"/>
        <v>7365</v>
      </c>
      <c r="R295">
        <f t="shared" si="97"/>
        <v>3997</v>
      </c>
      <c r="S295">
        <f t="shared" si="98"/>
        <v>358</v>
      </c>
      <c r="U295">
        <v>10106</v>
      </c>
      <c r="V295">
        <v>1046</v>
      </c>
      <c r="W295">
        <v>2557</v>
      </c>
      <c r="X295">
        <v>1548</v>
      </c>
      <c r="Y295">
        <v>3284</v>
      </c>
      <c r="Z295">
        <v>3981</v>
      </c>
      <c r="AA295">
        <v>14391</v>
      </c>
      <c r="AB295">
        <v>3045</v>
      </c>
      <c r="AC295">
        <v>3193</v>
      </c>
      <c r="AD295">
        <v>0</v>
      </c>
      <c r="AE295">
        <f t="shared" si="101"/>
        <v>8153</v>
      </c>
      <c r="AF295">
        <v>5155</v>
      </c>
      <c r="AG295">
        <v>6331</v>
      </c>
      <c r="AH295">
        <v>5082</v>
      </c>
      <c r="AI295">
        <f t="shared" si="102"/>
        <v>1249</v>
      </c>
      <c r="AJ295" t="s">
        <v>998</v>
      </c>
      <c r="AK295">
        <v>127</v>
      </c>
      <c r="AL295">
        <v>764</v>
      </c>
      <c r="AM295">
        <v>235</v>
      </c>
      <c r="AN295">
        <v>923</v>
      </c>
      <c r="AO295">
        <v>468</v>
      </c>
      <c r="AP295">
        <v>996</v>
      </c>
      <c r="AQ295">
        <v>349</v>
      </c>
      <c r="AR295">
        <v>280</v>
      </c>
      <c r="AS295">
        <v>61</v>
      </c>
      <c r="AT295">
        <v>255</v>
      </c>
      <c r="AU295">
        <v>155</v>
      </c>
      <c r="AV295">
        <v>831</v>
      </c>
      <c r="AX295">
        <v>199</v>
      </c>
      <c r="AY295">
        <v>219</v>
      </c>
      <c r="AZ295">
        <v>4640</v>
      </c>
      <c r="BA295">
        <v>24</v>
      </c>
      <c r="BB295">
        <v>764</v>
      </c>
      <c r="BD295">
        <v>581</v>
      </c>
    </row>
    <row r="296" spans="1:56" x14ac:dyDescent="0.25">
      <c r="A296" t="s">
        <v>606</v>
      </c>
      <c r="B296" t="s">
        <v>279</v>
      </c>
      <c r="C296">
        <f t="shared" si="99"/>
        <v>1458382</v>
      </c>
      <c r="D296">
        <v>1511833</v>
      </c>
      <c r="E296">
        <v>53451</v>
      </c>
      <c r="F296">
        <f t="shared" si="100"/>
        <v>1361374</v>
      </c>
      <c r="G296">
        <v>1414825</v>
      </c>
      <c r="H296">
        <v>53451</v>
      </c>
      <c r="I296">
        <f t="shared" si="88"/>
        <v>91033</v>
      </c>
      <c r="J296">
        <f t="shared" si="89"/>
        <v>278610</v>
      </c>
      <c r="K296">
        <f t="shared" si="90"/>
        <v>64690</v>
      </c>
      <c r="L296">
        <f t="shared" si="91"/>
        <v>39193</v>
      </c>
      <c r="M296">
        <f t="shared" si="92"/>
        <v>13752</v>
      </c>
      <c r="N296">
        <f t="shared" si="93"/>
        <v>67337</v>
      </c>
      <c r="O296">
        <f t="shared" si="94"/>
        <v>107472</v>
      </c>
      <c r="P296">
        <f t="shared" si="95"/>
        <v>205997</v>
      </c>
      <c r="Q296">
        <f t="shared" si="96"/>
        <v>292133</v>
      </c>
      <c r="R296">
        <f t="shared" si="97"/>
        <v>72156</v>
      </c>
      <c r="S296">
        <f t="shared" si="98"/>
        <v>-2740</v>
      </c>
      <c r="U296">
        <v>234849</v>
      </c>
      <c r="V296">
        <v>51100</v>
      </c>
      <c r="W296">
        <v>138942</v>
      </c>
      <c r="X296">
        <v>14116</v>
      </c>
      <c r="Y296">
        <v>93655</v>
      </c>
      <c r="Z296">
        <v>131705</v>
      </c>
      <c r="AA296">
        <v>535420</v>
      </c>
      <c r="AB296">
        <v>188682</v>
      </c>
      <c r="AC296">
        <v>19686</v>
      </c>
      <c r="AD296">
        <v>21690</v>
      </c>
      <c r="AE296">
        <f t="shared" si="101"/>
        <v>305362</v>
      </c>
      <c r="AF296">
        <v>102712</v>
      </c>
      <c r="AG296">
        <v>209334</v>
      </c>
      <c r="AH296">
        <v>155983</v>
      </c>
      <c r="AI296">
        <f t="shared" si="102"/>
        <v>53351</v>
      </c>
      <c r="AJ296" t="s">
        <v>1055</v>
      </c>
      <c r="AK296">
        <v>42991</v>
      </c>
      <c r="AL296">
        <v>13100</v>
      </c>
      <c r="AM296">
        <v>5172</v>
      </c>
      <c r="AN296">
        <v>25384</v>
      </c>
      <c r="AO296">
        <v>7531</v>
      </c>
      <c r="AP296">
        <v>16702</v>
      </c>
      <c r="AQ296">
        <v>20242</v>
      </c>
      <c r="AR296">
        <v>6076</v>
      </c>
      <c r="AS296">
        <v>44</v>
      </c>
      <c r="AT296">
        <v>320</v>
      </c>
      <c r="AU296">
        <v>438</v>
      </c>
      <c r="AV296">
        <v>12287</v>
      </c>
      <c r="AW296">
        <v>39</v>
      </c>
      <c r="AX296">
        <v>11868</v>
      </c>
      <c r="AY296">
        <v>14521</v>
      </c>
      <c r="AZ296">
        <v>155638</v>
      </c>
      <c r="BA296">
        <v>55</v>
      </c>
      <c r="BB296">
        <v>13174</v>
      </c>
      <c r="BD296">
        <v>24061</v>
      </c>
    </row>
    <row r="297" spans="1:56" x14ac:dyDescent="0.25">
      <c r="A297" t="s">
        <v>606</v>
      </c>
      <c r="B297" t="s">
        <v>280</v>
      </c>
      <c r="C297">
        <f t="shared" si="99"/>
        <v>107982</v>
      </c>
      <c r="D297">
        <v>109937</v>
      </c>
      <c r="E297">
        <v>1955</v>
      </c>
      <c r="F297">
        <f t="shared" si="100"/>
        <v>102280</v>
      </c>
      <c r="G297">
        <v>104235</v>
      </c>
      <c r="H297">
        <v>1955</v>
      </c>
      <c r="I297">
        <f t="shared" si="88"/>
        <v>7215</v>
      </c>
      <c r="J297">
        <f t="shared" si="89"/>
        <v>21844</v>
      </c>
      <c r="K297">
        <f t="shared" si="90"/>
        <v>10930</v>
      </c>
      <c r="L297">
        <f t="shared" si="91"/>
        <v>3599</v>
      </c>
      <c r="M297">
        <f t="shared" si="92"/>
        <v>266</v>
      </c>
      <c r="N297">
        <f t="shared" si="93"/>
        <v>2626</v>
      </c>
      <c r="O297">
        <f t="shared" si="94"/>
        <v>5822</v>
      </c>
      <c r="P297">
        <f t="shared" si="95"/>
        <v>16163</v>
      </c>
      <c r="Q297">
        <f t="shared" si="96"/>
        <v>25720</v>
      </c>
      <c r="R297">
        <f t="shared" si="97"/>
        <v>9988</v>
      </c>
      <c r="S297">
        <f t="shared" si="98"/>
        <v>1961</v>
      </c>
      <c r="U297">
        <v>23631</v>
      </c>
      <c r="V297">
        <v>4393</v>
      </c>
      <c r="W297">
        <v>5753</v>
      </c>
      <c r="X297">
        <v>479</v>
      </c>
      <c r="Y297">
        <v>4364</v>
      </c>
      <c r="Z297">
        <v>8860</v>
      </c>
      <c r="AA297">
        <v>43390</v>
      </c>
      <c r="AB297">
        <v>13958</v>
      </c>
      <c r="AC297">
        <v>1516</v>
      </c>
      <c r="AD297">
        <v>782</v>
      </c>
      <c r="AE297">
        <f t="shared" si="101"/>
        <v>27134</v>
      </c>
      <c r="AF297">
        <v>13506</v>
      </c>
      <c r="AG297">
        <v>5561</v>
      </c>
      <c r="AH297">
        <v>989</v>
      </c>
      <c r="AI297">
        <f t="shared" si="102"/>
        <v>4572</v>
      </c>
      <c r="AJ297" t="s">
        <v>1227</v>
      </c>
      <c r="AK297">
        <v>108</v>
      </c>
      <c r="AL297">
        <v>2503</v>
      </c>
      <c r="AM297">
        <v>1685</v>
      </c>
      <c r="AN297">
        <v>1833</v>
      </c>
      <c r="AO297">
        <v>1052</v>
      </c>
      <c r="AP297">
        <v>1986</v>
      </c>
      <c r="AQ297">
        <v>1462</v>
      </c>
      <c r="AR297">
        <v>276</v>
      </c>
      <c r="AT297">
        <v>213</v>
      </c>
      <c r="AU297">
        <v>1516</v>
      </c>
      <c r="AV297">
        <v>1423</v>
      </c>
      <c r="AW297">
        <v>89</v>
      </c>
      <c r="AX297">
        <v>705</v>
      </c>
      <c r="AY297">
        <v>1230</v>
      </c>
      <c r="AZ297">
        <v>11471</v>
      </c>
      <c r="BA297">
        <v>73</v>
      </c>
      <c r="BB297">
        <v>1341</v>
      </c>
      <c r="BD297">
        <v>93</v>
      </c>
    </row>
    <row r="298" spans="1:56" x14ac:dyDescent="0.25">
      <c r="A298" t="s">
        <v>608</v>
      </c>
      <c r="B298" t="s">
        <v>488</v>
      </c>
      <c r="C298">
        <f t="shared" si="99"/>
        <v>29438</v>
      </c>
      <c r="D298">
        <v>29438</v>
      </c>
      <c r="E298">
        <v>0</v>
      </c>
      <c r="F298">
        <f t="shared" si="100"/>
        <v>28330</v>
      </c>
      <c r="G298">
        <v>28330</v>
      </c>
      <c r="H298">
        <v>0</v>
      </c>
      <c r="I298">
        <f t="shared" si="88"/>
        <v>1843</v>
      </c>
      <c r="J298">
        <f t="shared" si="89"/>
        <v>5955</v>
      </c>
      <c r="K298">
        <f t="shared" si="90"/>
        <v>2040</v>
      </c>
      <c r="L298">
        <f t="shared" si="91"/>
        <v>737</v>
      </c>
      <c r="M298">
        <f t="shared" si="92"/>
        <v>273</v>
      </c>
      <c r="N298">
        <f t="shared" si="93"/>
        <v>507</v>
      </c>
      <c r="O298">
        <f t="shared" si="94"/>
        <v>2078</v>
      </c>
      <c r="P298">
        <f t="shared" si="95"/>
        <v>8051</v>
      </c>
      <c r="Q298">
        <f t="shared" si="96"/>
        <v>4628</v>
      </c>
      <c r="R298">
        <f t="shared" si="97"/>
        <v>1751</v>
      </c>
      <c r="S298">
        <f t="shared" si="98"/>
        <v>299</v>
      </c>
      <c r="U298">
        <v>5584</v>
      </c>
      <c r="V298">
        <v>1131</v>
      </c>
      <c r="W298">
        <v>2222</v>
      </c>
      <c r="X298">
        <v>413</v>
      </c>
      <c r="Y298">
        <v>750</v>
      </c>
      <c r="Z298">
        <v>3030</v>
      </c>
      <c r="AA298">
        <v>13161</v>
      </c>
      <c r="AB298">
        <v>6007</v>
      </c>
      <c r="AC298">
        <v>1785</v>
      </c>
      <c r="AD298">
        <v>303</v>
      </c>
      <c r="AE298">
        <f t="shared" si="101"/>
        <v>5066</v>
      </c>
      <c r="AF298">
        <v>2363</v>
      </c>
      <c r="AG298">
        <v>784</v>
      </c>
      <c r="AH298">
        <v>0</v>
      </c>
      <c r="AI298">
        <f t="shared" si="102"/>
        <v>784</v>
      </c>
      <c r="AJ298" t="s">
        <v>1217</v>
      </c>
      <c r="AK298">
        <v>42</v>
      </c>
      <c r="AL298">
        <v>443</v>
      </c>
      <c r="AM298">
        <v>386</v>
      </c>
      <c r="AN298">
        <v>226</v>
      </c>
      <c r="AO298">
        <v>349</v>
      </c>
      <c r="AP298">
        <v>603</v>
      </c>
      <c r="AQ298">
        <v>213</v>
      </c>
      <c r="AR298">
        <v>30</v>
      </c>
      <c r="AS298">
        <v>6</v>
      </c>
      <c r="AT298">
        <v>134</v>
      </c>
      <c r="AU298">
        <v>589</v>
      </c>
      <c r="AV298">
        <v>357</v>
      </c>
      <c r="AW298">
        <v>31</v>
      </c>
      <c r="AX298">
        <v>363</v>
      </c>
      <c r="AY298">
        <v>227</v>
      </c>
      <c r="AZ298">
        <v>3317</v>
      </c>
      <c r="BB298">
        <v>438</v>
      </c>
      <c r="BD298">
        <v>44</v>
      </c>
    </row>
    <row r="299" spans="1:56" x14ac:dyDescent="0.25">
      <c r="A299" t="s">
        <v>608</v>
      </c>
      <c r="B299" t="s">
        <v>489</v>
      </c>
      <c r="C299">
        <f t="shared" si="99"/>
        <v>50351</v>
      </c>
      <c r="D299">
        <v>56523</v>
      </c>
      <c r="E299">
        <v>6172</v>
      </c>
      <c r="F299">
        <f t="shared" si="100"/>
        <v>41323</v>
      </c>
      <c r="G299">
        <v>47495</v>
      </c>
      <c r="H299">
        <v>6172</v>
      </c>
      <c r="I299">
        <f t="shared" si="88"/>
        <v>3345</v>
      </c>
      <c r="J299">
        <f t="shared" si="89"/>
        <v>7625</v>
      </c>
      <c r="K299">
        <f t="shared" si="90"/>
        <v>13459</v>
      </c>
      <c r="L299">
        <f t="shared" si="91"/>
        <v>1237</v>
      </c>
      <c r="M299">
        <f t="shared" si="92"/>
        <v>1067</v>
      </c>
      <c r="N299">
        <f t="shared" si="93"/>
        <v>966</v>
      </c>
      <c r="O299">
        <f t="shared" si="94"/>
        <v>4324</v>
      </c>
      <c r="P299">
        <f t="shared" si="95"/>
        <v>7525</v>
      </c>
      <c r="Q299">
        <f t="shared" si="96"/>
        <v>9892</v>
      </c>
      <c r="R299">
        <f t="shared" si="97"/>
        <v>3417</v>
      </c>
      <c r="S299">
        <f t="shared" si="98"/>
        <v>850</v>
      </c>
      <c r="U299">
        <v>17883</v>
      </c>
      <c r="V299">
        <v>2099</v>
      </c>
      <c r="W299">
        <v>3786</v>
      </c>
      <c r="X299">
        <v>1325</v>
      </c>
      <c r="Y299">
        <v>1549</v>
      </c>
      <c r="Z299">
        <v>5672</v>
      </c>
      <c r="AA299">
        <v>17749</v>
      </c>
      <c r="AB299">
        <v>5166</v>
      </c>
      <c r="AC299">
        <v>1927</v>
      </c>
      <c r="AD299">
        <v>454</v>
      </c>
      <c r="AE299">
        <f t="shared" si="101"/>
        <v>10202</v>
      </c>
      <c r="AF299">
        <v>4446</v>
      </c>
      <c r="AG299">
        <v>2014</v>
      </c>
      <c r="AH299">
        <v>272</v>
      </c>
      <c r="AI299">
        <f t="shared" si="102"/>
        <v>1742</v>
      </c>
      <c r="AJ299" t="s">
        <v>1222</v>
      </c>
      <c r="AK299">
        <v>102</v>
      </c>
      <c r="AL299">
        <v>790</v>
      </c>
      <c r="AM299">
        <v>727</v>
      </c>
      <c r="AN299">
        <v>302</v>
      </c>
      <c r="AO299">
        <v>890</v>
      </c>
      <c r="AP299">
        <v>458</v>
      </c>
      <c r="AQ299">
        <v>516</v>
      </c>
      <c r="AR299">
        <v>67</v>
      </c>
      <c r="AS299">
        <v>22</v>
      </c>
      <c r="AT299">
        <v>236</v>
      </c>
      <c r="AU299">
        <v>693</v>
      </c>
      <c r="AV299">
        <v>549</v>
      </c>
      <c r="AW299">
        <v>32</v>
      </c>
      <c r="AX299">
        <v>830</v>
      </c>
      <c r="AY299">
        <v>281</v>
      </c>
      <c r="AZ299">
        <v>4143</v>
      </c>
      <c r="BA299">
        <v>82</v>
      </c>
      <c r="BB299">
        <v>228</v>
      </c>
      <c r="BD299">
        <v>22</v>
      </c>
    </row>
    <row r="300" spans="1:56" x14ac:dyDescent="0.25">
      <c r="A300" t="s">
        <v>599</v>
      </c>
      <c r="B300" t="s">
        <v>453</v>
      </c>
      <c r="C300">
        <f t="shared" si="99"/>
        <v>77613</v>
      </c>
      <c r="D300">
        <v>78216</v>
      </c>
      <c r="E300">
        <v>603</v>
      </c>
      <c r="F300">
        <f t="shared" si="100"/>
        <v>74282</v>
      </c>
      <c r="G300">
        <v>74885</v>
      </c>
      <c r="H300">
        <v>603</v>
      </c>
      <c r="I300">
        <f t="shared" si="88"/>
        <v>3607</v>
      </c>
      <c r="J300">
        <f t="shared" si="89"/>
        <v>11685</v>
      </c>
      <c r="K300">
        <f t="shared" si="90"/>
        <v>9844</v>
      </c>
      <c r="L300">
        <f t="shared" si="91"/>
        <v>1701</v>
      </c>
      <c r="M300">
        <f t="shared" si="92"/>
        <v>715</v>
      </c>
      <c r="N300">
        <f t="shared" si="93"/>
        <v>2129</v>
      </c>
      <c r="O300">
        <f t="shared" si="94"/>
        <v>7021</v>
      </c>
      <c r="P300">
        <f t="shared" si="95"/>
        <v>15083</v>
      </c>
      <c r="Q300">
        <f t="shared" si="96"/>
        <v>15176</v>
      </c>
      <c r="R300">
        <f t="shared" si="97"/>
        <v>4955</v>
      </c>
      <c r="S300">
        <f t="shared" si="98"/>
        <v>649</v>
      </c>
      <c r="U300">
        <v>13954</v>
      </c>
      <c r="V300">
        <v>2093</v>
      </c>
      <c r="W300">
        <v>4007</v>
      </c>
      <c r="X300">
        <v>953</v>
      </c>
      <c r="Y300">
        <v>2852</v>
      </c>
      <c r="Z300">
        <v>10739</v>
      </c>
      <c r="AA300">
        <v>31748</v>
      </c>
      <c r="AB300">
        <v>11116</v>
      </c>
      <c r="AC300">
        <v>3280</v>
      </c>
      <c r="AD300">
        <v>687</v>
      </c>
      <c r="AE300">
        <f t="shared" si="101"/>
        <v>16665</v>
      </c>
      <c r="AF300">
        <v>7073</v>
      </c>
      <c r="AG300">
        <v>4797</v>
      </c>
      <c r="AH300">
        <v>3084</v>
      </c>
      <c r="AI300">
        <f t="shared" si="102"/>
        <v>1713</v>
      </c>
      <c r="AJ300" t="s">
        <v>1194</v>
      </c>
      <c r="AK300">
        <v>6</v>
      </c>
      <c r="AL300">
        <v>1058</v>
      </c>
      <c r="AM300">
        <v>1313</v>
      </c>
      <c r="AN300">
        <v>805</v>
      </c>
      <c r="AO300">
        <v>910</v>
      </c>
      <c r="AP300">
        <v>2808</v>
      </c>
      <c r="AQ300">
        <v>521</v>
      </c>
      <c r="AR300">
        <v>202</v>
      </c>
      <c r="AT300">
        <v>238</v>
      </c>
      <c r="AU300">
        <v>505</v>
      </c>
      <c r="AV300">
        <v>935</v>
      </c>
      <c r="AX300">
        <v>392</v>
      </c>
      <c r="AY300">
        <v>352</v>
      </c>
      <c r="AZ300">
        <v>3758</v>
      </c>
      <c r="BB300">
        <v>1489</v>
      </c>
    </row>
    <row r="301" spans="1:56" x14ac:dyDescent="0.25">
      <c r="A301" t="s">
        <v>607</v>
      </c>
      <c r="B301" t="s">
        <v>161</v>
      </c>
      <c r="C301">
        <f t="shared" si="99"/>
        <v>95547</v>
      </c>
      <c r="D301">
        <v>96847</v>
      </c>
      <c r="E301">
        <v>1300</v>
      </c>
      <c r="F301">
        <f t="shared" si="100"/>
        <v>93627</v>
      </c>
      <c r="G301">
        <v>94927</v>
      </c>
      <c r="H301">
        <v>1300</v>
      </c>
      <c r="I301">
        <f t="shared" si="88"/>
        <v>2992</v>
      </c>
      <c r="J301">
        <f t="shared" si="89"/>
        <v>1231</v>
      </c>
      <c r="K301">
        <f t="shared" si="90"/>
        <v>9403</v>
      </c>
      <c r="L301">
        <f t="shared" si="91"/>
        <v>2258</v>
      </c>
      <c r="M301">
        <f t="shared" si="92"/>
        <v>2540</v>
      </c>
      <c r="N301">
        <f t="shared" si="93"/>
        <v>3138</v>
      </c>
      <c r="O301">
        <f t="shared" si="94"/>
        <v>10019</v>
      </c>
      <c r="P301">
        <f t="shared" si="95"/>
        <v>31000</v>
      </c>
      <c r="Q301">
        <f t="shared" si="96"/>
        <v>19728</v>
      </c>
      <c r="R301">
        <f t="shared" si="97"/>
        <v>5646</v>
      </c>
      <c r="S301">
        <f t="shared" si="98"/>
        <v>2538</v>
      </c>
      <c r="U301">
        <v>11251</v>
      </c>
      <c r="V301">
        <v>2258</v>
      </c>
      <c r="W301">
        <v>4402</v>
      </c>
      <c r="X301">
        <v>2552</v>
      </c>
      <c r="Y301">
        <v>3717</v>
      </c>
      <c r="Z301">
        <v>11008</v>
      </c>
      <c r="AA301">
        <v>50728</v>
      </c>
      <c r="AB301">
        <v>16941</v>
      </c>
      <c r="AC301">
        <v>11892</v>
      </c>
      <c r="AD301">
        <v>2167</v>
      </c>
      <c r="AE301">
        <f t="shared" si="101"/>
        <v>19728</v>
      </c>
      <c r="AF301">
        <v>5929</v>
      </c>
      <c r="AG301">
        <v>5002</v>
      </c>
      <c r="AH301">
        <v>2359</v>
      </c>
      <c r="AI301">
        <f t="shared" si="102"/>
        <v>2643</v>
      </c>
      <c r="AJ301" t="s">
        <v>962</v>
      </c>
      <c r="AK301">
        <v>105</v>
      </c>
      <c r="AM301">
        <v>283</v>
      </c>
      <c r="AO301">
        <v>982</v>
      </c>
      <c r="AP301">
        <v>7</v>
      </c>
      <c r="AQ301">
        <v>568</v>
      </c>
      <c r="AR301">
        <v>11</v>
      </c>
      <c r="AS301">
        <v>12</v>
      </c>
      <c r="AU301">
        <v>407</v>
      </c>
      <c r="AY301">
        <v>635</v>
      </c>
      <c r="AZ301">
        <v>1213</v>
      </c>
    </row>
    <row r="302" spans="1:56" x14ac:dyDescent="0.25">
      <c r="A302" t="s">
        <v>606</v>
      </c>
      <c r="B302" t="s">
        <v>281</v>
      </c>
      <c r="C302">
        <f t="shared" si="99"/>
        <v>206690</v>
      </c>
      <c r="D302">
        <v>207245</v>
      </c>
      <c r="E302">
        <v>555</v>
      </c>
      <c r="F302">
        <f t="shared" si="100"/>
        <v>210592</v>
      </c>
      <c r="G302">
        <v>211147</v>
      </c>
      <c r="H302">
        <v>555</v>
      </c>
      <c r="I302">
        <f t="shared" si="88"/>
        <v>10775</v>
      </c>
      <c r="J302">
        <f t="shared" si="89"/>
        <v>42332</v>
      </c>
      <c r="K302">
        <f t="shared" si="90"/>
        <v>9582</v>
      </c>
      <c r="L302">
        <f t="shared" si="91"/>
        <v>3731</v>
      </c>
      <c r="M302">
        <f t="shared" si="92"/>
        <v>1895</v>
      </c>
      <c r="N302">
        <f t="shared" si="93"/>
        <v>7655</v>
      </c>
      <c r="O302">
        <f t="shared" si="94"/>
        <v>16033</v>
      </c>
      <c r="P302">
        <f t="shared" si="95"/>
        <v>30342</v>
      </c>
      <c r="Q302">
        <f t="shared" si="96"/>
        <v>40677</v>
      </c>
      <c r="R302">
        <f t="shared" si="97"/>
        <v>11093</v>
      </c>
      <c r="S302">
        <f t="shared" si="98"/>
        <v>1138</v>
      </c>
      <c r="U302">
        <v>47606</v>
      </c>
      <c r="V302">
        <v>3783</v>
      </c>
      <c r="W302">
        <v>10495</v>
      </c>
      <c r="X302">
        <v>1896</v>
      </c>
      <c r="Y302">
        <v>15932</v>
      </c>
      <c r="Z302">
        <v>18528</v>
      </c>
      <c r="AA302">
        <v>71464</v>
      </c>
      <c r="AB302">
        <v>21150</v>
      </c>
      <c r="AC302">
        <v>7610</v>
      </c>
      <c r="AD302">
        <v>1582</v>
      </c>
      <c r="AE302">
        <f t="shared" si="101"/>
        <v>41122</v>
      </c>
      <c r="AF302">
        <v>11992</v>
      </c>
      <c r="AG302">
        <v>25549</v>
      </c>
      <c r="AH302">
        <v>24399</v>
      </c>
      <c r="AI302">
        <f t="shared" si="102"/>
        <v>1150</v>
      </c>
      <c r="AJ302" t="s">
        <v>1056</v>
      </c>
      <c r="AK302">
        <v>12</v>
      </c>
      <c r="AM302">
        <v>899</v>
      </c>
      <c r="AO302">
        <v>2495</v>
      </c>
      <c r="AQ302">
        <v>2307</v>
      </c>
      <c r="AR302">
        <v>5970</v>
      </c>
      <c r="AS302">
        <v>1</v>
      </c>
      <c r="AU302">
        <v>2902</v>
      </c>
      <c r="AW302">
        <v>52</v>
      </c>
      <c r="AY302">
        <v>1662</v>
      </c>
      <c r="AZ302">
        <v>36362</v>
      </c>
      <c r="BA302">
        <v>445</v>
      </c>
    </row>
    <row r="303" spans="1:56" x14ac:dyDescent="0.25">
      <c r="A303" t="s">
        <v>610</v>
      </c>
      <c r="B303" t="s">
        <v>400</v>
      </c>
      <c r="C303">
        <f t="shared" si="99"/>
        <v>71437</v>
      </c>
      <c r="D303">
        <v>72726</v>
      </c>
      <c r="E303">
        <v>1289</v>
      </c>
      <c r="F303">
        <f t="shared" si="100"/>
        <v>70274</v>
      </c>
      <c r="G303">
        <v>71563</v>
      </c>
      <c r="H303">
        <v>1289</v>
      </c>
      <c r="I303">
        <f t="shared" si="88"/>
        <v>2690</v>
      </c>
      <c r="J303">
        <f t="shared" si="89"/>
        <v>16651</v>
      </c>
      <c r="K303">
        <f t="shared" si="90"/>
        <v>6574</v>
      </c>
      <c r="L303">
        <f t="shared" si="91"/>
        <v>2095</v>
      </c>
      <c r="M303">
        <f t="shared" si="92"/>
        <v>1083</v>
      </c>
      <c r="N303">
        <f t="shared" si="93"/>
        <v>2065</v>
      </c>
      <c r="O303">
        <f t="shared" si="94"/>
        <v>6783</v>
      </c>
      <c r="P303">
        <f t="shared" si="95"/>
        <v>5469</v>
      </c>
      <c r="Q303">
        <f t="shared" si="96"/>
        <v>13980</v>
      </c>
      <c r="R303">
        <f t="shared" si="97"/>
        <v>4864</v>
      </c>
      <c r="S303">
        <f t="shared" si="98"/>
        <v>1064</v>
      </c>
      <c r="U303">
        <v>12600</v>
      </c>
      <c r="V303">
        <v>2585</v>
      </c>
      <c r="W303">
        <v>5762</v>
      </c>
      <c r="X303">
        <v>1350</v>
      </c>
      <c r="Y303">
        <v>2733</v>
      </c>
      <c r="Z303">
        <v>8670</v>
      </c>
      <c r="AA303">
        <v>24283</v>
      </c>
      <c r="AB303">
        <v>4272</v>
      </c>
      <c r="AC303">
        <v>1220</v>
      </c>
      <c r="AD303">
        <v>11</v>
      </c>
      <c r="AE303">
        <f t="shared" si="101"/>
        <v>18780</v>
      </c>
      <c r="AF303">
        <v>6735</v>
      </c>
      <c r="AG303">
        <v>8008</v>
      </c>
      <c r="AH303">
        <v>5085</v>
      </c>
      <c r="AI303">
        <f t="shared" si="102"/>
        <v>2923</v>
      </c>
      <c r="AJ303" t="s">
        <v>1152</v>
      </c>
      <c r="AK303">
        <v>2</v>
      </c>
      <c r="AL303">
        <v>1857</v>
      </c>
      <c r="AM303">
        <v>765</v>
      </c>
      <c r="AN303">
        <v>1106</v>
      </c>
      <c r="AO303">
        <v>363</v>
      </c>
      <c r="AP303">
        <v>1524</v>
      </c>
      <c r="AQ303">
        <v>469</v>
      </c>
      <c r="AR303">
        <v>199</v>
      </c>
      <c r="AS303">
        <v>5</v>
      </c>
      <c r="AT303">
        <v>262</v>
      </c>
      <c r="AU303">
        <v>655</v>
      </c>
      <c r="AV303">
        <v>784</v>
      </c>
      <c r="AW303">
        <v>57</v>
      </c>
      <c r="AX303">
        <v>433</v>
      </c>
      <c r="AY303">
        <v>303</v>
      </c>
      <c r="AZ303">
        <v>5723</v>
      </c>
      <c r="BA303">
        <v>71</v>
      </c>
      <c r="BB303">
        <v>4729</v>
      </c>
      <c r="BD303">
        <v>34</v>
      </c>
    </row>
    <row r="304" spans="1:56" x14ac:dyDescent="0.25">
      <c r="A304" t="s">
        <v>599</v>
      </c>
      <c r="B304" t="s">
        <v>454</v>
      </c>
      <c r="C304">
        <f t="shared" si="99"/>
        <v>120637</v>
      </c>
      <c r="D304">
        <v>127371</v>
      </c>
      <c r="E304">
        <v>6734</v>
      </c>
      <c r="F304">
        <f t="shared" si="100"/>
        <v>114978</v>
      </c>
      <c r="G304">
        <v>121712</v>
      </c>
      <c r="H304">
        <v>6734</v>
      </c>
      <c r="I304">
        <f t="shared" si="88"/>
        <v>4716</v>
      </c>
      <c r="J304">
        <f t="shared" si="89"/>
        <v>22880</v>
      </c>
      <c r="K304">
        <f t="shared" si="90"/>
        <v>13923</v>
      </c>
      <c r="L304">
        <f t="shared" si="91"/>
        <v>2460</v>
      </c>
      <c r="M304">
        <f t="shared" si="92"/>
        <v>8614</v>
      </c>
      <c r="N304">
        <f t="shared" si="93"/>
        <v>2565</v>
      </c>
      <c r="O304">
        <f t="shared" si="94"/>
        <v>7541</v>
      </c>
      <c r="P304">
        <f t="shared" si="95"/>
        <v>14146</v>
      </c>
      <c r="Q304">
        <f t="shared" si="96"/>
        <v>24352</v>
      </c>
      <c r="R304">
        <f t="shared" si="97"/>
        <v>8457</v>
      </c>
      <c r="S304">
        <f t="shared" si="98"/>
        <v>381</v>
      </c>
      <c r="U304">
        <v>23632</v>
      </c>
      <c r="V304">
        <v>3110</v>
      </c>
      <c r="W304">
        <v>5557</v>
      </c>
      <c r="X304">
        <v>9843</v>
      </c>
      <c r="Y304">
        <v>4791</v>
      </c>
      <c r="Z304">
        <v>9745</v>
      </c>
      <c r="AA304">
        <v>44664</v>
      </c>
      <c r="AB304">
        <v>10189</v>
      </c>
      <c r="AC304">
        <v>3892</v>
      </c>
      <c r="AD304">
        <v>1751</v>
      </c>
      <c r="AE304">
        <f t="shared" si="101"/>
        <v>28832</v>
      </c>
      <c r="AF304">
        <v>10042</v>
      </c>
      <c r="AG304">
        <v>15987</v>
      </c>
      <c r="AH304">
        <v>13541</v>
      </c>
      <c r="AI304">
        <f t="shared" si="102"/>
        <v>2446</v>
      </c>
      <c r="AJ304" t="s">
        <v>1195</v>
      </c>
      <c r="AL304">
        <v>2065</v>
      </c>
      <c r="AM304">
        <v>539</v>
      </c>
      <c r="AN304">
        <v>1046</v>
      </c>
      <c r="AO304">
        <v>977</v>
      </c>
      <c r="AP304">
        <v>1227</v>
      </c>
      <c r="AQ304">
        <v>1789</v>
      </c>
      <c r="AR304">
        <v>437</v>
      </c>
      <c r="AS304">
        <v>28</v>
      </c>
      <c r="AT304">
        <v>1201</v>
      </c>
      <c r="AU304">
        <v>677</v>
      </c>
      <c r="AV304">
        <v>1085</v>
      </c>
      <c r="AW304">
        <v>26</v>
      </c>
      <c r="AX304">
        <v>624</v>
      </c>
      <c r="AY304">
        <v>313</v>
      </c>
      <c r="AZ304">
        <v>9396</v>
      </c>
      <c r="BA304">
        <v>367</v>
      </c>
      <c r="BB304">
        <v>4113</v>
      </c>
      <c r="BD304">
        <v>1686</v>
      </c>
    </row>
    <row r="305" spans="1:56" x14ac:dyDescent="0.25">
      <c r="A305" t="s">
        <v>600</v>
      </c>
      <c r="B305" t="s">
        <v>325</v>
      </c>
      <c r="C305">
        <f t="shared" si="99"/>
        <v>178130</v>
      </c>
      <c r="D305">
        <v>178728</v>
      </c>
      <c r="E305">
        <v>598</v>
      </c>
      <c r="F305">
        <f t="shared" si="100"/>
        <v>176474</v>
      </c>
      <c r="G305">
        <v>177072</v>
      </c>
      <c r="H305">
        <v>598</v>
      </c>
      <c r="I305">
        <f t="shared" si="88"/>
        <v>11454</v>
      </c>
      <c r="J305">
        <f t="shared" si="89"/>
        <v>35055</v>
      </c>
      <c r="K305">
        <f t="shared" si="90"/>
        <v>10262</v>
      </c>
      <c r="L305">
        <f t="shared" si="91"/>
        <v>6412</v>
      </c>
      <c r="M305">
        <f t="shared" si="92"/>
        <v>5526</v>
      </c>
      <c r="N305">
        <f t="shared" si="93"/>
        <v>5226</v>
      </c>
      <c r="O305">
        <f t="shared" si="94"/>
        <v>10980</v>
      </c>
      <c r="P305">
        <f t="shared" si="95"/>
        <v>31679</v>
      </c>
      <c r="Q305">
        <f t="shared" si="96"/>
        <v>38281</v>
      </c>
      <c r="R305">
        <f t="shared" si="97"/>
        <v>14744</v>
      </c>
      <c r="S305">
        <f t="shared" si="98"/>
        <v>1537</v>
      </c>
      <c r="U305">
        <v>30342</v>
      </c>
      <c r="V305">
        <v>7891</v>
      </c>
      <c r="W305">
        <v>9947</v>
      </c>
      <c r="X305">
        <v>6116</v>
      </c>
      <c r="Y305">
        <v>7806</v>
      </c>
      <c r="Z305">
        <v>16843</v>
      </c>
      <c r="AA305">
        <v>75266</v>
      </c>
      <c r="AB305">
        <v>27573</v>
      </c>
      <c r="AC305">
        <v>4958</v>
      </c>
      <c r="AD305">
        <v>2136</v>
      </c>
      <c r="AE305">
        <f t="shared" si="101"/>
        <v>40599</v>
      </c>
      <c r="AF305">
        <v>17147</v>
      </c>
      <c r="AG305">
        <v>7370</v>
      </c>
      <c r="AH305">
        <v>1571</v>
      </c>
      <c r="AI305">
        <f t="shared" si="102"/>
        <v>5799</v>
      </c>
      <c r="AJ305" t="s">
        <v>1097</v>
      </c>
      <c r="AK305">
        <v>192</v>
      </c>
      <c r="AL305">
        <v>4070</v>
      </c>
      <c r="AM305">
        <v>1704</v>
      </c>
      <c r="AN305">
        <v>699</v>
      </c>
      <c r="AO305">
        <v>1386</v>
      </c>
      <c r="AP305">
        <v>4477</v>
      </c>
      <c r="AQ305">
        <v>2090</v>
      </c>
      <c r="AR305">
        <v>490</v>
      </c>
      <c r="AS305">
        <v>11</v>
      </c>
      <c r="AT305">
        <v>579</v>
      </c>
      <c r="AU305">
        <v>2301</v>
      </c>
      <c r="AV305">
        <v>1645</v>
      </c>
      <c r="AW305">
        <v>71</v>
      </c>
      <c r="AX305">
        <v>1408</v>
      </c>
      <c r="AY305">
        <v>3479</v>
      </c>
      <c r="AZ305">
        <v>16601</v>
      </c>
      <c r="BA305">
        <v>220</v>
      </c>
      <c r="BB305">
        <v>2098</v>
      </c>
      <c r="BD305">
        <v>2988</v>
      </c>
    </row>
    <row r="306" spans="1:56" x14ac:dyDescent="0.25">
      <c r="A306" t="s">
        <v>608</v>
      </c>
      <c r="B306" t="s">
        <v>490</v>
      </c>
      <c r="C306">
        <f t="shared" si="99"/>
        <v>406224</v>
      </c>
      <c r="D306">
        <v>417733</v>
      </c>
      <c r="E306">
        <v>11509</v>
      </c>
      <c r="F306">
        <f t="shared" si="100"/>
        <v>376128</v>
      </c>
      <c r="G306">
        <v>387637</v>
      </c>
      <c r="H306">
        <v>11509</v>
      </c>
      <c r="I306">
        <f t="shared" si="88"/>
        <v>14860</v>
      </c>
      <c r="J306">
        <f t="shared" si="89"/>
        <v>70453</v>
      </c>
      <c r="K306">
        <f t="shared" si="90"/>
        <v>32188</v>
      </c>
      <c r="L306">
        <f t="shared" si="91"/>
        <v>7951</v>
      </c>
      <c r="M306">
        <f t="shared" si="92"/>
        <v>11112</v>
      </c>
      <c r="N306">
        <f t="shared" si="93"/>
        <v>13427</v>
      </c>
      <c r="O306">
        <f t="shared" si="94"/>
        <v>17113</v>
      </c>
      <c r="P306">
        <f t="shared" si="95"/>
        <v>68874</v>
      </c>
      <c r="Q306">
        <f t="shared" si="96"/>
        <v>117143</v>
      </c>
      <c r="R306">
        <f t="shared" si="97"/>
        <v>19434</v>
      </c>
      <c r="S306">
        <f t="shared" si="98"/>
        <v>3525</v>
      </c>
      <c r="U306">
        <v>67421</v>
      </c>
      <c r="V306">
        <v>9980</v>
      </c>
      <c r="W306">
        <v>18738</v>
      </c>
      <c r="X306">
        <v>13335</v>
      </c>
      <c r="Y306">
        <v>17200</v>
      </c>
      <c r="Z306">
        <v>27072</v>
      </c>
      <c r="AA306">
        <v>199634</v>
      </c>
      <c r="AB306">
        <v>55650</v>
      </c>
      <c r="AC306">
        <v>15281</v>
      </c>
      <c r="AD306">
        <v>4739</v>
      </c>
      <c r="AE306">
        <f t="shared" si="101"/>
        <v>123964</v>
      </c>
      <c r="AF306">
        <v>23959</v>
      </c>
      <c r="AG306">
        <v>40394</v>
      </c>
      <c r="AH306">
        <v>30183</v>
      </c>
      <c r="AI306">
        <f t="shared" si="102"/>
        <v>10211</v>
      </c>
      <c r="AJ306" t="s">
        <v>1218</v>
      </c>
      <c r="AK306">
        <v>443</v>
      </c>
      <c r="AL306">
        <v>6243</v>
      </c>
      <c r="AM306">
        <v>1299</v>
      </c>
      <c r="AN306">
        <v>3226</v>
      </c>
      <c r="AO306">
        <v>2311</v>
      </c>
      <c r="AP306">
        <v>7648</v>
      </c>
      <c r="AQ306">
        <v>2810</v>
      </c>
      <c r="AR306">
        <v>963</v>
      </c>
      <c r="AS306">
        <v>362</v>
      </c>
      <c r="AT306">
        <v>1861</v>
      </c>
      <c r="AU306">
        <v>3388</v>
      </c>
      <c r="AV306">
        <v>3880</v>
      </c>
      <c r="AW306">
        <v>18</v>
      </c>
      <c r="AX306">
        <v>2011</v>
      </c>
      <c r="AY306">
        <v>2461</v>
      </c>
      <c r="AZ306">
        <v>32772</v>
      </c>
      <c r="BA306">
        <v>1768</v>
      </c>
      <c r="BB306">
        <v>5053</v>
      </c>
      <c r="BD306">
        <v>6796</v>
      </c>
    </row>
    <row r="307" spans="1:56" x14ac:dyDescent="0.25">
      <c r="A307" t="s">
        <v>608</v>
      </c>
      <c r="B307" t="s">
        <v>491</v>
      </c>
      <c r="C307">
        <f t="shared" si="99"/>
        <v>120940</v>
      </c>
      <c r="D307">
        <v>125085</v>
      </c>
      <c r="E307">
        <v>4145</v>
      </c>
      <c r="F307">
        <f t="shared" si="100"/>
        <v>116107</v>
      </c>
      <c r="G307">
        <v>120252</v>
      </c>
      <c r="H307">
        <v>4145</v>
      </c>
      <c r="I307">
        <f t="shared" si="88"/>
        <v>5681</v>
      </c>
      <c r="J307">
        <f t="shared" si="89"/>
        <v>27157</v>
      </c>
      <c r="K307">
        <f t="shared" si="90"/>
        <v>11423</v>
      </c>
      <c r="L307">
        <f t="shared" si="91"/>
        <v>3859</v>
      </c>
      <c r="M307">
        <f t="shared" si="92"/>
        <v>194</v>
      </c>
      <c r="N307">
        <f t="shared" si="93"/>
        <v>3972</v>
      </c>
      <c r="O307">
        <f t="shared" si="94"/>
        <v>7016</v>
      </c>
      <c r="P307">
        <f t="shared" si="95"/>
        <v>29030</v>
      </c>
      <c r="Q307">
        <f t="shared" si="96"/>
        <v>20858</v>
      </c>
      <c r="R307">
        <f t="shared" si="97"/>
        <v>8623</v>
      </c>
      <c r="S307">
        <f t="shared" si="98"/>
        <v>1714</v>
      </c>
      <c r="U307">
        <v>27132</v>
      </c>
      <c r="V307">
        <v>4759</v>
      </c>
      <c r="W307">
        <v>8847</v>
      </c>
      <c r="X307">
        <v>1231</v>
      </c>
      <c r="Y307">
        <v>4934</v>
      </c>
      <c r="Z307">
        <v>8884</v>
      </c>
      <c r="AA307">
        <v>54544</v>
      </c>
      <c r="AB307">
        <v>16610</v>
      </c>
      <c r="AC307">
        <v>11289</v>
      </c>
      <c r="AD307">
        <v>1994</v>
      </c>
      <c r="AE307">
        <f t="shared" si="101"/>
        <v>24651</v>
      </c>
      <c r="AF307">
        <v>11228</v>
      </c>
      <c r="AG307">
        <v>3526</v>
      </c>
      <c r="AH307">
        <v>-482</v>
      </c>
      <c r="AI307">
        <f t="shared" si="102"/>
        <v>4008</v>
      </c>
      <c r="AJ307" t="s">
        <v>1219</v>
      </c>
      <c r="AK307">
        <v>11</v>
      </c>
      <c r="AL307">
        <v>2283</v>
      </c>
      <c r="AM307">
        <v>798</v>
      </c>
      <c r="AN307">
        <v>1807</v>
      </c>
      <c r="AO307">
        <v>748</v>
      </c>
      <c r="AP307">
        <v>1120</v>
      </c>
      <c r="AQ307">
        <v>549</v>
      </c>
      <c r="AR307">
        <v>413</v>
      </c>
      <c r="AS307">
        <v>7</v>
      </c>
      <c r="AT307">
        <v>1030</v>
      </c>
      <c r="AU307">
        <v>1554</v>
      </c>
      <c r="AV307">
        <v>1253</v>
      </c>
      <c r="AW307">
        <v>22</v>
      </c>
      <c r="AX307">
        <v>878</v>
      </c>
      <c r="AY307">
        <v>1517</v>
      </c>
      <c r="AZ307">
        <v>14192</v>
      </c>
      <c r="BA307">
        <v>475</v>
      </c>
      <c r="BB307">
        <v>3318</v>
      </c>
      <c r="BD307">
        <v>863</v>
      </c>
    </row>
    <row r="308" spans="1:56" x14ac:dyDescent="0.25">
      <c r="A308" t="s">
        <v>606</v>
      </c>
      <c r="B308" t="s">
        <v>752</v>
      </c>
      <c r="C308" s="312">
        <v>139836</v>
      </c>
      <c r="D308">
        <v>0</v>
      </c>
      <c r="E308">
        <v>0</v>
      </c>
      <c r="F308">
        <v>139836</v>
      </c>
      <c r="G308">
        <v>139836</v>
      </c>
      <c r="H308">
        <v>0</v>
      </c>
      <c r="I308">
        <f t="shared" si="88"/>
        <v>0</v>
      </c>
      <c r="J308">
        <f t="shared" si="89"/>
        <v>0</v>
      </c>
      <c r="K308">
        <f t="shared" si="90"/>
        <v>0</v>
      </c>
      <c r="L308">
        <f t="shared" si="91"/>
        <v>0</v>
      </c>
      <c r="M308">
        <f t="shared" si="92"/>
        <v>0</v>
      </c>
      <c r="N308">
        <f t="shared" si="93"/>
        <v>0</v>
      </c>
      <c r="O308">
        <f t="shared" si="94"/>
        <v>0</v>
      </c>
      <c r="P308">
        <f t="shared" si="95"/>
        <v>0</v>
      </c>
      <c r="Q308">
        <f t="shared" si="96"/>
        <v>0</v>
      </c>
      <c r="R308">
        <f t="shared" si="97"/>
        <v>0</v>
      </c>
      <c r="S308">
        <f t="shared" si="98"/>
        <v>0</v>
      </c>
      <c r="AJ308" t="s">
        <v>1305</v>
      </c>
      <c r="AK308">
        <v>0</v>
      </c>
      <c r="AL308">
        <v>0</v>
      </c>
      <c r="AM308">
        <v>0</v>
      </c>
      <c r="AN308">
        <v>0</v>
      </c>
      <c r="AO308">
        <v>0</v>
      </c>
      <c r="AP308">
        <v>0</v>
      </c>
      <c r="AQ308">
        <v>0</v>
      </c>
      <c r="AR308">
        <v>0</v>
      </c>
      <c r="AS308">
        <v>0</v>
      </c>
      <c r="AT308">
        <v>0</v>
      </c>
      <c r="AU308">
        <v>0</v>
      </c>
      <c r="AV308">
        <v>0</v>
      </c>
      <c r="AW308">
        <v>0</v>
      </c>
      <c r="AX308">
        <v>0</v>
      </c>
      <c r="AY308">
        <v>0</v>
      </c>
      <c r="AZ308">
        <v>0</v>
      </c>
      <c r="BA308">
        <v>0</v>
      </c>
      <c r="BB308">
        <v>0</v>
      </c>
      <c r="BD308">
        <v>0</v>
      </c>
    </row>
    <row r="309" spans="1:56" x14ac:dyDescent="0.25">
      <c r="A309" t="s">
        <v>603</v>
      </c>
      <c r="B309" t="s">
        <v>378</v>
      </c>
      <c r="C309">
        <f t="shared" ref="C309:C325" si="103">SUM(D309,-E309)</f>
        <v>251289</v>
      </c>
      <c r="D309">
        <v>253229</v>
      </c>
      <c r="E309">
        <v>1940</v>
      </c>
      <c r="F309">
        <f t="shared" ref="F309:F315" si="104">SUM(G309,-H309)</f>
        <v>252771</v>
      </c>
      <c r="G309">
        <v>254711</v>
      </c>
      <c r="H309">
        <v>1940</v>
      </c>
      <c r="I309">
        <f t="shared" si="88"/>
        <v>12214</v>
      </c>
      <c r="J309">
        <f t="shared" si="89"/>
        <v>34167</v>
      </c>
      <c r="K309">
        <f t="shared" si="90"/>
        <v>20235</v>
      </c>
      <c r="L309">
        <f t="shared" si="91"/>
        <v>7019</v>
      </c>
      <c r="M309">
        <f t="shared" si="92"/>
        <v>1010</v>
      </c>
      <c r="N309">
        <f t="shared" si="93"/>
        <v>7187</v>
      </c>
      <c r="O309">
        <f t="shared" si="94"/>
        <v>13152</v>
      </c>
      <c r="P309">
        <f t="shared" si="95"/>
        <v>59862</v>
      </c>
      <c r="Q309">
        <f t="shared" si="96"/>
        <v>68549</v>
      </c>
      <c r="R309">
        <f t="shared" si="97"/>
        <v>14699</v>
      </c>
      <c r="S309">
        <f t="shared" si="98"/>
        <v>823</v>
      </c>
      <c r="U309">
        <v>44069</v>
      </c>
      <c r="V309">
        <v>7045</v>
      </c>
      <c r="W309">
        <v>13668</v>
      </c>
      <c r="X309">
        <v>1607</v>
      </c>
      <c r="Y309">
        <v>9683</v>
      </c>
      <c r="Z309">
        <v>17395</v>
      </c>
      <c r="AA309">
        <v>131082</v>
      </c>
      <c r="AB309">
        <v>38886</v>
      </c>
      <c r="AC309">
        <v>121</v>
      </c>
      <c r="AD309">
        <v>20943</v>
      </c>
      <c r="AE309">
        <f t="shared" ref="AE309:AE324" si="105">SUM(AA309,-AB309,-AC309,-AD309)</f>
        <v>71132</v>
      </c>
      <c r="AF309">
        <v>18707</v>
      </c>
      <c r="AG309">
        <v>9973</v>
      </c>
      <c r="AH309">
        <v>6970</v>
      </c>
      <c r="AI309">
        <f t="shared" ref="AI309:AI324" si="106">SUM(AG309,-AH309)</f>
        <v>3003</v>
      </c>
      <c r="AJ309" t="s">
        <v>1135</v>
      </c>
      <c r="AK309">
        <v>1</v>
      </c>
      <c r="AL309">
        <v>2179</v>
      </c>
      <c r="AM309">
        <v>3015</v>
      </c>
      <c r="AN309">
        <v>993</v>
      </c>
      <c r="AO309">
        <v>1318</v>
      </c>
      <c r="AP309">
        <v>2925</v>
      </c>
      <c r="AQ309">
        <v>1845</v>
      </c>
      <c r="AR309">
        <v>651</v>
      </c>
      <c r="AS309">
        <v>326</v>
      </c>
      <c r="AT309">
        <v>271</v>
      </c>
      <c r="AU309">
        <v>3423</v>
      </c>
      <c r="AV309">
        <v>2903</v>
      </c>
      <c r="AX309">
        <v>26</v>
      </c>
      <c r="AY309">
        <v>2196</v>
      </c>
      <c r="AZ309">
        <v>21638</v>
      </c>
      <c r="BA309">
        <v>84</v>
      </c>
      <c r="BB309">
        <v>2499</v>
      </c>
      <c r="BC309">
        <v>6</v>
      </c>
      <c r="BD309">
        <v>82</v>
      </c>
    </row>
    <row r="310" spans="1:56" x14ac:dyDescent="0.25">
      <c r="A310" t="s">
        <v>602</v>
      </c>
      <c r="B310" t="s">
        <v>183</v>
      </c>
      <c r="C310">
        <f t="shared" si="103"/>
        <v>8216</v>
      </c>
      <c r="D310">
        <v>8266</v>
      </c>
      <c r="E310">
        <v>50</v>
      </c>
      <c r="F310">
        <f t="shared" si="104"/>
        <v>8136</v>
      </c>
      <c r="G310">
        <v>8186</v>
      </c>
      <c r="H310">
        <v>50</v>
      </c>
      <c r="I310">
        <f t="shared" si="88"/>
        <v>480</v>
      </c>
      <c r="J310">
        <f t="shared" si="89"/>
        <v>2338</v>
      </c>
      <c r="K310">
        <f t="shared" si="90"/>
        <v>1244</v>
      </c>
      <c r="L310">
        <f t="shared" si="91"/>
        <v>271</v>
      </c>
      <c r="M310">
        <f t="shared" si="92"/>
        <v>198</v>
      </c>
      <c r="N310">
        <f t="shared" si="93"/>
        <v>247</v>
      </c>
      <c r="O310">
        <f t="shared" si="94"/>
        <v>760</v>
      </c>
      <c r="P310">
        <f t="shared" si="95"/>
        <v>222</v>
      </c>
      <c r="Q310">
        <f t="shared" si="96"/>
        <v>1578</v>
      </c>
      <c r="R310">
        <f t="shared" si="97"/>
        <v>534</v>
      </c>
      <c r="S310">
        <f t="shared" si="98"/>
        <v>81</v>
      </c>
      <c r="U310">
        <v>2674</v>
      </c>
      <c r="V310">
        <v>356</v>
      </c>
      <c r="W310">
        <v>540</v>
      </c>
      <c r="X310">
        <v>258</v>
      </c>
      <c r="Y310">
        <v>373</v>
      </c>
      <c r="Z310">
        <v>998</v>
      </c>
      <c r="AA310">
        <v>1926</v>
      </c>
      <c r="AB310">
        <v>219</v>
      </c>
      <c r="AC310">
        <v>0</v>
      </c>
      <c r="AD310">
        <v>3</v>
      </c>
      <c r="AE310">
        <f t="shared" si="105"/>
        <v>1704</v>
      </c>
      <c r="AF310">
        <v>897</v>
      </c>
      <c r="AG310">
        <v>244</v>
      </c>
      <c r="AH310">
        <v>0</v>
      </c>
      <c r="AI310">
        <f t="shared" si="106"/>
        <v>244</v>
      </c>
      <c r="AJ310" t="s">
        <v>974</v>
      </c>
      <c r="AK310">
        <v>1</v>
      </c>
      <c r="AL310">
        <v>162</v>
      </c>
      <c r="AM310">
        <v>101</v>
      </c>
      <c r="AN310">
        <v>262</v>
      </c>
      <c r="AO310">
        <v>27</v>
      </c>
      <c r="AP310">
        <v>211</v>
      </c>
      <c r="AQ310">
        <v>111</v>
      </c>
      <c r="AR310">
        <v>15</v>
      </c>
      <c r="AS310">
        <v>10</v>
      </c>
      <c r="AT310">
        <v>50</v>
      </c>
      <c r="AU310">
        <v>147</v>
      </c>
      <c r="AV310">
        <v>80</v>
      </c>
      <c r="AX310">
        <v>85</v>
      </c>
      <c r="AY310">
        <v>83</v>
      </c>
      <c r="AZ310">
        <v>1347</v>
      </c>
      <c r="BB310">
        <v>126</v>
      </c>
    </row>
    <row r="311" spans="1:56" x14ac:dyDescent="0.25">
      <c r="A311" t="s">
        <v>610</v>
      </c>
      <c r="B311" t="s">
        <v>401</v>
      </c>
      <c r="C311">
        <f t="shared" si="103"/>
        <v>239911</v>
      </c>
      <c r="D311">
        <v>239944</v>
      </c>
      <c r="E311">
        <v>33</v>
      </c>
      <c r="F311">
        <f t="shared" si="104"/>
        <v>215658</v>
      </c>
      <c r="G311">
        <v>215691</v>
      </c>
      <c r="H311">
        <v>33</v>
      </c>
      <c r="I311">
        <f t="shared" si="88"/>
        <v>7825</v>
      </c>
      <c r="J311">
        <f t="shared" si="89"/>
        <v>24903</v>
      </c>
      <c r="K311">
        <f t="shared" si="90"/>
        <v>16993</v>
      </c>
      <c r="L311">
        <f t="shared" si="91"/>
        <v>3699</v>
      </c>
      <c r="M311">
        <f t="shared" si="92"/>
        <v>8123</v>
      </c>
      <c r="N311">
        <f t="shared" si="93"/>
        <v>5038</v>
      </c>
      <c r="O311">
        <f t="shared" si="94"/>
        <v>5148</v>
      </c>
      <c r="P311">
        <f t="shared" si="95"/>
        <v>47419</v>
      </c>
      <c r="Q311">
        <f t="shared" si="96"/>
        <v>87160</v>
      </c>
      <c r="R311">
        <f t="shared" si="97"/>
        <v>10111</v>
      </c>
      <c r="S311">
        <f t="shared" si="98"/>
        <v>1834</v>
      </c>
      <c r="U311">
        <v>30247</v>
      </c>
      <c r="V311">
        <v>4536</v>
      </c>
      <c r="W311">
        <v>9982</v>
      </c>
      <c r="X311">
        <v>8953</v>
      </c>
      <c r="Y311">
        <v>5805</v>
      </c>
      <c r="Z311">
        <v>8243</v>
      </c>
      <c r="AA311">
        <v>137108</v>
      </c>
      <c r="AB311">
        <v>30624</v>
      </c>
      <c r="AC311">
        <v>17006</v>
      </c>
      <c r="AD311">
        <v>0</v>
      </c>
      <c r="AE311">
        <f t="shared" si="105"/>
        <v>89478</v>
      </c>
      <c r="AF311">
        <v>14144</v>
      </c>
      <c r="AG311">
        <v>20926</v>
      </c>
      <c r="AH311">
        <v>16090</v>
      </c>
      <c r="AI311">
        <f t="shared" si="106"/>
        <v>4836</v>
      </c>
      <c r="AJ311" t="s">
        <v>1153</v>
      </c>
      <c r="AK311">
        <v>952</v>
      </c>
      <c r="AL311">
        <v>2050</v>
      </c>
      <c r="AM311">
        <v>1864</v>
      </c>
      <c r="AN311">
        <v>2169</v>
      </c>
      <c r="AO311">
        <v>815</v>
      </c>
      <c r="AP311">
        <v>2280</v>
      </c>
      <c r="AQ311">
        <v>564</v>
      </c>
      <c r="AR311">
        <v>203</v>
      </c>
      <c r="AS311">
        <v>34</v>
      </c>
      <c r="AT311">
        <v>796</v>
      </c>
      <c r="AU311">
        <v>2790</v>
      </c>
      <c r="AV311">
        <v>1591</v>
      </c>
      <c r="AX311">
        <v>837</v>
      </c>
      <c r="AY311">
        <v>660</v>
      </c>
      <c r="AZ311">
        <v>12594</v>
      </c>
      <c r="BA311">
        <v>146</v>
      </c>
      <c r="BB311">
        <v>2172</v>
      </c>
      <c r="BD311">
        <v>211</v>
      </c>
    </row>
    <row r="312" spans="1:56" x14ac:dyDescent="0.25">
      <c r="A312" t="s">
        <v>608</v>
      </c>
      <c r="B312" t="s">
        <v>492</v>
      </c>
      <c r="C312">
        <f t="shared" si="103"/>
        <v>25792</v>
      </c>
      <c r="D312">
        <v>26092</v>
      </c>
      <c r="E312">
        <v>300</v>
      </c>
      <c r="F312">
        <f t="shared" si="104"/>
        <v>25080</v>
      </c>
      <c r="G312">
        <v>25380</v>
      </c>
      <c r="H312">
        <v>300</v>
      </c>
      <c r="I312">
        <f t="shared" si="88"/>
        <v>1674</v>
      </c>
      <c r="J312">
        <f t="shared" si="89"/>
        <v>5263</v>
      </c>
      <c r="K312">
        <f t="shared" si="90"/>
        <v>2636</v>
      </c>
      <c r="L312">
        <f t="shared" si="91"/>
        <v>684</v>
      </c>
      <c r="M312">
        <f t="shared" si="92"/>
        <v>132</v>
      </c>
      <c r="N312">
        <f t="shared" si="93"/>
        <v>592</v>
      </c>
      <c r="O312">
        <f t="shared" si="94"/>
        <v>1776</v>
      </c>
      <c r="P312">
        <f t="shared" si="95"/>
        <v>4593</v>
      </c>
      <c r="Q312">
        <f t="shared" si="96"/>
        <v>5293</v>
      </c>
      <c r="R312">
        <f t="shared" si="97"/>
        <v>1983</v>
      </c>
      <c r="S312">
        <f t="shared" si="98"/>
        <v>238</v>
      </c>
      <c r="U312">
        <v>5324</v>
      </c>
      <c r="V312">
        <v>979</v>
      </c>
      <c r="W312">
        <v>1849</v>
      </c>
      <c r="X312">
        <v>257</v>
      </c>
      <c r="Y312">
        <v>898</v>
      </c>
      <c r="Z312">
        <v>2506</v>
      </c>
      <c r="AA312">
        <v>10749</v>
      </c>
      <c r="AB312">
        <v>2722</v>
      </c>
      <c r="AC312">
        <v>1672</v>
      </c>
      <c r="AD312">
        <v>250</v>
      </c>
      <c r="AE312">
        <f t="shared" si="105"/>
        <v>6105</v>
      </c>
      <c r="AF312">
        <v>2836</v>
      </c>
      <c r="AG312">
        <v>694</v>
      </c>
      <c r="AH312">
        <v>0</v>
      </c>
      <c r="AI312">
        <f t="shared" si="106"/>
        <v>694</v>
      </c>
      <c r="AJ312" t="s">
        <v>1220</v>
      </c>
      <c r="AK312">
        <v>11</v>
      </c>
      <c r="AL312">
        <v>445</v>
      </c>
      <c r="AM312">
        <v>506</v>
      </c>
      <c r="AN312">
        <v>347</v>
      </c>
      <c r="AO312">
        <v>335</v>
      </c>
      <c r="AP312">
        <v>395</v>
      </c>
      <c r="AQ312">
        <v>266</v>
      </c>
      <c r="AR312">
        <v>40</v>
      </c>
      <c r="AT312">
        <v>125</v>
      </c>
      <c r="AU312">
        <v>322</v>
      </c>
      <c r="AV312">
        <v>299</v>
      </c>
      <c r="AX312">
        <v>295</v>
      </c>
      <c r="AY312">
        <v>98</v>
      </c>
      <c r="AZ312">
        <v>2590</v>
      </c>
      <c r="BA312">
        <v>136</v>
      </c>
      <c r="BB312">
        <v>676</v>
      </c>
      <c r="BD312">
        <v>51</v>
      </c>
    </row>
    <row r="313" spans="1:56" x14ac:dyDescent="0.25">
      <c r="A313" t="s">
        <v>603</v>
      </c>
      <c r="B313" t="s">
        <v>379</v>
      </c>
      <c r="C313">
        <f t="shared" si="103"/>
        <v>53658</v>
      </c>
      <c r="D313">
        <v>53750</v>
      </c>
      <c r="E313">
        <v>92</v>
      </c>
      <c r="F313">
        <f t="shared" si="104"/>
        <v>52225</v>
      </c>
      <c r="G313">
        <v>52317</v>
      </c>
      <c r="H313">
        <v>92</v>
      </c>
      <c r="I313">
        <f t="shared" si="88"/>
        <v>3470</v>
      </c>
      <c r="J313">
        <f t="shared" si="89"/>
        <v>7389</v>
      </c>
      <c r="K313">
        <f t="shared" si="90"/>
        <v>12598</v>
      </c>
      <c r="L313">
        <f t="shared" si="91"/>
        <v>1365</v>
      </c>
      <c r="M313">
        <f t="shared" si="92"/>
        <v>242</v>
      </c>
      <c r="N313">
        <f t="shared" si="93"/>
        <v>809</v>
      </c>
      <c r="O313">
        <f t="shared" si="94"/>
        <v>2878</v>
      </c>
      <c r="P313">
        <f t="shared" si="95"/>
        <v>6124</v>
      </c>
      <c r="Q313">
        <f t="shared" si="96"/>
        <v>9851</v>
      </c>
      <c r="R313">
        <f t="shared" si="97"/>
        <v>4915</v>
      </c>
      <c r="S313">
        <f t="shared" si="98"/>
        <v>982</v>
      </c>
      <c r="U313">
        <v>13734</v>
      </c>
      <c r="V313">
        <v>1866</v>
      </c>
      <c r="W313">
        <v>3019</v>
      </c>
      <c r="X313">
        <v>350</v>
      </c>
      <c r="Y313">
        <v>1626</v>
      </c>
      <c r="Z313">
        <v>5169</v>
      </c>
      <c r="AA313">
        <v>19078</v>
      </c>
      <c r="AB313">
        <v>6221</v>
      </c>
      <c r="AC313">
        <v>222</v>
      </c>
      <c r="AD313">
        <v>1309</v>
      </c>
      <c r="AE313">
        <f t="shared" si="105"/>
        <v>11326</v>
      </c>
      <c r="AF313">
        <v>6409</v>
      </c>
      <c r="AG313">
        <v>2499</v>
      </c>
      <c r="AH313">
        <v>1017</v>
      </c>
      <c r="AI313">
        <f t="shared" si="106"/>
        <v>1482</v>
      </c>
      <c r="AJ313" t="s">
        <v>1136</v>
      </c>
      <c r="AK313">
        <v>30</v>
      </c>
      <c r="AL313">
        <v>470</v>
      </c>
      <c r="AM313">
        <v>927</v>
      </c>
      <c r="AN313">
        <v>567</v>
      </c>
      <c r="AO313">
        <v>561</v>
      </c>
      <c r="AP313">
        <v>1730</v>
      </c>
      <c r="AQ313">
        <v>615</v>
      </c>
      <c r="AR313">
        <v>202</v>
      </c>
      <c r="AT313">
        <v>108</v>
      </c>
      <c r="AU313">
        <v>273</v>
      </c>
      <c r="AV313">
        <v>636</v>
      </c>
      <c r="AW313">
        <v>16</v>
      </c>
      <c r="AX313">
        <v>485</v>
      </c>
      <c r="AY313">
        <v>66</v>
      </c>
      <c r="AZ313">
        <v>1070</v>
      </c>
      <c r="BA313">
        <v>134</v>
      </c>
      <c r="BB313">
        <v>1341</v>
      </c>
      <c r="BC313">
        <v>848</v>
      </c>
      <c r="BD313">
        <v>780</v>
      </c>
    </row>
    <row r="314" spans="1:56" x14ac:dyDescent="0.25">
      <c r="A314" t="s">
        <v>601</v>
      </c>
      <c r="B314" t="s">
        <v>253</v>
      </c>
      <c r="C314">
        <f t="shared" si="103"/>
        <v>60133</v>
      </c>
      <c r="D314">
        <v>61849</v>
      </c>
      <c r="E314">
        <v>1716</v>
      </c>
      <c r="F314">
        <f t="shared" si="104"/>
        <v>57286</v>
      </c>
      <c r="G314">
        <v>59002</v>
      </c>
      <c r="H314">
        <v>1716</v>
      </c>
      <c r="I314">
        <f t="shared" si="88"/>
        <v>2817</v>
      </c>
      <c r="J314">
        <f t="shared" si="89"/>
        <v>12911</v>
      </c>
      <c r="K314">
        <f t="shared" si="90"/>
        <v>6285</v>
      </c>
      <c r="L314">
        <f t="shared" si="91"/>
        <v>1260</v>
      </c>
      <c r="M314">
        <f t="shared" si="92"/>
        <v>293</v>
      </c>
      <c r="N314">
        <f t="shared" si="93"/>
        <v>1467</v>
      </c>
      <c r="O314">
        <f t="shared" si="94"/>
        <v>3655</v>
      </c>
      <c r="P314">
        <f t="shared" si="95"/>
        <v>7778</v>
      </c>
      <c r="Q314">
        <f t="shared" si="96"/>
        <v>13683</v>
      </c>
      <c r="R314">
        <f t="shared" si="97"/>
        <v>5150</v>
      </c>
      <c r="S314">
        <f t="shared" si="98"/>
        <v>271</v>
      </c>
      <c r="U314">
        <v>12455</v>
      </c>
      <c r="V314">
        <v>1467</v>
      </c>
      <c r="W314">
        <v>3291</v>
      </c>
      <c r="X314">
        <v>524</v>
      </c>
      <c r="Y314">
        <v>2517</v>
      </c>
      <c r="Z314">
        <v>4751</v>
      </c>
      <c r="AA314">
        <v>23951</v>
      </c>
      <c r="AB314">
        <v>5921</v>
      </c>
      <c r="AC314">
        <v>2124</v>
      </c>
      <c r="AD314">
        <v>605</v>
      </c>
      <c r="AE314">
        <f t="shared" si="105"/>
        <v>15301</v>
      </c>
      <c r="AF314">
        <v>6427</v>
      </c>
      <c r="AG314">
        <v>6466</v>
      </c>
      <c r="AH314">
        <v>4351</v>
      </c>
      <c r="AI314">
        <f t="shared" si="106"/>
        <v>2115</v>
      </c>
      <c r="AJ314" t="s">
        <v>1032</v>
      </c>
      <c r="AK314">
        <v>0</v>
      </c>
      <c r="AL314">
        <v>1844</v>
      </c>
      <c r="AM314">
        <v>649</v>
      </c>
      <c r="AN314">
        <v>628</v>
      </c>
      <c r="AO314">
        <v>139</v>
      </c>
      <c r="AP314">
        <v>957</v>
      </c>
      <c r="AQ314">
        <v>682</v>
      </c>
      <c r="AR314">
        <v>368</v>
      </c>
      <c r="AT314">
        <v>231</v>
      </c>
      <c r="AU314">
        <v>657</v>
      </c>
      <c r="AV314">
        <v>706</v>
      </c>
      <c r="AW314">
        <v>4</v>
      </c>
      <c r="AX314">
        <v>203</v>
      </c>
      <c r="AY314">
        <v>648</v>
      </c>
      <c r="AZ314">
        <v>5522</v>
      </c>
      <c r="BA314">
        <v>38</v>
      </c>
      <c r="BB314">
        <v>1580</v>
      </c>
      <c r="BD314">
        <v>872</v>
      </c>
    </row>
    <row r="315" spans="1:56" x14ac:dyDescent="0.25">
      <c r="A315" t="s">
        <v>599</v>
      </c>
      <c r="B315" t="s">
        <v>455</v>
      </c>
      <c r="C315">
        <f t="shared" si="103"/>
        <v>88904</v>
      </c>
      <c r="D315">
        <v>90779</v>
      </c>
      <c r="E315">
        <v>1875</v>
      </c>
      <c r="F315">
        <f t="shared" si="104"/>
        <v>69408</v>
      </c>
      <c r="G315">
        <v>71283</v>
      </c>
      <c r="H315">
        <v>1875</v>
      </c>
      <c r="I315">
        <f t="shared" si="88"/>
        <v>6146</v>
      </c>
      <c r="J315">
        <f t="shared" si="89"/>
        <v>14005</v>
      </c>
      <c r="K315">
        <f t="shared" si="90"/>
        <v>6335</v>
      </c>
      <c r="L315">
        <f t="shared" si="91"/>
        <v>1660</v>
      </c>
      <c r="M315">
        <f t="shared" si="92"/>
        <v>258</v>
      </c>
      <c r="N315">
        <f t="shared" si="93"/>
        <v>2244</v>
      </c>
      <c r="O315">
        <f t="shared" si="94"/>
        <v>3558</v>
      </c>
      <c r="P315">
        <f t="shared" si="95"/>
        <v>10269</v>
      </c>
      <c r="Q315">
        <f t="shared" si="96"/>
        <v>12223</v>
      </c>
      <c r="R315">
        <f t="shared" si="97"/>
        <v>4205</v>
      </c>
      <c r="S315">
        <f t="shared" si="98"/>
        <v>1564</v>
      </c>
      <c r="U315">
        <v>15431</v>
      </c>
      <c r="V315">
        <v>1975</v>
      </c>
      <c r="W315">
        <v>26885</v>
      </c>
      <c r="X315">
        <v>477</v>
      </c>
      <c r="Y315">
        <v>3211</v>
      </c>
      <c r="Z315">
        <v>5547</v>
      </c>
      <c r="AA315">
        <v>24967</v>
      </c>
      <c r="AB315">
        <v>6595</v>
      </c>
      <c r="AC315">
        <v>4076</v>
      </c>
      <c r="AD315">
        <v>868</v>
      </c>
      <c r="AE315">
        <f t="shared" si="105"/>
        <v>13428</v>
      </c>
      <c r="AF315">
        <v>6326</v>
      </c>
      <c r="AG315">
        <v>5960</v>
      </c>
      <c r="AH315">
        <v>2768</v>
      </c>
      <c r="AI315">
        <f t="shared" si="106"/>
        <v>3192</v>
      </c>
      <c r="AJ315" t="s">
        <v>1196</v>
      </c>
      <c r="AK315">
        <v>80</v>
      </c>
      <c r="AL315">
        <v>1548</v>
      </c>
      <c r="AM315">
        <v>1579</v>
      </c>
      <c r="AN315">
        <v>542</v>
      </c>
      <c r="AO315">
        <v>532</v>
      </c>
      <c r="AP315">
        <v>1457</v>
      </c>
      <c r="AQ315">
        <v>855</v>
      </c>
      <c r="AR315">
        <v>112</v>
      </c>
      <c r="AT315">
        <v>219</v>
      </c>
      <c r="AU315">
        <v>468</v>
      </c>
      <c r="AV315">
        <v>873</v>
      </c>
      <c r="AW315">
        <v>40</v>
      </c>
      <c r="AX315">
        <v>275</v>
      </c>
      <c r="AY315">
        <v>2484</v>
      </c>
      <c r="AZ315">
        <v>6612</v>
      </c>
      <c r="BA315">
        <v>108</v>
      </c>
      <c r="BB315">
        <v>1097</v>
      </c>
      <c r="BD315">
        <v>1270</v>
      </c>
    </row>
    <row r="316" spans="1:56" x14ac:dyDescent="0.25">
      <c r="A316" t="s">
        <v>602</v>
      </c>
      <c r="B316" t="s">
        <v>753</v>
      </c>
      <c r="C316">
        <f t="shared" si="103"/>
        <v>120905</v>
      </c>
      <c r="D316">
        <v>122895</v>
      </c>
      <c r="E316">
        <v>1990</v>
      </c>
      <c r="F316" s="312">
        <v>120905</v>
      </c>
      <c r="G316" t="s">
        <v>843</v>
      </c>
      <c r="H316">
        <v>0</v>
      </c>
      <c r="I316">
        <f t="shared" si="88"/>
        <v>3875</v>
      </c>
      <c r="J316">
        <f t="shared" si="89"/>
        <v>1832</v>
      </c>
      <c r="K316">
        <f t="shared" si="90"/>
        <v>21457</v>
      </c>
      <c r="L316">
        <f t="shared" si="91"/>
        <v>3309</v>
      </c>
      <c r="M316">
        <f t="shared" si="92"/>
        <v>2639</v>
      </c>
      <c r="N316">
        <f t="shared" si="93"/>
        <v>4284</v>
      </c>
      <c r="O316">
        <f t="shared" si="94"/>
        <v>7584</v>
      </c>
      <c r="P316">
        <f t="shared" si="95"/>
        <v>32346</v>
      </c>
      <c r="Q316">
        <f t="shared" si="96"/>
        <v>23391</v>
      </c>
      <c r="R316">
        <f t="shared" si="97"/>
        <v>11120</v>
      </c>
      <c r="S316">
        <f t="shared" si="98"/>
        <v>2841</v>
      </c>
      <c r="U316">
        <v>23798</v>
      </c>
      <c r="V316">
        <v>3309</v>
      </c>
      <c r="W316">
        <v>7923</v>
      </c>
      <c r="X316">
        <v>2640</v>
      </c>
      <c r="Y316">
        <v>5844</v>
      </c>
      <c r="Z316">
        <v>8055</v>
      </c>
      <c r="AA316">
        <v>55739</v>
      </c>
      <c r="AB316">
        <v>20983</v>
      </c>
      <c r="AC316">
        <v>9891</v>
      </c>
      <c r="AD316">
        <v>1472</v>
      </c>
      <c r="AE316">
        <f t="shared" si="105"/>
        <v>23393</v>
      </c>
      <c r="AF316">
        <v>11547</v>
      </c>
      <c r="AG316">
        <v>4040</v>
      </c>
      <c r="AH316">
        <v>1036</v>
      </c>
      <c r="AI316">
        <f t="shared" si="106"/>
        <v>3004</v>
      </c>
      <c r="AJ316" t="s">
        <v>1298</v>
      </c>
      <c r="AK316">
        <v>163</v>
      </c>
      <c r="AM316">
        <v>427</v>
      </c>
      <c r="AO316">
        <v>471</v>
      </c>
      <c r="AQ316">
        <v>1550</v>
      </c>
      <c r="AR316">
        <v>10</v>
      </c>
      <c r="AS316">
        <v>1</v>
      </c>
      <c r="AU316">
        <v>742</v>
      </c>
      <c r="AY316">
        <v>519</v>
      </c>
      <c r="AZ316">
        <v>1822</v>
      </c>
      <c r="BA316">
        <v>2</v>
      </c>
    </row>
    <row r="317" spans="1:56" x14ac:dyDescent="0.25">
      <c r="A317" t="s">
        <v>599</v>
      </c>
      <c r="B317" t="s">
        <v>456</v>
      </c>
      <c r="C317">
        <f t="shared" si="103"/>
        <v>30845</v>
      </c>
      <c r="D317">
        <v>31047</v>
      </c>
      <c r="E317">
        <v>202</v>
      </c>
      <c r="F317">
        <f t="shared" ref="F317:F325" si="107">SUM(G317,-H317)</f>
        <v>30249</v>
      </c>
      <c r="G317">
        <v>30451</v>
      </c>
      <c r="H317">
        <v>202</v>
      </c>
      <c r="I317">
        <f t="shared" si="88"/>
        <v>1263</v>
      </c>
      <c r="J317">
        <f t="shared" si="89"/>
        <v>7712</v>
      </c>
      <c r="K317">
        <f t="shared" si="90"/>
        <v>3049</v>
      </c>
      <c r="L317">
        <f t="shared" si="91"/>
        <v>773</v>
      </c>
      <c r="M317">
        <f t="shared" si="92"/>
        <v>110</v>
      </c>
      <c r="N317">
        <f t="shared" si="93"/>
        <v>689</v>
      </c>
      <c r="O317">
        <f t="shared" si="94"/>
        <v>1766</v>
      </c>
      <c r="P317">
        <f t="shared" si="95"/>
        <v>4734</v>
      </c>
      <c r="Q317">
        <f t="shared" si="96"/>
        <v>5470</v>
      </c>
      <c r="R317">
        <f t="shared" si="97"/>
        <v>3248</v>
      </c>
      <c r="S317">
        <f t="shared" si="98"/>
        <v>307</v>
      </c>
      <c r="U317">
        <v>7739</v>
      </c>
      <c r="V317">
        <v>968</v>
      </c>
      <c r="W317">
        <v>1408</v>
      </c>
      <c r="X317">
        <v>164</v>
      </c>
      <c r="Y317">
        <v>1059</v>
      </c>
      <c r="Z317">
        <v>2314</v>
      </c>
      <c r="AA317">
        <v>11320</v>
      </c>
      <c r="AB317">
        <v>3828</v>
      </c>
      <c r="AC317">
        <v>1173</v>
      </c>
      <c r="AD317">
        <v>0</v>
      </c>
      <c r="AE317">
        <f t="shared" si="105"/>
        <v>6319</v>
      </c>
      <c r="AF317">
        <v>3935</v>
      </c>
      <c r="AG317">
        <v>2140</v>
      </c>
      <c r="AH317">
        <v>710</v>
      </c>
      <c r="AI317">
        <f t="shared" si="106"/>
        <v>1430</v>
      </c>
      <c r="AJ317" t="s">
        <v>1197</v>
      </c>
      <c r="AK317">
        <v>11</v>
      </c>
      <c r="AL317">
        <v>1112</v>
      </c>
      <c r="AM317">
        <v>350</v>
      </c>
      <c r="AN317">
        <v>337</v>
      </c>
      <c r="AO317">
        <v>259</v>
      </c>
      <c r="AP317">
        <v>289</v>
      </c>
      <c r="AQ317">
        <v>335</v>
      </c>
      <c r="AR317">
        <v>35</v>
      </c>
      <c r="AT317">
        <v>54</v>
      </c>
      <c r="AU317">
        <v>31</v>
      </c>
      <c r="AV317">
        <v>161</v>
      </c>
      <c r="AW317">
        <v>24</v>
      </c>
      <c r="AX317">
        <v>171</v>
      </c>
      <c r="AY317">
        <v>250</v>
      </c>
      <c r="AZ317">
        <v>4440</v>
      </c>
      <c r="BA317">
        <v>3</v>
      </c>
      <c r="BB317">
        <v>846</v>
      </c>
      <c r="BD317">
        <v>267</v>
      </c>
    </row>
    <row r="318" spans="1:56" x14ac:dyDescent="0.25">
      <c r="A318" t="s">
        <v>599</v>
      </c>
      <c r="B318" t="s">
        <v>457</v>
      </c>
      <c r="C318">
        <f t="shared" si="103"/>
        <v>137325</v>
      </c>
      <c r="D318">
        <v>145120</v>
      </c>
      <c r="E318">
        <v>7795</v>
      </c>
      <c r="F318">
        <f t="shared" si="107"/>
        <v>115292</v>
      </c>
      <c r="G318">
        <v>123087</v>
      </c>
      <c r="H318">
        <v>7795</v>
      </c>
      <c r="I318">
        <f t="shared" si="88"/>
        <v>8166</v>
      </c>
      <c r="J318">
        <f t="shared" si="89"/>
        <v>23719</v>
      </c>
      <c r="K318">
        <f t="shared" si="90"/>
        <v>15017</v>
      </c>
      <c r="L318">
        <f t="shared" si="91"/>
        <v>3448</v>
      </c>
      <c r="M318">
        <f t="shared" si="92"/>
        <v>8500</v>
      </c>
      <c r="N318">
        <f t="shared" si="93"/>
        <v>5148</v>
      </c>
      <c r="O318">
        <f t="shared" si="94"/>
        <v>12070</v>
      </c>
      <c r="P318">
        <f t="shared" si="95"/>
        <v>24668</v>
      </c>
      <c r="Q318">
        <f t="shared" si="96"/>
        <v>24360</v>
      </c>
      <c r="R318">
        <f t="shared" si="97"/>
        <v>5424</v>
      </c>
      <c r="S318">
        <f t="shared" si="98"/>
        <v>1709</v>
      </c>
      <c r="U318">
        <v>27831</v>
      </c>
      <c r="V318">
        <v>4808</v>
      </c>
      <c r="W318">
        <v>7095</v>
      </c>
      <c r="X318">
        <v>9091</v>
      </c>
      <c r="Y318">
        <v>6715</v>
      </c>
      <c r="Z318">
        <v>16624</v>
      </c>
      <c r="AA318">
        <v>51208</v>
      </c>
      <c r="AB318">
        <v>15583</v>
      </c>
      <c r="AC318">
        <v>9416</v>
      </c>
      <c r="AD318">
        <v>0</v>
      </c>
      <c r="AE318">
        <f t="shared" si="105"/>
        <v>26209</v>
      </c>
      <c r="AF318">
        <v>8663</v>
      </c>
      <c r="AG318">
        <v>13085</v>
      </c>
      <c r="AH318">
        <v>9011</v>
      </c>
      <c r="AI318">
        <f t="shared" si="106"/>
        <v>4074</v>
      </c>
      <c r="AJ318" t="s">
        <v>1198</v>
      </c>
      <c r="AK318">
        <v>176</v>
      </c>
      <c r="AL318">
        <v>2189</v>
      </c>
      <c r="AM318">
        <v>943</v>
      </c>
      <c r="AN318">
        <v>2296</v>
      </c>
      <c r="AO318">
        <v>1444</v>
      </c>
      <c r="AP318">
        <v>3110</v>
      </c>
      <c r="AQ318">
        <v>1255</v>
      </c>
      <c r="AR318">
        <v>312</v>
      </c>
      <c r="AS318">
        <v>3</v>
      </c>
      <c r="AT318">
        <v>588</v>
      </c>
      <c r="AU318">
        <v>2233</v>
      </c>
      <c r="AV318">
        <v>982</v>
      </c>
      <c r="AW318">
        <v>70</v>
      </c>
      <c r="AX318">
        <v>1290</v>
      </c>
      <c r="AY318">
        <v>1945</v>
      </c>
      <c r="AZ318">
        <v>10869</v>
      </c>
      <c r="BA318">
        <v>97</v>
      </c>
      <c r="BB318">
        <v>1752</v>
      </c>
      <c r="BD318">
        <v>331</v>
      </c>
    </row>
    <row r="319" spans="1:56" x14ac:dyDescent="0.25">
      <c r="A319" t="s">
        <v>603</v>
      </c>
      <c r="B319" t="s">
        <v>380</v>
      </c>
      <c r="C319">
        <f t="shared" si="103"/>
        <v>74950</v>
      </c>
      <c r="D319">
        <v>80968</v>
      </c>
      <c r="E319">
        <v>6018</v>
      </c>
      <c r="F319">
        <f t="shared" si="107"/>
        <v>85420</v>
      </c>
      <c r="G319">
        <v>91438</v>
      </c>
      <c r="H319">
        <v>6018</v>
      </c>
      <c r="I319">
        <f t="shared" si="88"/>
        <v>3363</v>
      </c>
      <c r="J319">
        <f t="shared" si="89"/>
        <v>7272</v>
      </c>
      <c r="K319">
        <f t="shared" si="90"/>
        <v>14445</v>
      </c>
      <c r="L319">
        <f t="shared" si="91"/>
        <v>2138</v>
      </c>
      <c r="M319">
        <f t="shared" si="92"/>
        <v>850</v>
      </c>
      <c r="N319">
        <f t="shared" si="93"/>
        <v>1644</v>
      </c>
      <c r="O319">
        <f t="shared" si="94"/>
        <v>6678</v>
      </c>
      <c r="P319">
        <f t="shared" si="95"/>
        <v>8508</v>
      </c>
      <c r="Q319">
        <f t="shared" si="96"/>
        <v>12654</v>
      </c>
      <c r="R319">
        <f t="shared" si="97"/>
        <v>6117</v>
      </c>
      <c r="S319">
        <f t="shared" si="98"/>
        <v>3367</v>
      </c>
      <c r="U319">
        <v>21950</v>
      </c>
      <c r="V319">
        <v>2144</v>
      </c>
      <c r="W319">
        <v>3634</v>
      </c>
      <c r="X319">
        <v>850</v>
      </c>
      <c r="Y319">
        <v>3113</v>
      </c>
      <c r="Z319">
        <v>7116</v>
      </c>
      <c r="AA319">
        <v>21163</v>
      </c>
      <c r="AB319">
        <v>5734</v>
      </c>
      <c r="AC319">
        <v>2159</v>
      </c>
      <c r="AD319">
        <v>615</v>
      </c>
      <c r="AE319">
        <f t="shared" si="105"/>
        <v>12655</v>
      </c>
      <c r="AF319">
        <v>6752</v>
      </c>
      <c r="AG319">
        <v>14246</v>
      </c>
      <c r="AH319">
        <v>10879</v>
      </c>
      <c r="AI319">
        <f t="shared" si="106"/>
        <v>3367</v>
      </c>
      <c r="AJ319" t="s">
        <v>1137</v>
      </c>
      <c r="AM319">
        <v>635</v>
      </c>
      <c r="AO319">
        <v>438</v>
      </c>
      <c r="AQ319">
        <v>1248</v>
      </c>
      <c r="AR319">
        <v>221</v>
      </c>
      <c r="AU319">
        <v>581</v>
      </c>
      <c r="AW319">
        <v>1</v>
      </c>
      <c r="AX319">
        <v>5</v>
      </c>
      <c r="AY319">
        <v>459</v>
      </c>
      <c r="AZ319">
        <v>7046</v>
      </c>
      <c r="BA319">
        <v>1</v>
      </c>
    </row>
    <row r="320" spans="1:56" x14ac:dyDescent="0.25">
      <c r="A320" t="s">
        <v>601</v>
      </c>
      <c r="B320" t="s">
        <v>254</v>
      </c>
      <c r="C320">
        <f t="shared" si="103"/>
        <v>97059</v>
      </c>
      <c r="D320">
        <v>98689</v>
      </c>
      <c r="E320">
        <v>1630</v>
      </c>
      <c r="F320">
        <f t="shared" si="107"/>
        <v>95676</v>
      </c>
      <c r="G320">
        <v>97306</v>
      </c>
      <c r="H320">
        <v>1630</v>
      </c>
      <c r="I320">
        <f t="shared" si="88"/>
        <v>5457</v>
      </c>
      <c r="J320">
        <f t="shared" si="89"/>
        <v>24804</v>
      </c>
      <c r="K320">
        <f t="shared" si="90"/>
        <v>6901</v>
      </c>
      <c r="L320">
        <f t="shared" si="91"/>
        <v>1767</v>
      </c>
      <c r="M320">
        <f t="shared" si="92"/>
        <v>329</v>
      </c>
      <c r="N320">
        <f t="shared" si="93"/>
        <v>2625</v>
      </c>
      <c r="O320">
        <f t="shared" si="94"/>
        <v>7006</v>
      </c>
      <c r="P320">
        <f t="shared" si="95"/>
        <v>14548</v>
      </c>
      <c r="Q320">
        <f t="shared" si="96"/>
        <v>20818</v>
      </c>
      <c r="R320">
        <f t="shared" si="97"/>
        <v>7079</v>
      </c>
      <c r="S320">
        <f t="shared" si="98"/>
        <v>1601</v>
      </c>
      <c r="U320">
        <v>17931</v>
      </c>
      <c r="V320">
        <v>2244</v>
      </c>
      <c r="W320">
        <v>5526</v>
      </c>
      <c r="X320">
        <v>475</v>
      </c>
      <c r="Y320">
        <v>3793</v>
      </c>
      <c r="Z320">
        <v>10568</v>
      </c>
      <c r="AA320">
        <v>43617</v>
      </c>
      <c r="AB320">
        <v>13814</v>
      </c>
      <c r="AC320">
        <v>4294</v>
      </c>
      <c r="AD320">
        <v>2256</v>
      </c>
      <c r="AE320">
        <f t="shared" si="105"/>
        <v>23253</v>
      </c>
      <c r="AF320">
        <v>8899</v>
      </c>
      <c r="AG320">
        <v>5636</v>
      </c>
      <c r="AH320">
        <v>2479</v>
      </c>
      <c r="AI320">
        <f t="shared" si="106"/>
        <v>3157</v>
      </c>
      <c r="AJ320" t="s">
        <v>1033</v>
      </c>
      <c r="AK320">
        <v>48</v>
      </c>
      <c r="AL320">
        <v>1508</v>
      </c>
      <c r="AM320">
        <v>712</v>
      </c>
      <c r="AN320">
        <v>1108</v>
      </c>
      <c r="AO320">
        <v>1332</v>
      </c>
      <c r="AP320">
        <v>2230</v>
      </c>
      <c r="AQ320">
        <v>983</v>
      </c>
      <c r="AR320">
        <v>185</v>
      </c>
      <c r="AT320">
        <v>146</v>
      </c>
      <c r="AU320">
        <v>1097</v>
      </c>
      <c r="AV320">
        <v>1154</v>
      </c>
      <c r="AX320">
        <v>477</v>
      </c>
      <c r="AY320">
        <v>1285</v>
      </c>
      <c r="AZ320">
        <v>9745</v>
      </c>
      <c r="BB320">
        <v>2435</v>
      </c>
      <c r="BD320">
        <v>5816</v>
      </c>
    </row>
    <row r="321" spans="1:56" x14ac:dyDescent="0.25">
      <c r="A321" t="s">
        <v>603</v>
      </c>
      <c r="B321" t="s">
        <v>381</v>
      </c>
      <c r="C321">
        <f t="shared" si="103"/>
        <v>59995</v>
      </c>
      <c r="D321">
        <v>65980</v>
      </c>
      <c r="E321">
        <v>5985</v>
      </c>
      <c r="F321">
        <f t="shared" si="107"/>
        <v>53325</v>
      </c>
      <c r="G321">
        <v>59310</v>
      </c>
      <c r="H321">
        <v>5985</v>
      </c>
      <c r="I321">
        <f t="shared" si="88"/>
        <v>2377</v>
      </c>
      <c r="J321">
        <f t="shared" si="89"/>
        <v>1183</v>
      </c>
      <c r="K321">
        <f t="shared" si="90"/>
        <v>18303</v>
      </c>
      <c r="L321">
        <f t="shared" si="91"/>
        <v>2779</v>
      </c>
      <c r="M321">
        <f t="shared" si="92"/>
        <v>382</v>
      </c>
      <c r="N321">
        <f t="shared" si="93"/>
        <v>1923</v>
      </c>
      <c r="O321">
        <f t="shared" si="94"/>
        <v>5787</v>
      </c>
      <c r="P321">
        <f t="shared" si="95"/>
        <v>10607</v>
      </c>
      <c r="Q321">
        <f t="shared" si="96"/>
        <v>9709</v>
      </c>
      <c r="R321">
        <f t="shared" si="97"/>
        <v>7216</v>
      </c>
      <c r="S321">
        <f t="shared" si="98"/>
        <v>1903</v>
      </c>
      <c r="U321">
        <v>19589</v>
      </c>
      <c r="V321">
        <v>2779</v>
      </c>
      <c r="W321">
        <v>4178</v>
      </c>
      <c r="X321">
        <v>382</v>
      </c>
      <c r="Y321">
        <v>2787</v>
      </c>
      <c r="Z321">
        <v>6444</v>
      </c>
      <c r="AA321">
        <v>20342</v>
      </c>
      <c r="AB321">
        <v>8087</v>
      </c>
      <c r="AC321">
        <v>1087</v>
      </c>
      <c r="AD321">
        <v>1433</v>
      </c>
      <c r="AE321">
        <f t="shared" si="105"/>
        <v>9735</v>
      </c>
      <c r="AF321">
        <v>7532</v>
      </c>
      <c r="AG321">
        <v>1947</v>
      </c>
      <c r="AH321">
        <v>26</v>
      </c>
      <c r="AI321">
        <f t="shared" si="106"/>
        <v>1921</v>
      </c>
      <c r="AJ321" t="s">
        <v>1138</v>
      </c>
      <c r="AK321">
        <v>18</v>
      </c>
      <c r="AM321">
        <v>316</v>
      </c>
      <c r="AO321">
        <v>657</v>
      </c>
      <c r="AQ321">
        <v>864</v>
      </c>
      <c r="AU321">
        <v>393</v>
      </c>
      <c r="AY321">
        <v>103</v>
      </c>
      <c r="AZ321">
        <v>1183</v>
      </c>
      <c r="BA321">
        <v>26</v>
      </c>
    </row>
    <row r="322" spans="1:56" x14ac:dyDescent="0.25">
      <c r="A322" t="s">
        <v>600</v>
      </c>
      <c r="B322" t="s">
        <v>326</v>
      </c>
      <c r="C322">
        <f t="shared" si="103"/>
        <v>35648</v>
      </c>
      <c r="D322">
        <v>36240</v>
      </c>
      <c r="E322">
        <v>592</v>
      </c>
      <c r="F322">
        <f t="shared" si="107"/>
        <v>33091</v>
      </c>
      <c r="G322">
        <v>33091</v>
      </c>
      <c r="H322">
        <v>0</v>
      </c>
      <c r="I322">
        <f t="shared" si="88"/>
        <v>1937</v>
      </c>
      <c r="J322">
        <f t="shared" si="89"/>
        <v>10405</v>
      </c>
      <c r="K322">
        <f t="shared" si="90"/>
        <v>3961</v>
      </c>
      <c r="L322">
        <f t="shared" si="91"/>
        <v>1753</v>
      </c>
      <c r="M322">
        <f t="shared" si="92"/>
        <v>194</v>
      </c>
      <c r="N322">
        <f t="shared" si="93"/>
        <v>1208</v>
      </c>
      <c r="O322">
        <f t="shared" si="94"/>
        <v>1907</v>
      </c>
      <c r="P322">
        <f t="shared" si="95"/>
        <v>4597</v>
      </c>
      <c r="Q322">
        <f t="shared" si="96"/>
        <v>4569</v>
      </c>
      <c r="R322">
        <f t="shared" si="97"/>
        <v>2560</v>
      </c>
      <c r="S322">
        <f t="shared" si="98"/>
        <v>385</v>
      </c>
      <c r="U322">
        <v>9322</v>
      </c>
      <c r="V322">
        <v>2010</v>
      </c>
      <c r="W322">
        <v>3716</v>
      </c>
      <c r="X322">
        <v>289</v>
      </c>
      <c r="Y322">
        <v>1678</v>
      </c>
      <c r="Z322">
        <v>2534</v>
      </c>
      <c r="AA322">
        <v>11506</v>
      </c>
      <c r="AB322">
        <v>3054</v>
      </c>
      <c r="AC322">
        <v>2782</v>
      </c>
      <c r="AD322">
        <v>0</v>
      </c>
      <c r="AE322">
        <f t="shared" si="105"/>
        <v>5670</v>
      </c>
      <c r="AF322">
        <v>3428</v>
      </c>
      <c r="AG322">
        <v>1757</v>
      </c>
      <c r="AH322">
        <v>0</v>
      </c>
      <c r="AI322">
        <f t="shared" si="106"/>
        <v>1757</v>
      </c>
      <c r="AJ322" t="s">
        <v>1191</v>
      </c>
      <c r="AK322">
        <v>251</v>
      </c>
      <c r="AL322">
        <v>1121</v>
      </c>
      <c r="AM322">
        <v>296</v>
      </c>
      <c r="AN322">
        <v>572</v>
      </c>
      <c r="AO322">
        <v>419</v>
      </c>
      <c r="AP322">
        <v>208</v>
      </c>
      <c r="AQ322">
        <v>380</v>
      </c>
      <c r="AR322">
        <v>90</v>
      </c>
      <c r="AS322">
        <v>6</v>
      </c>
      <c r="AT322">
        <v>89</v>
      </c>
      <c r="AU322">
        <v>99</v>
      </c>
      <c r="AV322">
        <v>853</v>
      </c>
      <c r="AW322">
        <v>28</v>
      </c>
      <c r="AX322">
        <v>229</v>
      </c>
      <c r="AY322">
        <v>325</v>
      </c>
      <c r="AZ322">
        <v>5036</v>
      </c>
      <c r="BA322">
        <v>133</v>
      </c>
      <c r="BB322">
        <v>968</v>
      </c>
      <c r="BD322">
        <v>1239</v>
      </c>
    </row>
    <row r="323" spans="1:56" x14ac:dyDescent="0.25">
      <c r="A323" t="s">
        <v>608</v>
      </c>
      <c r="B323" t="s">
        <v>493</v>
      </c>
      <c r="C323">
        <f t="shared" si="103"/>
        <v>149097</v>
      </c>
      <c r="D323">
        <v>153220</v>
      </c>
      <c r="E323">
        <v>4123</v>
      </c>
      <c r="F323">
        <f t="shared" si="107"/>
        <v>149086</v>
      </c>
      <c r="G323">
        <v>153209</v>
      </c>
      <c r="H323">
        <v>4123</v>
      </c>
      <c r="I323">
        <f t="shared" ref="I323:I356" si="108">SUM(AK323,AM323,AO323,AQ323,AS323,AU323,AW323,AY323,BA323,BC323)</f>
        <v>9146</v>
      </c>
      <c r="J323">
        <f t="shared" ref="J323:J356" si="109">SUM(AL323,AN323,AP323,AR323,AT323,AV323,AX323,AZ323,BB323,BD323)</f>
        <v>29121</v>
      </c>
      <c r="K323">
        <f t="shared" ref="K323:K356" si="110">SUM(U323,-AY323,-AZ323)</f>
        <v>17077</v>
      </c>
      <c r="L323">
        <f t="shared" ref="L323:L356" si="111">SUM(V323,-AW323,-AX323)</f>
        <v>3727</v>
      </c>
      <c r="M323">
        <f t="shared" ref="M323:M356" si="112">SUM(X323,-AS323,-AT323)</f>
        <v>4275</v>
      </c>
      <c r="N323">
        <f t="shared" ref="N323:N356" si="113">SUM(Y323,-AQ323,-AR323)</f>
        <v>3126</v>
      </c>
      <c r="O323">
        <f t="shared" ref="O323:O356" si="114">SUM(Z323,-AO323,-AP323)</f>
        <v>10778</v>
      </c>
      <c r="P323">
        <f t="shared" ref="P323:P356" si="115">SUM(AB323,AC323,AD323,-BC323,-BD323)</f>
        <v>27561</v>
      </c>
      <c r="Q323">
        <f t="shared" ref="Q323:Q356" si="116">SUM(AE323,-BA323,-BB323)</f>
        <v>25387</v>
      </c>
      <c r="R323">
        <f t="shared" ref="R323:R356" si="117">SUM(AF323,-AM323,-AN323)</f>
        <v>10695</v>
      </c>
      <c r="S323">
        <f t="shared" ref="S323:S356" si="118">SUM(AI323,-AK323,-AL323)</f>
        <v>276</v>
      </c>
      <c r="U323">
        <v>33776</v>
      </c>
      <c r="V323">
        <v>4493</v>
      </c>
      <c r="W323">
        <v>9454</v>
      </c>
      <c r="X323">
        <v>5360</v>
      </c>
      <c r="Y323">
        <v>4909</v>
      </c>
      <c r="Z323">
        <v>15039</v>
      </c>
      <c r="AA323">
        <v>58606</v>
      </c>
      <c r="AB323">
        <v>19906</v>
      </c>
      <c r="AC323">
        <v>8430</v>
      </c>
      <c r="AD323">
        <v>2640</v>
      </c>
      <c r="AE323">
        <f t="shared" si="105"/>
        <v>27630</v>
      </c>
      <c r="AF323">
        <v>13468</v>
      </c>
      <c r="AG323">
        <v>8115</v>
      </c>
      <c r="AH323">
        <v>5711</v>
      </c>
      <c r="AI323">
        <f t="shared" si="106"/>
        <v>2404</v>
      </c>
      <c r="AJ323" t="s">
        <v>1221</v>
      </c>
      <c r="AK323">
        <v>20</v>
      </c>
      <c r="AL323">
        <v>2108</v>
      </c>
      <c r="AM323">
        <v>970</v>
      </c>
      <c r="AN323">
        <v>1803</v>
      </c>
      <c r="AO323">
        <v>2447</v>
      </c>
      <c r="AP323">
        <v>1814</v>
      </c>
      <c r="AQ323">
        <v>1228</v>
      </c>
      <c r="AR323">
        <v>555</v>
      </c>
      <c r="AS323">
        <v>83</v>
      </c>
      <c r="AT323">
        <v>1002</v>
      </c>
      <c r="AU323">
        <v>1604</v>
      </c>
      <c r="AV323">
        <v>1510</v>
      </c>
      <c r="AW323">
        <v>5</v>
      </c>
      <c r="AX323">
        <v>761</v>
      </c>
      <c r="AY323">
        <v>2612</v>
      </c>
      <c r="AZ323">
        <v>14087</v>
      </c>
      <c r="BA323">
        <v>177</v>
      </c>
      <c r="BB323">
        <v>2066</v>
      </c>
      <c r="BD323">
        <v>3415</v>
      </c>
    </row>
    <row r="324" spans="1:56" x14ac:dyDescent="0.25">
      <c r="A324" t="s">
        <v>600</v>
      </c>
      <c r="B324" t="s">
        <v>327</v>
      </c>
      <c r="C324">
        <f t="shared" si="103"/>
        <v>50276</v>
      </c>
      <c r="D324">
        <v>51082</v>
      </c>
      <c r="E324">
        <v>806</v>
      </c>
      <c r="F324">
        <f t="shared" si="107"/>
        <v>46991</v>
      </c>
      <c r="G324">
        <v>47797</v>
      </c>
      <c r="H324">
        <v>806</v>
      </c>
      <c r="I324">
        <f t="shared" si="108"/>
        <v>3994</v>
      </c>
      <c r="J324">
        <f t="shared" si="109"/>
        <v>10982</v>
      </c>
      <c r="K324">
        <f t="shared" si="110"/>
        <v>6215</v>
      </c>
      <c r="L324">
        <f t="shared" si="111"/>
        <v>1834</v>
      </c>
      <c r="M324">
        <f t="shared" si="112"/>
        <v>121</v>
      </c>
      <c r="N324">
        <f t="shared" si="113"/>
        <v>1374</v>
      </c>
      <c r="O324">
        <f t="shared" si="114"/>
        <v>3311</v>
      </c>
      <c r="P324">
        <f t="shared" si="115"/>
        <v>8784</v>
      </c>
      <c r="Q324">
        <f t="shared" si="116"/>
        <v>7937</v>
      </c>
      <c r="R324">
        <f t="shared" si="117"/>
        <v>4420</v>
      </c>
      <c r="S324">
        <f t="shared" si="118"/>
        <v>527</v>
      </c>
      <c r="U324">
        <v>13663</v>
      </c>
      <c r="V324">
        <v>2225</v>
      </c>
      <c r="W324">
        <v>2189</v>
      </c>
      <c r="X324">
        <v>181</v>
      </c>
      <c r="Y324">
        <v>2235</v>
      </c>
      <c r="Z324">
        <v>4877</v>
      </c>
      <c r="AA324">
        <v>18280</v>
      </c>
      <c r="AB324">
        <v>7382</v>
      </c>
      <c r="AC324">
        <v>712</v>
      </c>
      <c r="AD324">
        <v>843</v>
      </c>
      <c r="AE324">
        <f t="shared" si="105"/>
        <v>9343</v>
      </c>
      <c r="AF324">
        <v>5278</v>
      </c>
      <c r="AG324">
        <v>2154</v>
      </c>
      <c r="AH324">
        <v>0</v>
      </c>
      <c r="AI324">
        <f t="shared" si="106"/>
        <v>2154</v>
      </c>
      <c r="AJ324" t="s">
        <v>1098</v>
      </c>
      <c r="AL324">
        <v>1627</v>
      </c>
      <c r="AM324">
        <v>538</v>
      </c>
      <c r="AN324">
        <v>320</v>
      </c>
      <c r="AO324">
        <v>503</v>
      </c>
      <c r="AP324">
        <v>1063</v>
      </c>
      <c r="AQ324">
        <v>706</v>
      </c>
      <c r="AR324">
        <v>155</v>
      </c>
      <c r="AT324">
        <v>60</v>
      </c>
      <c r="AU324">
        <v>46</v>
      </c>
      <c r="AV324">
        <v>560</v>
      </c>
      <c r="AW324">
        <v>8</v>
      </c>
      <c r="AX324">
        <v>383</v>
      </c>
      <c r="AY324">
        <v>2191</v>
      </c>
      <c r="AZ324">
        <v>5257</v>
      </c>
      <c r="BA324">
        <v>2</v>
      </c>
      <c r="BB324">
        <v>1404</v>
      </c>
      <c r="BD324">
        <v>153</v>
      </c>
    </row>
    <row r="325" spans="1:56" x14ac:dyDescent="0.25">
      <c r="A325" t="s">
        <v>599</v>
      </c>
      <c r="B325" t="s">
        <v>255</v>
      </c>
      <c r="C325">
        <f t="shared" si="103"/>
        <v>42495</v>
      </c>
      <c r="D325">
        <v>42928</v>
      </c>
      <c r="E325">
        <v>433</v>
      </c>
      <c r="F325">
        <f t="shared" si="107"/>
        <v>41666</v>
      </c>
      <c r="G325">
        <v>42099</v>
      </c>
      <c r="H325">
        <v>433</v>
      </c>
      <c r="I325">
        <f t="shared" si="108"/>
        <v>3405</v>
      </c>
      <c r="J325">
        <f t="shared" si="109"/>
        <v>18989</v>
      </c>
      <c r="K325">
        <f t="shared" si="110"/>
        <v>-9918</v>
      </c>
      <c r="L325">
        <f t="shared" si="111"/>
        <v>-542</v>
      </c>
      <c r="M325">
        <f t="shared" si="112"/>
        <v>-267</v>
      </c>
      <c r="N325">
        <f t="shared" si="113"/>
        <v>-1554</v>
      </c>
      <c r="O325">
        <f t="shared" si="114"/>
        <v>-2164</v>
      </c>
      <c r="P325">
        <f t="shared" si="115"/>
        <v>-283</v>
      </c>
      <c r="Q325">
        <f t="shared" si="116"/>
        <v>-2978</v>
      </c>
      <c r="R325">
        <f t="shared" si="117"/>
        <v>-1467</v>
      </c>
      <c r="S325">
        <f t="shared" si="118"/>
        <v>-1857</v>
      </c>
      <c r="AJ325" t="s">
        <v>1304</v>
      </c>
      <c r="AK325">
        <v>36</v>
      </c>
      <c r="AL325">
        <v>1821</v>
      </c>
      <c r="AM325">
        <v>26</v>
      </c>
      <c r="AN325">
        <v>1441</v>
      </c>
      <c r="AO325">
        <v>576</v>
      </c>
      <c r="AP325">
        <v>1588</v>
      </c>
      <c r="AQ325">
        <v>1291</v>
      </c>
      <c r="AR325">
        <v>263</v>
      </c>
      <c r="AS325">
        <v>29</v>
      </c>
      <c r="AT325">
        <v>238</v>
      </c>
      <c r="AU325">
        <v>365</v>
      </c>
      <c r="AV325">
        <v>999</v>
      </c>
      <c r="AX325">
        <v>542</v>
      </c>
      <c r="AY325">
        <v>572</v>
      </c>
      <c r="AZ325">
        <v>9346</v>
      </c>
      <c r="BA325">
        <v>510</v>
      </c>
      <c r="BB325">
        <v>2468</v>
      </c>
      <c r="BD325">
        <v>283</v>
      </c>
    </row>
    <row r="326" spans="1:56" x14ac:dyDescent="0.25">
      <c r="A326" t="s">
        <v>601</v>
      </c>
      <c r="B326" t="s">
        <v>754</v>
      </c>
      <c r="C326" s="312">
        <v>116163</v>
      </c>
      <c r="D326">
        <v>0</v>
      </c>
      <c r="E326">
        <v>0</v>
      </c>
      <c r="F326">
        <v>116163</v>
      </c>
      <c r="G326">
        <v>116163</v>
      </c>
      <c r="H326">
        <v>0</v>
      </c>
      <c r="I326">
        <f t="shared" si="108"/>
        <v>3784</v>
      </c>
      <c r="J326">
        <f t="shared" si="109"/>
        <v>7118</v>
      </c>
      <c r="K326">
        <f t="shared" si="110"/>
        <v>2902</v>
      </c>
      <c r="L326">
        <f t="shared" si="111"/>
        <v>1497</v>
      </c>
      <c r="M326">
        <f t="shared" si="112"/>
        <v>1756</v>
      </c>
      <c r="N326">
        <f t="shared" si="113"/>
        <v>1197</v>
      </c>
      <c r="O326">
        <f t="shared" si="114"/>
        <v>1708</v>
      </c>
      <c r="P326">
        <f t="shared" si="115"/>
        <v>6220</v>
      </c>
      <c r="Q326">
        <f t="shared" si="116"/>
        <v>8798</v>
      </c>
      <c r="R326">
        <f t="shared" si="117"/>
        <v>2518</v>
      </c>
      <c r="S326">
        <f t="shared" si="118"/>
        <v>1781</v>
      </c>
      <c r="U326">
        <v>8016</v>
      </c>
      <c r="V326">
        <v>1576</v>
      </c>
      <c r="W326">
        <v>2664</v>
      </c>
      <c r="X326">
        <v>1838</v>
      </c>
      <c r="Y326">
        <v>3052</v>
      </c>
      <c r="Z326">
        <v>2140</v>
      </c>
      <c r="AA326">
        <v>15857</v>
      </c>
      <c r="AB326">
        <v>4373</v>
      </c>
      <c r="AC326">
        <v>1416</v>
      </c>
      <c r="AD326">
        <v>548</v>
      </c>
      <c r="AE326">
        <f>SUM(AA326,-AB326,-AC326,-AD326)</f>
        <v>9520</v>
      </c>
      <c r="AF326">
        <v>3913</v>
      </c>
      <c r="AG326">
        <v>3872</v>
      </c>
      <c r="AH326">
        <v>1509</v>
      </c>
      <c r="AI326">
        <f>SUM(AG326,-AH326)</f>
        <v>2363</v>
      </c>
      <c r="AJ326" t="s">
        <v>1145</v>
      </c>
      <c r="AK326">
        <v>7</v>
      </c>
      <c r="AL326">
        <v>575</v>
      </c>
      <c r="AM326">
        <v>833</v>
      </c>
      <c r="AN326">
        <v>562</v>
      </c>
      <c r="AO326">
        <v>40</v>
      </c>
      <c r="AP326">
        <v>392</v>
      </c>
      <c r="AQ326">
        <v>1717</v>
      </c>
      <c r="AR326">
        <v>138</v>
      </c>
      <c r="AS326">
        <v>7</v>
      </c>
      <c r="AT326">
        <v>75</v>
      </c>
      <c r="AU326">
        <v>114</v>
      </c>
      <c r="AV326">
        <v>410</v>
      </c>
      <c r="AX326">
        <v>79</v>
      </c>
      <c r="AY326">
        <v>919</v>
      </c>
      <c r="AZ326">
        <v>4195</v>
      </c>
      <c r="BA326">
        <v>147</v>
      </c>
      <c r="BB326">
        <v>575</v>
      </c>
      <c r="BD326">
        <v>117</v>
      </c>
    </row>
    <row r="327" spans="1:56" x14ac:dyDescent="0.25">
      <c r="A327" t="s">
        <v>607</v>
      </c>
      <c r="B327" t="s">
        <v>755</v>
      </c>
      <c r="C327" s="312">
        <v>157452</v>
      </c>
      <c r="D327">
        <v>0</v>
      </c>
      <c r="E327">
        <v>0</v>
      </c>
      <c r="F327">
        <v>157452</v>
      </c>
      <c r="G327">
        <v>157452</v>
      </c>
      <c r="H327">
        <v>0</v>
      </c>
      <c r="I327">
        <f t="shared" si="108"/>
        <v>0</v>
      </c>
      <c r="J327">
        <f t="shared" si="109"/>
        <v>0</v>
      </c>
      <c r="K327">
        <f t="shared" si="110"/>
        <v>0</v>
      </c>
      <c r="L327">
        <f t="shared" si="111"/>
        <v>0</v>
      </c>
      <c r="M327">
        <f t="shared" si="112"/>
        <v>0</v>
      </c>
      <c r="N327">
        <f t="shared" si="113"/>
        <v>0</v>
      </c>
      <c r="O327">
        <f t="shared" si="114"/>
        <v>0</v>
      </c>
      <c r="P327">
        <f t="shared" si="115"/>
        <v>0</v>
      </c>
      <c r="Q327">
        <f t="shared" si="116"/>
        <v>0</v>
      </c>
      <c r="R327">
        <f t="shared" si="117"/>
        <v>0</v>
      </c>
      <c r="S327">
        <f t="shared" si="118"/>
        <v>0</v>
      </c>
      <c r="AJ327" t="s">
        <v>1308</v>
      </c>
      <c r="AK327">
        <v>0</v>
      </c>
      <c r="AL327">
        <v>0</v>
      </c>
      <c r="AM327">
        <v>0</v>
      </c>
      <c r="AN327">
        <v>0</v>
      </c>
      <c r="AO327">
        <v>0</v>
      </c>
      <c r="AP327">
        <v>0</v>
      </c>
      <c r="AQ327">
        <v>0</v>
      </c>
      <c r="AR327">
        <v>0</v>
      </c>
      <c r="AS327">
        <v>0</v>
      </c>
      <c r="AT327">
        <v>0</v>
      </c>
      <c r="AU327">
        <v>0</v>
      </c>
      <c r="AV327">
        <v>0</v>
      </c>
      <c r="AW327">
        <v>0</v>
      </c>
      <c r="AX327">
        <v>0</v>
      </c>
      <c r="AY327">
        <v>0</v>
      </c>
      <c r="AZ327">
        <v>0</v>
      </c>
      <c r="BA327">
        <v>0</v>
      </c>
      <c r="BB327">
        <v>0</v>
      </c>
      <c r="BD327">
        <v>0</v>
      </c>
    </row>
    <row r="328" spans="1:56" x14ac:dyDescent="0.25">
      <c r="A328" t="s">
        <v>598</v>
      </c>
      <c r="B328" t="s">
        <v>139</v>
      </c>
      <c r="C328">
        <f t="shared" ref="C328:C356" si="119">SUM(D328,-E328)</f>
        <v>50276</v>
      </c>
      <c r="D328">
        <v>54024</v>
      </c>
      <c r="E328">
        <v>3748</v>
      </c>
      <c r="F328">
        <f t="shared" ref="F328:F356" si="120">SUM(G328,-H328)</f>
        <v>46087</v>
      </c>
      <c r="G328">
        <v>49835</v>
      </c>
      <c r="H328">
        <v>3748</v>
      </c>
      <c r="I328">
        <f t="shared" si="108"/>
        <v>2842</v>
      </c>
      <c r="J328">
        <f t="shared" si="109"/>
        <v>10439</v>
      </c>
      <c r="K328">
        <f t="shared" si="110"/>
        <v>6975</v>
      </c>
      <c r="L328">
        <f t="shared" si="111"/>
        <v>1195</v>
      </c>
      <c r="M328">
        <f t="shared" si="112"/>
        <v>938</v>
      </c>
      <c r="N328">
        <f t="shared" si="113"/>
        <v>932</v>
      </c>
      <c r="O328">
        <f t="shared" si="114"/>
        <v>3694</v>
      </c>
      <c r="P328">
        <f t="shared" si="115"/>
        <v>9297</v>
      </c>
      <c r="Q328">
        <f t="shared" si="116"/>
        <v>8061</v>
      </c>
      <c r="R328">
        <f t="shared" si="117"/>
        <v>3890</v>
      </c>
      <c r="S328">
        <f t="shared" si="118"/>
        <v>750</v>
      </c>
      <c r="U328">
        <v>13441</v>
      </c>
      <c r="V328">
        <v>1399</v>
      </c>
      <c r="W328">
        <v>4186</v>
      </c>
      <c r="X328">
        <v>1305</v>
      </c>
      <c r="Y328">
        <v>1536</v>
      </c>
      <c r="Z328">
        <v>4607</v>
      </c>
      <c r="AA328">
        <v>18856</v>
      </c>
      <c r="AB328">
        <v>5049</v>
      </c>
      <c r="AC328">
        <v>4547</v>
      </c>
      <c r="AD328">
        <v>0</v>
      </c>
      <c r="AE328">
        <f t="shared" ref="AE328:AE356" si="121">SUM(AA328,-AB328,-AC328,-AD328)</f>
        <v>9260</v>
      </c>
      <c r="AF328">
        <v>5343</v>
      </c>
      <c r="AG328">
        <v>3351</v>
      </c>
      <c r="AH328">
        <v>1876</v>
      </c>
      <c r="AI328">
        <f t="shared" ref="AI328:AI356" si="122">SUM(AG328,-AH328)</f>
        <v>1475</v>
      </c>
      <c r="AJ328" t="s">
        <v>1250</v>
      </c>
      <c r="AL328">
        <v>725</v>
      </c>
      <c r="AM328">
        <v>858</v>
      </c>
      <c r="AN328">
        <v>595</v>
      </c>
      <c r="AO328">
        <v>265</v>
      </c>
      <c r="AP328">
        <v>648</v>
      </c>
      <c r="AQ328">
        <v>517</v>
      </c>
      <c r="AR328">
        <v>87</v>
      </c>
      <c r="AS328">
        <v>19</v>
      </c>
      <c r="AT328">
        <v>348</v>
      </c>
      <c r="AU328">
        <v>557</v>
      </c>
      <c r="AV328">
        <v>494</v>
      </c>
      <c r="AW328">
        <v>34</v>
      </c>
      <c r="AX328">
        <v>170</v>
      </c>
      <c r="AY328">
        <v>576</v>
      </c>
      <c r="AZ328">
        <v>5890</v>
      </c>
      <c r="BA328">
        <v>16</v>
      </c>
      <c r="BB328">
        <v>1183</v>
      </c>
      <c r="BD328">
        <v>299</v>
      </c>
    </row>
    <row r="329" spans="1:56" x14ac:dyDescent="0.25">
      <c r="A329" t="s">
        <v>601</v>
      </c>
      <c r="B329" t="s">
        <v>256</v>
      </c>
      <c r="C329">
        <f t="shared" si="119"/>
        <v>36141</v>
      </c>
      <c r="D329">
        <v>36141</v>
      </c>
      <c r="E329">
        <v>0</v>
      </c>
      <c r="F329">
        <f t="shared" si="120"/>
        <v>35887</v>
      </c>
      <c r="G329">
        <v>35887</v>
      </c>
      <c r="H329">
        <v>0</v>
      </c>
      <c r="I329">
        <f t="shared" si="108"/>
        <v>1274</v>
      </c>
      <c r="J329">
        <f t="shared" si="109"/>
        <v>689</v>
      </c>
      <c r="K329">
        <f t="shared" si="110"/>
        <v>5691</v>
      </c>
      <c r="L329">
        <f t="shared" si="111"/>
        <v>1035</v>
      </c>
      <c r="M329">
        <f t="shared" si="112"/>
        <v>182</v>
      </c>
      <c r="N329">
        <f t="shared" si="113"/>
        <v>1352</v>
      </c>
      <c r="O329">
        <f t="shared" si="114"/>
        <v>2106</v>
      </c>
      <c r="P329">
        <f t="shared" si="115"/>
        <v>10275</v>
      </c>
      <c r="Q329">
        <f t="shared" si="116"/>
        <v>8872</v>
      </c>
      <c r="R329">
        <f t="shared" si="117"/>
        <v>2752</v>
      </c>
      <c r="S329">
        <f t="shared" si="118"/>
        <v>803</v>
      </c>
      <c r="U329">
        <v>6745</v>
      </c>
      <c r="V329">
        <v>1035</v>
      </c>
      <c r="W329">
        <v>1203</v>
      </c>
      <c r="X329">
        <v>201</v>
      </c>
      <c r="Y329">
        <v>1553</v>
      </c>
      <c r="Z329">
        <v>2291</v>
      </c>
      <c r="AA329">
        <v>19155</v>
      </c>
      <c r="AB329">
        <v>6607</v>
      </c>
      <c r="AC329">
        <v>2669</v>
      </c>
      <c r="AD329">
        <v>999</v>
      </c>
      <c r="AE329">
        <f t="shared" si="121"/>
        <v>8880</v>
      </c>
      <c r="AF329">
        <v>3127</v>
      </c>
      <c r="AG329">
        <v>831</v>
      </c>
      <c r="AH329">
        <v>28</v>
      </c>
      <c r="AI329">
        <f t="shared" si="122"/>
        <v>803</v>
      </c>
      <c r="AJ329" t="s">
        <v>1034</v>
      </c>
      <c r="AK329">
        <v>0</v>
      </c>
      <c r="AM329">
        <v>375</v>
      </c>
      <c r="AO329">
        <v>185</v>
      </c>
      <c r="AQ329">
        <v>201</v>
      </c>
      <c r="AS329">
        <v>19</v>
      </c>
      <c r="AU329">
        <v>121</v>
      </c>
      <c r="AY329">
        <v>365</v>
      </c>
      <c r="AZ329">
        <v>689</v>
      </c>
      <c r="BA329">
        <v>8</v>
      </c>
    </row>
    <row r="330" spans="1:56" x14ac:dyDescent="0.25">
      <c r="A330" t="s">
        <v>607</v>
      </c>
      <c r="B330" t="s">
        <v>756</v>
      </c>
      <c r="C330">
        <f t="shared" si="119"/>
        <v>83042</v>
      </c>
      <c r="D330">
        <v>83997</v>
      </c>
      <c r="E330">
        <v>955</v>
      </c>
      <c r="F330" s="312">
        <f t="shared" si="120"/>
        <v>83042</v>
      </c>
      <c r="G330" s="312">
        <v>83997</v>
      </c>
      <c r="H330">
        <v>955</v>
      </c>
      <c r="I330">
        <f t="shared" si="108"/>
        <v>2902</v>
      </c>
      <c r="J330">
        <f t="shared" si="109"/>
        <v>21173</v>
      </c>
      <c r="K330">
        <f t="shared" si="110"/>
        <v>5440</v>
      </c>
      <c r="L330">
        <f t="shared" si="111"/>
        <v>1965</v>
      </c>
      <c r="M330">
        <f t="shared" si="112"/>
        <v>172</v>
      </c>
      <c r="N330">
        <f t="shared" si="113"/>
        <v>3409</v>
      </c>
      <c r="O330">
        <f t="shared" si="114"/>
        <v>4655</v>
      </c>
      <c r="P330">
        <f t="shared" si="115"/>
        <v>20182</v>
      </c>
      <c r="Q330">
        <f t="shared" si="116"/>
        <v>16572</v>
      </c>
      <c r="R330">
        <f t="shared" si="117"/>
        <v>4715</v>
      </c>
      <c r="S330">
        <f t="shared" si="118"/>
        <v>594</v>
      </c>
      <c r="U330">
        <v>12812</v>
      </c>
      <c r="V330">
        <v>2371</v>
      </c>
      <c r="W330">
        <v>3311</v>
      </c>
      <c r="X330">
        <v>624</v>
      </c>
      <c r="Y330">
        <v>9230</v>
      </c>
      <c r="Z330">
        <v>6453</v>
      </c>
      <c r="AA330">
        <v>40618</v>
      </c>
      <c r="AB330">
        <v>9801</v>
      </c>
      <c r="AC330">
        <v>9641</v>
      </c>
      <c r="AD330">
        <v>2405</v>
      </c>
      <c r="AE330">
        <f t="shared" si="121"/>
        <v>18771</v>
      </c>
      <c r="AF330">
        <v>7025</v>
      </c>
      <c r="AG330">
        <v>1553</v>
      </c>
      <c r="AH330">
        <v>0</v>
      </c>
      <c r="AI330">
        <f t="shared" si="122"/>
        <v>1553</v>
      </c>
      <c r="AJ330" t="s">
        <v>1299</v>
      </c>
      <c r="AK330">
        <v>15</v>
      </c>
      <c r="AL330">
        <v>944</v>
      </c>
      <c r="AM330">
        <v>915</v>
      </c>
      <c r="AN330">
        <v>1395</v>
      </c>
      <c r="AO330">
        <v>326</v>
      </c>
      <c r="AP330">
        <v>1472</v>
      </c>
      <c r="AQ330">
        <v>845</v>
      </c>
      <c r="AR330">
        <v>4976</v>
      </c>
      <c r="AS330">
        <v>11</v>
      </c>
      <c r="AT330">
        <v>441</v>
      </c>
      <c r="AU330">
        <v>301</v>
      </c>
      <c r="AV330">
        <v>792</v>
      </c>
      <c r="AW330">
        <v>4</v>
      </c>
      <c r="AX330">
        <v>402</v>
      </c>
      <c r="AY330">
        <v>158</v>
      </c>
      <c r="AZ330">
        <v>7214</v>
      </c>
      <c r="BA330">
        <v>158</v>
      </c>
      <c r="BB330">
        <v>2041</v>
      </c>
      <c r="BC330">
        <v>169</v>
      </c>
      <c r="BD330">
        <v>1496</v>
      </c>
    </row>
    <row r="331" spans="1:56" x14ac:dyDescent="0.25">
      <c r="A331" t="s">
        <v>603</v>
      </c>
      <c r="B331" t="s">
        <v>382</v>
      </c>
      <c r="C331">
        <f t="shared" si="119"/>
        <v>302880</v>
      </c>
      <c r="D331">
        <v>313565</v>
      </c>
      <c r="E331">
        <v>10685</v>
      </c>
      <c r="F331">
        <f t="shared" si="120"/>
        <v>265010</v>
      </c>
      <c r="G331">
        <v>275695</v>
      </c>
      <c r="H331">
        <v>10685</v>
      </c>
      <c r="I331">
        <f t="shared" si="108"/>
        <v>21217</v>
      </c>
      <c r="J331">
        <f t="shared" si="109"/>
        <v>59577</v>
      </c>
      <c r="K331">
        <f t="shared" si="110"/>
        <v>26625</v>
      </c>
      <c r="L331">
        <f t="shared" si="111"/>
        <v>8269</v>
      </c>
      <c r="M331">
        <f t="shared" si="112"/>
        <v>2186</v>
      </c>
      <c r="N331">
        <f t="shared" si="113"/>
        <v>7668</v>
      </c>
      <c r="O331">
        <f t="shared" si="114"/>
        <v>14411</v>
      </c>
      <c r="P331">
        <f t="shared" si="115"/>
        <v>32894</v>
      </c>
      <c r="Q331">
        <f t="shared" si="116"/>
        <v>49505</v>
      </c>
      <c r="R331">
        <f t="shared" si="117"/>
        <v>20158</v>
      </c>
      <c r="S331">
        <f t="shared" si="118"/>
        <v>9032</v>
      </c>
      <c r="U331">
        <v>64655</v>
      </c>
      <c r="V331">
        <v>10674</v>
      </c>
      <c r="W331">
        <v>20629</v>
      </c>
      <c r="X331">
        <v>3853</v>
      </c>
      <c r="Y331">
        <v>12041</v>
      </c>
      <c r="Z331">
        <v>20457</v>
      </c>
      <c r="AA331">
        <v>88640</v>
      </c>
      <c r="AB331">
        <v>25082</v>
      </c>
      <c r="AC331">
        <v>9997</v>
      </c>
      <c r="AD331">
        <v>437</v>
      </c>
      <c r="AE331">
        <f t="shared" si="121"/>
        <v>53124</v>
      </c>
      <c r="AF331">
        <v>26919</v>
      </c>
      <c r="AG331">
        <v>65697</v>
      </c>
      <c r="AH331">
        <v>50683</v>
      </c>
      <c r="AI331">
        <f t="shared" si="122"/>
        <v>15014</v>
      </c>
      <c r="AJ331" t="s">
        <v>1273</v>
      </c>
      <c r="AK331">
        <v>53</v>
      </c>
      <c r="AL331">
        <v>5929</v>
      </c>
      <c r="AM331">
        <v>4091</v>
      </c>
      <c r="AN331">
        <v>2670</v>
      </c>
      <c r="AO331">
        <v>3104</v>
      </c>
      <c r="AP331">
        <v>2942</v>
      </c>
      <c r="AQ331">
        <v>3430</v>
      </c>
      <c r="AR331">
        <v>943</v>
      </c>
      <c r="AS331">
        <v>3</v>
      </c>
      <c r="AT331">
        <v>1664</v>
      </c>
      <c r="AU331">
        <v>6460</v>
      </c>
      <c r="AV331">
        <v>2829</v>
      </c>
      <c r="AW331">
        <v>173</v>
      </c>
      <c r="AX331">
        <v>2232</v>
      </c>
      <c r="AY331">
        <v>3662</v>
      </c>
      <c r="AZ331">
        <v>34368</v>
      </c>
      <c r="BA331">
        <v>241</v>
      </c>
      <c r="BB331">
        <v>3378</v>
      </c>
      <c r="BD331">
        <v>2622</v>
      </c>
    </row>
    <row r="332" spans="1:56" x14ac:dyDescent="0.25">
      <c r="A332" t="s">
        <v>602</v>
      </c>
      <c r="B332" t="s">
        <v>184</v>
      </c>
      <c r="C332">
        <f t="shared" si="119"/>
        <v>75245</v>
      </c>
      <c r="D332">
        <v>75245</v>
      </c>
      <c r="E332">
        <v>0</v>
      </c>
      <c r="F332">
        <f t="shared" si="120"/>
        <v>72166</v>
      </c>
      <c r="G332">
        <v>72166</v>
      </c>
      <c r="H332">
        <v>0</v>
      </c>
      <c r="I332">
        <f t="shared" si="108"/>
        <v>3937</v>
      </c>
      <c r="J332">
        <f t="shared" si="109"/>
        <v>16474</v>
      </c>
      <c r="K332">
        <f t="shared" si="110"/>
        <v>8311</v>
      </c>
      <c r="L332">
        <f t="shared" si="111"/>
        <v>1399</v>
      </c>
      <c r="M332">
        <f t="shared" si="112"/>
        <v>606</v>
      </c>
      <c r="N332">
        <f t="shared" si="113"/>
        <v>2241</v>
      </c>
      <c r="O332">
        <f t="shared" si="114"/>
        <v>5135</v>
      </c>
      <c r="P332">
        <f t="shared" si="115"/>
        <v>14154</v>
      </c>
      <c r="Q332">
        <f t="shared" si="116"/>
        <v>12449</v>
      </c>
      <c r="R332">
        <f t="shared" si="117"/>
        <v>5029</v>
      </c>
      <c r="S332">
        <f t="shared" si="118"/>
        <v>1265</v>
      </c>
      <c r="U332">
        <v>19059</v>
      </c>
      <c r="V332">
        <v>1537</v>
      </c>
      <c r="W332">
        <v>4118</v>
      </c>
      <c r="X332">
        <v>778</v>
      </c>
      <c r="Y332">
        <v>3456</v>
      </c>
      <c r="Z332">
        <v>5399</v>
      </c>
      <c r="AA332">
        <v>30451</v>
      </c>
      <c r="AB332">
        <v>9226</v>
      </c>
      <c r="AC332">
        <v>4890</v>
      </c>
      <c r="AD332">
        <v>956</v>
      </c>
      <c r="AE332">
        <f t="shared" si="121"/>
        <v>15379</v>
      </c>
      <c r="AF332">
        <v>6850</v>
      </c>
      <c r="AG332">
        <v>3597</v>
      </c>
      <c r="AH332">
        <v>1727</v>
      </c>
      <c r="AI332">
        <f t="shared" si="122"/>
        <v>1870</v>
      </c>
      <c r="AJ332" t="s">
        <v>975</v>
      </c>
      <c r="AK332">
        <v>155</v>
      </c>
      <c r="AL332">
        <v>450</v>
      </c>
      <c r="AM332">
        <v>661</v>
      </c>
      <c r="AN332">
        <v>1160</v>
      </c>
      <c r="AO332">
        <v>195</v>
      </c>
      <c r="AP332">
        <v>69</v>
      </c>
      <c r="AQ332">
        <v>979</v>
      </c>
      <c r="AR332">
        <v>236</v>
      </c>
      <c r="AS332">
        <v>3</v>
      </c>
      <c r="AT332">
        <v>169</v>
      </c>
      <c r="AU332">
        <v>811</v>
      </c>
      <c r="AV332">
        <v>789</v>
      </c>
      <c r="AX332">
        <v>138</v>
      </c>
      <c r="AY332">
        <v>993</v>
      </c>
      <c r="AZ332">
        <v>9755</v>
      </c>
      <c r="BA332">
        <v>88</v>
      </c>
      <c r="BB332">
        <v>2842</v>
      </c>
      <c r="BC332">
        <v>52</v>
      </c>
      <c r="BD332">
        <v>866</v>
      </c>
    </row>
    <row r="333" spans="1:56" x14ac:dyDescent="0.25">
      <c r="A333" t="s">
        <v>603</v>
      </c>
      <c r="B333" t="s">
        <v>383</v>
      </c>
      <c r="C333">
        <f t="shared" si="119"/>
        <v>73135</v>
      </c>
      <c r="D333">
        <v>74800</v>
      </c>
      <c r="E333">
        <v>1665</v>
      </c>
      <c r="F333">
        <f t="shared" si="120"/>
        <v>44594</v>
      </c>
      <c r="G333">
        <v>46259</v>
      </c>
      <c r="H333">
        <v>1665</v>
      </c>
      <c r="I333">
        <f t="shared" si="108"/>
        <v>7601</v>
      </c>
      <c r="J333">
        <f t="shared" si="109"/>
        <v>10046</v>
      </c>
      <c r="K333">
        <f t="shared" si="110"/>
        <v>21079</v>
      </c>
      <c r="L333">
        <f t="shared" si="111"/>
        <v>1683</v>
      </c>
      <c r="M333">
        <f t="shared" si="112"/>
        <v>540</v>
      </c>
      <c r="N333">
        <f t="shared" si="113"/>
        <v>1172</v>
      </c>
      <c r="O333">
        <f t="shared" si="114"/>
        <v>4276</v>
      </c>
      <c r="P333">
        <f t="shared" si="115"/>
        <v>2684</v>
      </c>
      <c r="Q333">
        <f t="shared" si="116"/>
        <v>6782</v>
      </c>
      <c r="R333">
        <f t="shared" si="117"/>
        <v>4850</v>
      </c>
      <c r="S333">
        <f t="shared" si="118"/>
        <v>5692</v>
      </c>
      <c r="U333">
        <v>35588</v>
      </c>
      <c r="V333">
        <v>1701</v>
      </c>
      <c r="W333">
        <v>1644</v>
      </c>
      <c r="X333">
        <v>549</v>
      </c>
      <c r="Y333">
        <v>1496</v>
      </c>
      <c r="Z333">
        <v>4729</v>
      </c>
      <c r="AA333">
        <v>9536</v>
      </c>
      <c r="AB333">
        <v>2413</v>
      </c>
      <c r="AC333">
        <v>70</v>
      </c>
      <c r="AD333">
        <v>201</v>
      </c>
      <c r="AE333">
        <f t="shared" si="121"/>
        <v>6852</v>
      </c>
      <c r="AF333">
        <v>5403</v>
      </c>
      <c r="AG333">
        <v>14154</v>
      </c>
      <c r="AH333">
        <v>6969</v>
      </c>
      <c r="AI333">
        <f t="shared" si="122"/>
        <v>7185</v>
      </c>
      <c r="AJ333" t="s">
        <v>1134</v>
      </c>
      <c r="AK333">
        <v>1493</v>
      </c>
      <c r="AM333">
        <v>553</v>
      </c>
      <c r="AO333">
        <v>453</v>
      </c>
      <c r="AQ333">
        <v>293</v>
      </c>
      <c r="AR333">
        <v>31</v>
      </c>
      <c r="AS333">
        <v>9</v>
      </c>
      <c r="AU333">
        <v>218</v>
      </c>
      <c r="AW333">
        <v>18</v>
      </c>
      <c r="AY333">
        <v>4564</v>
      </c>
      <c r="AZ333">
        <v>9945</v>
      </c>
      <c r="BB333">
        <v>70</v>
      </c>
    </row>
    <row r="334" spans="1:56" x14ac:dyDescent="0.25">
      <c r="A334" t="s">
        <v>604</v>
      </c>
      <c r="B334" t="s">
        <v>206</v>
      </c>
      <c r="C334">
        <f t="shared" si="119"/>
        <v>54526</v>
      </c>
      <c r="D334">
        <v>56984</v>
      </c>
      <c r="E334">
        <v>2458</v>
      </c>
      <c r="F334">
        <f t="shared" si="120"/>
        <v>49146</v>
      </c>
      <c r="G334">
        <v>51604</v>
      </c>
      <c r="H334">
        <v>2458</v>
      </c>
      <c r="I334">
        <f t="shared" si="108"/>
        <v>2370</v>
      </c>
      <c r="J334">
        <f t="shared" si="109"/>
        <v>12322</v>
      </c>
      <c r="K334">
        <f t="shared" si="110"/>
        <v>5609</v>
      </c>
      <c r="L334">
        <f t="shared" si="111"/>
        <v>1507</v>
      </c>
      <c r="M334">
        <f t="shared" si="112"/>
        <v>3629</v>
      </c>
      <c r="N334">
        <f t="shared" si="113"/>
        <v>1190</v>
      </c>
      <c r="O334">
        <f t="shared" si="114"/>
        <v>3292</v>
      </c>
      <c r="P334">
        <f t="shared" si="115"/>
        <v>6520</v>
      </c>
      <c r="Q334">
        <f t="shared" si="116"/>
        <v>10328</v>
      </c>
      <c r="R334">
        <f t="shared" si="117"/>
        <v>4292</v>
      </c>
      <c r="S334">
        <f t="shared" si="118"/>
        <v>149</v>
      </c>
      <c r="U334">
        <v>11552</v>
      </c>
      <c r="V334">
        <v>1753</v>
      </c>
      <c r="W334">
        <v>2608</v>
      </c>
      <c r="X334">
        <v>3823</v>
      </c>
      <c r="Y334">
        <v>2081</v>
      </c>
      <c r="Z334">
        <v>4202</v>
      </c>
      <c r="AA334">
        <v>19289</v>
      </c>
      <c r="AB334">
        <v>4287</v>
      </c>
      <c r="AC334">
        <v>2590</v>
      </c>
      <c r="AD334">
        <v>288</v>
      </c>
      <c r="AE334">
        <f t="shared" si="121"/>
        <v>12124</v>
      </c>
      <c r="AF334">
        <v>5864</v>
      </c>
      <c r="AG334">
        <v>5812</v>
      </c>
      <c r="AH334">
        <v>4048</v>
      </c>
      <c r="AI334">
        <f t="shared" si="122"/>
        <v>1764</v>
      </c>
      <c r="AJ334" t="s">
        <v>999</v>
      </c>
      <c r="AK334">
        <v>0</v>
      </c>
      <c r="AL334">
        <v>1615</v>
      </c>
      <c r="AM334">
        <v>623</v>
      </c>
      <c r="AN334">
        <v>949</v>
      </c>
      <c r="AO334">
        <v>86</v>
      </c>
      <c r="AP334">
        <v>824</v>
      </c>
      <c r="AQ334">
        <v>733</v>
      </c>
      <c r="AR334">
        <v>158</v>
      </c>
      <c r="AS334">
        <v>2</v>
      </c>
      <c r="AT334">
        <v>192</v>
      </c>
      <c r="AU334">
        <v>100</v>
      </c>
      <c r="AV334">
        <v>780</v>
      </c>
      <c r="AX334">
        <v>246</v>
      </c>
      <c r="AY334">
        <v>788</v>
      </c>
      <c r="AZ334">
        <v>5155</v>
      </c>
      <c r="BA334">
        <v>38</v>
      </c>
      <c r="BB334">
        <v>1758</v>
      </c>
      <c r="BD334">
        <v>645</v>
      </c>
    </row>
    <row r="335" spans="1:56" x14ac:dyDescent="0.25">
      <c r="A335" t="s">
        <v>601</v>
      </c>
      <c r="B335" t="s">
        <v>257</v>
      </c>
      <c r="C335">
        <f t="shared" si="119"/>
        <v>94027</v>
      </c>
      <c r="D335">
        <v>95976</v>
      </c>
      <c r="E335">
        <v>1949</v>
      </c>
      <c r="F335">
        <f t="shared" si="120"/>
        <v>96567</v>
      </c>
      <c r="G335">
        <v>98516</v>
      </c>
      <c r="H335">
        <v>1949</v>
      </c>
      <c r="I335">
        <f t="shared" si="108"/>
        <v>3249</v>
      </c>
      <c r="J335">
        <f t="shared" si="109"/>
        <v>2213</v>
      </c>
      <c r="K335">
        <f t="shared" si="110"/>
        <v>14882</v>
      </c>
      <c r="L335">
        <f t="shared" si="111"/>
        <v>3048</v>
      </c>
      <c r="M335">
        <f t="shared" si="112"/>
        <v>886</v>
      </c>
      <c r="N335">
        <f t="shared" si="113"/>
        <v>2369</v>
      </c>
      <c r="O335">
        <f t="shared" si="114"/>
        <v>6916</v>
      </c>
      <c r="P335">
        <f t="shared" si="115"/>
        <v>20523</v>
      </c>
      <c r="Q335">
        <f t="shared" si="116"/>
        <v>22949</v>
      </c>
      <c r="R335">
        <f t="shared" si="117"/>
        <v>9818</v>
      </c>
      <c r="S335">
        <f t="shared" si="118"/>
        <v>1816</v>
      </c>
      <c r="U335">
        <v>17600</v>
      </c>
      <c r="V335">
        <v>3048</v>
      </c>
      <c r="W335">
        <v>6663</v>
      </c>
      <c r="X335">
        <v>886</v>
      </c>
      <c r="Y335">
        <v>3878</v>
      </c>
      <c r="Z335">
        <v>7297</v>
      </c>
      <c r="AA335">
        <v>43727</v>
      </c>
      <c r="AB335">
        <v>13949</v>
      </c>
      <c r="AC335">
        <v>5067</v>
      </c>
      <c r="AD335">
        <v>1507</v>
      </c>
      <c r="AE335">
        <f t="shared" si="121"/>
        <v>23204</v>
      </c>
      <c r="AF335">
        <v>10316</v>
      </c>
      <c r="AG335">
        <v>2561</v>
      </c>
      <c r="AH335">
        <v>715</v>
      </c>
      <c r="AI335">
        <f t="shared" si="122"/>
        <v>1846</v>
      </c>
      <c r="AJ335" t="s">
        <v>1036</v>
      </c>
      <c r="AK335">
        <v>30</v>
      </c>
      <c r="AM335">
        <v>498</v>
      </c>
      <c r="AO335">
        <v>381</v>
      </c>
      <c r="AQ335">
        <v>1509</v>
      </c>
      <c r="AU335">
        <v>71</v>
      </c>
      <c r="AY335">
        <v>505</v>
      </c>
      <c r="AZ335">
        <v>2213</v>
      </c>
      <c r="BA335">
        <v>255</v>
      </c>
    </row>
    <row r="336" spans="1:56" x14ac:dyDescent="0.25">
      <c r="A336" t="s">
        <v>600</v>
      </c>
      <c r="B336" t="s">
        <v>328</v>
      </c>
      <c r="C336">
        <f t="shared" si="119"/>
        <v>49804</v>
      </c>
      <c r="D336">
        <v>50837</v>
      </c>
      <c r="E336">
        <v>1033</v>
      </c>
      <c r="F336">
        <f t="shared" si="120"/>
        <v>51308</v>
      </c>
      <c r="G336">
        <v>52341</v>
      </c>
      <c r="H336">
        <v>1033</v>
      </c>
      <c r="I336">
        <f t="shared" si="108"/>
        <v>2782</v>
      </c>
      <c r="J336">
        <f t="shared" si="109"/>
        <v>12709</v>
      </c>
      <c r="K336">
        <f t="shared" si="110"/>
        <v>5539</v>
      </c>
      <c r="L336">
        <f t="shared" si="111"/>
        <v>2321</v>
      </c>
      <c r="M336">
        <f t="shared" si="112"/>
        <v>2725</v>
      </c>
      <c r="N336">
        <f t="shared" si="113"/>
        <v>1066</v>
      </c>
      <c r="O336">
        <f t="shared" si="114"/>
        <v>4181</v>
      </c>
      <c r="P336">
        <f t="shared" si="115"/>
        <v>7813</v>
      </c>
      <c r="Q336">
        <f t="shared" si="116"/>
        <v>4495</v>
      </c>
      <c r="R336">
        <f t="shared" si="117"/>
        <v>5074</v>
      </c>
      <c r="S336">
        <f t="shared" si="118"/>
        <v>399</v>
      </c>
      <c r="U336">
        <v>12414</v>
      </c>
      <c r="V336">
        <v>2876</v>
      </c>
      <c r="W336">
        <v>3664</v>
      </c>
      <c r="X336">
        <v>2807</v>
      </c>
      <c r="Y336">
        <v>1658</v>
      </c>
      <c r="Z336">
        <v>5076</v>
      </c>
      <c r="AA336">
        <v>13820</v>
      </c>
      <c r="AB336">
        <v>4862</v>
      </c>
      <c r="AC336">
        <v>4020</v>
      </c>
      <c r="AD336">
        <v>0</v>
      </c>
      <c r="AE336">
        <f t="shared" si="121"/>
        <v>4938</v>
      </c>
      <c r="AF336">
        <v>6682</v>
      </c>
      <c r="AG336">
        <v>1840</v>
      </c>
      <c r="AH336">
        <v>0</v>
      </c>
      <c r="AI336">
        <f t="shared" si="122"/>
        <v>1840</v>
      </c>
      <c r="AJ336" t="s">
        <v>1247</v>
      </c>
      <c r="AK336">
        <v>8</v>
      </c>
      <c r="AL336">
        <v>1433</v>
      </c>
      <c r="AM336">
        <v>657</v>
      </c>
      <c r="AN336">
        <v>951</v>
      </c>
      <c r="AO336">
        <v>224</v>
      </c>
      <c r="AP336">
        <v>671</v>
      </c>
      <c r="AQ336">
        <v>418</v>
      </c>
      <c r="AR336">
        <v>174</v>
      </c>
      <c r="AS336">
        <v>10</v>
      </c>
      <c r="AT336">
        <v>72</v>
      </c>
      <c r="AU336">
        <v>831</v>
      </c>
      <c r="AV336">
        <v>1100</v>
      </c>
      <c r="AW336">
        <v>6</v>
      </c>
      <c r="AX336">
        <v>549</v>
      </c>
      <c r="AY336">
        <v>555</v>
      </c>
      <c r="AZ336">
        <v>6320</v>
      </c>
      <c r="BA336">
        <v>73</v>
      </c>
      <c r="BB336">
        <v>370</v>
      </c>
      <c r="BD336">
        <v>1069</v>
      </c>
    </row>
    <row r="337" spans="1:56" x14ac:dyDescent="0.25">
      <c r="A337" t="s">
        <v>606</v>
      </c>
      <c r="B337" t="s">
        <v>283</v>
      </c>
      <c r="C337">
        <f t="shared" si="119"/>
        <v>52034</v>
      </c>
      <c r="D337">
        <v>52822</v>
      </c>
      <c r="E337">
        <v>788</v>
      </c>
      <c r="F337">
        <f t="shared" si="120"/>
        <v>51072</v>
      </c>
      <c r="G337">
        <v>51860</v>
      </c>
      <c r="H337">
        <v>788</v>
      </c>
      <c r="I337">
        <f t="shared" si="108"/>
        <v>5416</v>
      </c>
      <c r="J337">
        <f t="shared" si="109"/>
        <v>9585</v>
      </c>
      <c r="K337">
        <f t="shared" si="110"/>
        <v>4868</v>
      </c>
      <c r="L337">
        <f t="shared" si="111"/>
        <v>1665</v>
      </c>
      <c r="M337">
        <f t="shared" si="112"/>
        <v>312</v>
      </c>
      <c r="N337">
        <f t="shared" si="113"/>
        <v>1813</v>
      </c>
      <c r="O337">
        <f t="shared" si="114"/>
        <v>2154</v>
      </c>
      <c r="P337">
        <f t="shared" si="115"/>
        <v>7736</v>
      </c>
      <c r="Q337">
        <f t="shared" si="116"/>
        <v>12339</v>
      </c>
      <c r="R337">
        <f t="shared" si="117"/>
        <v>4354</v>
      </c>
      <c r="S337">
        <f t="shared" si="118"/>
        <v>413</v>
      </c>
      <c r="U337">
        <v>13893</v>
      </c>
      <c r="V337">
        <v>2043</v>
      </c>
      <c r="W337">
        <v>2630</v>
      </c>
      <c r="X337">
        <v>482</v>
      </c>
      <c r="Y337">
        <v>2687</v>
      </c>
      <c r="Z337">
        <v>3342</v>
      </c>
      <c r="AA337">
        <v>20604</v>
      </c>
      <c r="AB337">
        <v>6339</v>
      </c>
      <c r="AC337">
        <v>1261</v>
      </c>
      <c r="AD337">
        <v>208</v>
      </c>
      <c r="AE337">
        <f t="shared" si="121"/>
        <v>12796</v>
      </c>
      <c r="AF337">
        <v>5465</v>
      </c>
      <c r="AG337">
        <v>1676</v>
      </c>
      <c r="AH337">
        <v>303</v>
      </c>
      <c r="AI337">
        <f t="shared" si="122"/>
        <v>1373</v>
      </c>
      <c r="AJ337" t="s">
        <v>1058</v>
      </c>
      <c r="AK337">
        <v>64</v>
      </c>
      <c r="AL337">
        <v>896</v>
      </c>
      <c r="AM337">
        <v>611</v>
      </c>
      <c r="AN337">
        <v>500</v>
      </c>
      <c r="AO337">
        <v>181</v>
      </c>
      <c r="AP337">
        <v>1007</v>
      </c>
      <c r="AQ337">
        <v>644</v>
      </c>
      <c r="AR337">
        <v>230</v>
      </c>
      <c r="AS337">
        <v>8</v>
      </c>
      <c r="AT337">
        <v>162</v>
      </c>
      <c r="AU337">
        <v>378</v>
      </c>
      <c r="AV337">
        <v>388</v>
      </c>
      <c r="AW337">
        <v>12</v>
      </c>
      <c r="AX337">
        <v>366</v>
      </c>
      <c r="AY337">
        <v>3462</v>
      </c>
      <c r="AZ337">
        <v>5563</v>
      </c>
      <c r="BA337">
        <v>50</v>
      </c>
      <c r="BB337">
        <v>407</v>
      </c>
      <c r="BC337">
        <v>6</v>
      </c>
      <c r="BD337">
        <v>66</v>
      </c>
    </row>
    <row r="338" spans="1:56" x14ac:dyDescent="0.25">
      <c r="A338" t="s">
        <v>601</v>
      </c>
      <c r="B338" t="s">
        <v>258</v>
      </c>
      <c r="C338">
        <f t="shared" si="119"/>
        <v>95538</v>
      </c>
      <c r="D338">
        <v>95538</v>
      </c>
      <c r="E338">
        <v>0</v>
      </c>
      <c r="F338">
        <f t="shared" si="120"/>
        <v>136243</v>
      </c>
      <c r="G338">
        <v>136243</v>
      </c>
      <c r="H338">
        <v>0</v>
      </c>
      <c r="I338">
        <f t="shared" si="108"/>
        <v>4806</v>
      </c>
      <c r="J338">
        <f t="shared" si="109"/>
        <v>7112</v>
      </c>
      <c r="K338">
        <f t="shared" si="110"/>
        <v>19009</v>
      </c>
      <c r="L338">
        <f t="shared" si="111"/>
        <v>1587</v>
      </c>
      <c r="M338">
        <f t="shared" si="112"/>
        <v>1081</v>
      </c>
      <c r="N338">
        <f t="shared" si="113"/>
        <v>3033</v>
      </c>
      <c r="O338">
        <f t="shared" si="114"/>
        <v>7000</v>
      </c>
      <c r="P338">
        <f t="shared" si="115"/>
        <v>15538</v>
      </c>
      <c r="Q338">
        <f t="shared" si="116"/>
        <v>22807</v>
      </c>
      <c r="R338">
        <f t="shared" si="117"/>
        <v>7572</v>
      </c>
      <c r="S338">
        <f t="shared" si="118"/>
        <v>1893</v>
      </c>
      <c r="U338">
        <v>13461</v>
      </c>
      <c r="V338">
        <v>2004</v>
      </c>
      <c r="W338">
        <v>5128</v>
      </c>
      <c r="X338">
        <v>1349</v>
      </c>
      <c r="Y338">
        <v>3835</v>
      </c>
      <c r="Z338">
        <v>8495</v>
      </c>
      <c r="AA338">
        <v>47750</v>
      </c>
      <c r="AB338">
        <v>12754</v>
      </c>
      <c r="AC338">
        <v>8422</v>
      </c>
      <c r="AD338">
        <v>1422</v>
      </c>
      <c r="AE338">
        <f t="shared" si="121"/>
        <v>25152</v>
      </c>
      <c r="AF338">
        <v>9141</v>
      </c>
      <c r="AG338">
        <v>4375</v>
      </c>
      <c r="AH338">
        <v>1328</v>
      </c>
      <c r="AI338">
        <f t="shared" si="122"/>
        <v>3047</v>
      </c>
      <c r="AJ338" t="s">
        <v>1035</v>
      </c>
      <c r="AK338">
        <v>3</v>
      </c>
      <c r="AL338">
        <v>1151</v>
      </c>
      <c r="AM338">
        <v>758</v>
      </c>
      <c r="AN338">
        <v>811</v>
      </c>
      <c r="AO338">
        <v>677</v>
      </c>
      <c r="AP338">
        <v>818</v>
      </c>
      <c r="AQ338">
        <v>656</v>
      </c>
      <c r="AR338">
        <v>146</v>
      </c>
      <c r="AT338">
        <v>268</v>
      </c>
      <c r="AU338">
        <v>1892</v>
      </c>
      <c r="AV338">
        <v>464</v>
      </c>
      <c r="AW338">
        <v>40</v>
      </c>
      <c r="AX338">
        <v>377</v>
      </c>
      <c r="AY338">
        <v>581</v>
      </c>
      <c r="AZ338">
        <v>-6129</v>
      </c>
      <c r="BA338">
        <v>199</v>
      </c>
      <c r="BB338">
        <v>2146</v>
      </c>
      <c r="BD338">
        <v>7060</v>
      </c>
    </row>
    <row r="339" spans="1:56" x14ac:dyDescent="0.25">
      <c r="A339" t="s">
        <v>599</v>
      </c>
      <c r="B339" t="s">
        <v>459</v>
      </c>
      <c r="C339">
        <f t="shared" si="119"/>
        <v>50320</v>
      </c>
      <c r="D339">
        <v>50458</v>
      </c>
      <c r="E339">
        <v>138</v>
      </c>
      <c r="F339">
        <f t="shared" si="120"/>
        <v>54771</v>
      </c>
      <c r="G339">
        <v>54909</v>
      </c>
      <c r="H339">
        <v>138</v>
      </c>
      <c r="I339">
        <f t="shared" si="108"/>
        <v>2283</v>
      </c>
      <c r="J339">
        <f t="shared" si="109"/>
        <v>10507</v>
      </c>
      <c r="K339">
        <f t="shared" si="110"/>
        <v>4034</v>
      </c>
      <c r="L339">
        <f t="shared" si="111"/>
        <v>1767</v>
      </c>
      <c r="M339">
        <f t="shared" si="112"/>
        <v>102</v>
      </c>
      <c r="N339">
        <f t="shared" si="113"/>
        <v>912</v>
      </c>
      <c r="O339">
        <f t="shared" si="114"/>
        <v>2174</v>
      </c>
      <c r="P339">
        <f t="shared" si="115"/>
        <v>8369</v>
      </c>
      <c r="Q339">
        <f t="shared" si="116"/>
        <v>10853</v>
      </c>
      <c r="R339">
        <f t="shared" si="117"/>
        <v>4826</v>
      </c>
      <c r="S339">
        <f t="shared" si="118"/>
        <v>750</v>
      </c>
      <c r="U339">
        <v>10663</v>
      </c>
      <c r="V339">
        <v>2144</v>
      </c>
      <c r="W339">
        <v>4738</v>
      </c>
      <c r="X339">
        <v>111</v>
      </c>
      <c r="Y339">
        <v>1688</v>
      </c>
      <c r="Z339">
        <v>2611</v>
      </c>
      <c r="AA339">
        <v>22332</v>
      </c>
      <c r="AB339">
        <v>6863</v>
      </c>
      <c r="AC339">
        <v>2324</v>
      </c>
      <c r="AD339">
        <v>329</v>
      </c>
      <c r="AE339">
        <f t="shared" si="121"/>
        <v>12816</v>
      </c>
      <c r="AF339">
        <v>5177</v>
      </c>
      <c r="AG339">
        <v>994</v>
      </c>
      <c r="AH339">
        <v>0</v>
      </c>
      <c r="AI339">
        <f t="shared" si="122"/>
        <v>994</v>
      </c>
      <c r="AJ339" t="s">
        <v>1199</v>
      </c>
      <c r="AK339">
        <v>225</v>
      </c>
      <c r="AL339">
        <v>19</v>
      </c>
      <c r="AM339">
        <v>14</v>
      </c>
      <c r="AN339">
        <v>337</v>
      </c>
      <c r="AO339">
        <v>173</v>
      </c>
      <c r="AP339">
        <v>264</v>
      </c>
      <c r="AQ339">
        <v>591</v>
      </c>
      <c r="AR339">
        <v>185</v>
      </c>
      <c r="AT339">
        <v>9</v>
      </c>
      <c r="AU339">
        <v>569</v>
      </c>
      <c r="AV339">
        <v>288</v>
      </c>
      <c r="AW339">
        <v>80</v>
      </c>
      <c r="AX339">
        <v>297</v>
      </c>
      <c r="AY339">
        <v>344</v>
      </c>
      <c r="AZ339">
        <v>6285</v>
      </c>
      <c r="BA339">
        <v>281</v>
      </c>
      <c r="BB339">
        <v>1682</v>
      </c>
      <c r="BC339">
        <v>6</v>
      </c>
      <c r="BD339">
        <v>1141</v>
      </c>
    </row>
    <row r="340" spans="1:56" x14ac:dyDescent="0.25">
      <c r="A340" t="s">
        <v>606</v>
      </c>
      <c r="B340" t="s">
        <v>284</v>
      </c>
      <c r="C340">
        <f t="shared" si="119"/>
        <v>118852</v>
      </c>
      <c r="D340">
        <v>122604</v>
      </c>
      <c r="E340">
        <v>3752</v>
      </c>
      <c r="F340">
        <f t="shared" si="120"/>
        <v>143673</v>
      </c>
      <c r="G340">
        <v>147425</v>
      </c>
      <c r="H340">
        <v>3752</v>
      </c>
      <c r="I340">
        <f t="shared" si="108"/>
        <v>9257</v>
      </c>
      <c r="J340">
        <f t="shared" si="109"/>
        <v>28065</v>
      </c>
      <c r="K340">
        <f t="shared" si="110"/>
        <v>5403</v>
      </c>
      <c r="L340">
        <f t="shared" si="111"/>
        <v>3817</v>
      </c>
      <c r="M340">
        <f t="shared" si="112"/>
        <v>952</v>
      </c>
      <c r="N340">
        <f t="shared" si="113"/>
        <v>5420</v>
      </c>
      <c r="O340">
        <f t="shared" si="114"/>
        <v>8899</v>
      </c>
      <c r="P340">
        <f t="shared" si="115"/>
        <v>20406</v>
      </c>
      <c r="Q340">
        <f t="shared" si="116"/>
        <v>20379</v>
      </c>
      <c r="R340">
        <f t="shared" si="117"/>
        <v>10172</v>
      </c>
      <c r="S340">
        <f t="shared" si="118"/>
        <v>1440</v>
      </c>
      <c r="U340">
        <v>21194</v>
      </c>
      <c r="V340">
        <v>4598</v>
      </c>
      <c r="W340">
        <v>13067</v>
      </c>
      <c r="X340">
        <v>1339</v>
      </c>
      <c r="Y340">
        <v>7606</v>
      </c>
      <c r="Z340">
        <v>12139</v>
      </c>
      <c r="AA340">
        <v>44872</v>
      </c>
      <c r="AB340">
        <v>12098</v>
      </c>
      <c r="AC340">
        <v>6448</v>
      </c>
      <c r="AD340">
        <v>2003</v>
      </c>
      <c r="AE340">
        <f t="shared" si="121"/>
        <v>24323</v>
      </c>
      <c r="AF340">
        <v>13554</v>
      </c>
      <c r="AG340">
        <v>4235</v>
      </c>
      <c r="AH340">
        <v>108</v>
      </c>
      <c r="AI340">
        <f t="shared" si="122"/>
        <v>4127</v>
      </c>
      <c r="AJ340" t="s">
        <v>1139</v>
      </c>
      <c r="AK340">
        <v>60</v>
      </c>
      <c r="AL340">
        <v>2627</v>
      </c>
      <c r="AM340">
        <v>1583</v>
      </c>
      <c r="AN340">
        <v>1799</v>
      </c>
      <c r="AO340">
        <v>1370</v>
      </c>
      <c r="AP340">
        <v>1870</v>
      </c>
      <c r="AQ340">
        <v>1844</v>
      </c>
      <c r="AR340">
        <v>342</v>
      </c>
      <c r="AT340">
        <v>387</v>
      </c>
      <c r="AU340">
        <v>3261</v>
      </c>
      <c r="AV340">
        <v>1520</v>
      </c>
      <c r="AW340">
        <v>148</v>
      </c>
      <c r="AX340">
        <v>633</v>
      </c>
      <c r="AY340">
        <v>991</v>
      </c>
      <c r="AZ340">
        <v>14800</v>
      </c>
      <c r="BB340">
        <v>3944</v>
      </c>
      <c r="BD340">
        <v>143</v>
      </c>
    </row>
    <row r="341" spans="1:56" x14ac:dyDescent="0.25">
      <c r="A341" t="s">
        <v>600</v>
      </c>
      <c r="B341" t="s">
        <v>329</v>
      </c>
      <c r="C341">
        <f t="shared" si="119"/>
        <v>33858</v>
      </c>
      <c r="D341">
        <v>34331</v>
      </c>
      <c r="E341">
        <v>473</v>
      </c>
      <c r="F341">
        <f t="shared" si="120"/>
        <v>31331</v>
      </c>
      <c r="G341">
        <v>31804</v>
      </c>
      <c r="H341">
        <v>473</v>
      </c>
      <c r="I341">
        <f t="shared" si="108"/>
        <v>1120</v>
      </c>
      <c r="J341">
        <f t="shared" si="109"/>
        <v>1339</v>
      </c>
      <c r="K341">
        <f t="shared" si="110"/>
        <v>6768</v>
      </c>
      <c r="L341">
        <f t="shared" si="111"/>
        <v>1787</v>
      </c>
      <c r="M341">
        <f t="shared" si="112"/>
        <v>28</v>
      </c>
      <c r="N341">
        <f t="shared" si="113"/>
        <v>1059</v>
      </c>
      <c r="O341">
        <f t="shared" si="114"/>
        <v>2628</v>
      </c>
      <c r="P341">
        <f t="shared" si="115"/>
        <v>4260</v>
      </c>
      <c r="Q341">
        <f t="shared" si="116"/>
        <v>7502</v>
      </c>
      <c r="R341">
        <f t="shared" si="117"/>
        <v>4898</v>
      </c>
      <c r="S341">
        <f t="shared" si="118"/>
        <v>930</v>
      </c>
      <c r="U341">
        <v>7830</v>
      </c>
      <c r="V341">
        <v>1818</v>
      </c>
      <c r="W341">
        <v>2404</v>
      </c>
      <c r="X341">
        <v>28</v>
      </c>
      <c r="Y341">
        <v>1246</v>
      </c>
      <c r="Z341">
        <v>2707</v>
      </c>
      <c r="AA341">
        <v>12250</v>
      </c>
      <c r="AB341">
        <v>3748</v>
      </c>
      <c r="AC341">
        <v>592</v>
      </c>
      <c r="AD341">
        <v>408</v>
      </c>
      <c r="AE341">
        <f t="shared" si="121"/>
        <v>7502</v>
      </c>
      <c r="AF341">
        <v>5108</v>
      </c>
      <c r="AG341">
        <v>940</v>
      </c>
      <c r="AH341">
        <v>0</v>
      </c>
      <c r="AI341">
        <f t="shared" si="122"/>
        <v>940</v>
      </c>
      <c r="AJ341" t="s">
        <v>1201</v>
      </c>
      <c r="AK341">
        <v>10</v>
      </c>
      <c r="AM341">
        <v>210</v>
      </c>
      <c r="AO341">
        <v>79</v>
      </c>
      <c r="AQ341">
        <v>187</v>
      </c>
      <c r="AU341">
        <v>392</v>
      </c>
      <c r="AW341">
        <v>31</v>
      </c>
      <c r="AY341">
        <v>211</v>
      </c>
      <c r="AZ341">
        <v>851</v>
      </c>
      <c r="BD341">
        <v>488</v>
      </c>
    </row>
    <row r="342" spans="1:56" x14ac:dyDescent="0.25">
      <c r="A342" t="s">
        <v>606</v>
      </c>
      <c r="B342" t="s">
        <v>285</v>
      </c>
      <c r="C342">
        <f t="shared" si="119"/>
        <v>50841</v>
      </c>
      <c r="D342">
        <v>52847</v>
      </c>
      <c r="E342">
        <v>2006</v>
      </c>
      <c r="F342">
        <f t="shared" si="120"/>
        <v>31438</v>
      </c>
      <c r="G342">
        <v>33444</v>
      </c>
      <c r="H342">
        <v>2006</v>
      </c>
      <c r="I342">
        <f t="shared" si="108"/>
        <v>1236</v>
      </c>
      <c r="J342">
        <f t="shared" si="109"/>
        <v>5445</v>
      </c>
      <c r="K342">
        <f t="shared" si="110"/>
        <v>4078</v>
      </c>
      <c r="L342">
        <f t="shared" si="111"/>
        <v>777</v>
      </c>
      <c r="M342">
        <f t="shared" si="112"/>
        <v>6714</v>
      </c>
      <c r="N342">
        <f t="shared" si="113"/>
        <v>850</v>
      </c>
      <c r="O342">
        <f t="shared" si="114"/>
        <v>1257</v>
      </c>
      <c r="P342">
        <f t="shared" si="115"/>
        <v>2553</v>
      </c>
      <c r="Q342">
        <f t="shared" si="116"/>
        <v>7132</v>
      </c>
      <c r="R342">
        <f t="shared" si="117"/>
        <v>2418</v>
      </c>
      <c r="S342">
        <f t="shared" si="118"/>
        <v>388</v>
      </c>
      <c r="U342">
        <v>7123</v>
      </c>
      <c r="V342">
        <v>1010</v>
      </c>
      <c r="W342">
        <v>941</v>
      </c>
      <c r="X342">
        <v>6784</v>
      </c>
      <c r="Y342">
        <v>1184</v>
      </c>
      <c r="Z342">
        <v>1928</v>
      </c>
      <c r="AA342">
        <v>10334</v>
      </c>
      <c r="AB342">
        <v>2178</v>
      </c>
      <c r="AC342">
        <v>409</v>
      </c>
      <c r="AD342">
        <v>208</v>
      </c>
      <c r="AE342">
        <f t="shared" si="121"/>
        <v>7539</v>
      </c>
      <c r="AF342">
        <v>3146</v>
      </c>
      <c r="AG342">
        <v>20397</v>
      </c>
      <c r="AH342">
        <v>19380</v>
      </c>
      <c r="AI342">
        <f t="shared" si="122"/>
        <v>1017</v>
      </c>
      <c r="AJ342" t="s">
        <v>1057</v>
      </c>
      <c r="AK342">
        <v>49</v>
      </c>
      <c r="AL342">
        <v>580</v>
      </c>
      <c r="AM342">
        <v>208</v>
      </c>
      <c r="AN342">
        <v>520</v>
      </c>
      <c r="AO342">
        <v>281</v>
      </c>
      <c r="AP342">
        <v>390</v>
      </c>
      <c r="AQ342">
        <v>233</v>
      </c>
      <c r="AR342">
        <v>101</v>
      </c>
      <c r="AT342">
        <v>70</v>
      </c>
      <c r="AU342">
        <v>137</v>
      </c>
      <c r="AV342">
        <v>185</v>
      </c>
      <c r="AW342">
        <v>48</v>
      </c>
      <c r="AX342">
        <v>185</v>
      </c>
      <c r="AY342">
        <v>197</v>
      </c>
      <c r="AZ342">
        <v>2848</v>
      </c>
      <c r="BA342">
        <v>83</v>
      </c>
      <c r="BB342">
        <v>324</v>
      </c>
      <c r="BD342">
        <v>242</v>
      </c>
    </row>
    <row r="343" spans="1:56" x14ac:dyDescent="0.25">
      <c r="A343" t="s">
        <v>600</v>
      </c>
      <c r="B343" t="s">
        <v>330</v>
      </c>
      <c r="C343">
        <f t="shared" si="119"/>
        <v>515299</v>
      </c>
      <c r="D343">
        <v>547134</v>
      </c>
      <c r="E343">
        <v>31835</v>
      </c>
      <c r="F343">
        <f t="shared" si="120"/>
        <v>473661</v>
      </c>
      <c r="G343">
        <v>505496</v>
      </c>
      <c r="H343">
        <v>31835</v>
      </c>
      <c r="I343">
        <f t="shared" si="108"/>
        <v>24077</v>
      </c>
      <c r="J343">
        <f t="shared" si="109"/>
        <v>93311</v>
      </c>
      <c r="K343">
        <f t="shared" si="110"/>
        <v>61632</v>
      </c>
      <c r="L343">
        <f t="shared" si="111"/>
        <v>14381</v>
      </c>
      <c r="M343">
        <f t="shared" si="112"/>
        <v>1726</v>
      </c>
      <c r="N343">
        <f t="shared" si="113"/>
        <v>18733</v>
      </c>
      <c r="O343">
        <f t="shared" si="114"/>
        <v>22653</v>
      </c>
      <c r="P343">
        <f t="shared" si="115"/>
        <v>89446</v>
      </c>
      <c r="Q343">
        <f t="shared" si="116"/>
        <v>109920</v>
      </c>
      <c r="R343">
        <f t="shared" si="117"/>
        <v>39613</v>
      </c>
      <c r="S343">
        <f t="shared" si="118"/>
        <v>8496</v>
      </c>
      <c r="U343">
        <v>112586</v>
      </c>
      <c r="V343">
        <v>15318</v>
      </c>
      <c r="W343">
        <v>31376</v>
      </c>
      <c r="X343">
        <v>2911</v>
      </c>
      <c r="Y343">
        <v>25288</v>
      </c>
      <c r="Z343">
        <v>29271</v>
      </c>
      <c r="AA343">
        <v>210493</v>
      </c>
      <c r="AB343">
        <v>77770</v>
      </c>
      <c r="AC343">
        <v>10219</v>
      </c>
      <c r="AD343">
        <v>7806</v>
      </c>
      <c r="AE343">
        <f t="shared" si="121"/>
        <v>114698</v>
      </c>
      <c r="AF343">
        <v>50780</v>
      </c>
      <c r="AG343">
        <v>69111</v>
      </c>
      <c r="AH343">
        <v>50101</v>
      </c>
      <c r="AI343">
        <f t="shared" si="122"/>
        <v>19010</v>
      </c>
      <c r="AJ343" t="s">
        <v>1100</v>
      </c>
      <c r="AK343">
        <v>477</v>
      </c>
      <c r="AL343">
        <v>10037</v>
      </c>
      <c r="AM343">
        <v>6904</v>
      </c>
      <c r="AN343">
        <v>4263</v>
      </c>
      <c r="AO343">
        <v>1239</v>
      </c>
      <c r="AP343">
        <v>5379</v>
      </c>
      <c r="AQ343">
        <v>5488</v>
      </c>
      <c r="AR343">
        <v>1067</v>
      </c>
      <c r="AT343">
        <v>1185</v>
      </c>
      <c r="AU343">
        <v>2196</v>
      </c>
      <c r="AV343">
        <v>16135</v>
      </c>
      <c r="AW343">
        <v>54</v>
      </c>
      <c r="AX343">
        <v>883</v>
      </c>
      <c r="AY343">
        <v>7658</v>
      </c>
      <c r="AZ343">
        <v>43296</v>
      </c>
      <c r="BA343">
        <v>61</v>
      </c>
      <c r="BB343">
        <v>4717</v>
      </c>
      <c r="BD343">
        <v>6349</v>
      </c>
    </row>
    <row r="344" spans="1:56" x14ac:dyDescent="0.25">
      <c r="A344" t="s">
        <v>601</v>
      </c>
      <c r="B344" t="s">
        <v>259</v>
      </c>
      <c r="C344">
        <f t="shared" si="119"/>
        <v>87709</v>
      </c>
      <c r="D344">
        <v>90591</v>
      </c>
      <c r="E344">
        <v>2882</v>
      </c>
      <c r="F344">
        <f t="shared" si="120"/>
        <v>86627</v>
      </c>
      <c r="G344">
        <v>89509</v>
      </c>
      <c r="H344">
        <v>2882</v>
      </c>
      <c r="I344">
        <f t="shared" si="108"/>
        <v>3273</v>
      </c>
      <c r="J344">
        <f t="shared" si="109"/>
        <v>8757</v>
      </c>
      <c r="K344">
        <f t="shared" si="110"/>
        <v>11195</v>
      </c>
      <c r="L344">
        <f t="shared" si="111"/>
        <v>2629</v>
      </c>
      <c r="M344">
        <f t="shared" si="112"/>
        <v>14561</v>
      </c>
      <c r="N344">
        <f t="shared" si="113"/>
        <v>3317</v>
      </c>
      <c r="O344">
        <f t="shared" si="114"/>
        <v>4457</v>
      </c>
      <c r="P344">
        <f t="shared" si="115"/>
        <v>9756</v>
      </c>
      <c r="Q344">
        <f t="shared" si="116"/>
        <v>11786</v>
      </c>
      <c r="R344">
        <f t="shared" si="117"/>
        <v>6710</v>
      </c>
      <c r="S344">
        <f t="shared" si="118"/>
        <v>2374</v>
      </c>
      <c r="U344">
        <v>15843</v>
      </c>
      <c r="V344">
        <v>3133</v>
      </c>
      <c r="W344">
        <v>4845</v>
      </c>
      <c r="X344">
        <v>14919</v>
      </c>
      <c r="Y344">
        <v>4278</v>
      </c>
      <c r="Z344">
        <v>5090</v>
      </c>
      <c r="AA344">
        <v>22924</v>
      </c>
      <c r="AB344">
        <v>7043</v>
      </c>
      <c r="AC344">
        <v>2772</v>
      </c>
      <c r="AD344">
        <v>2</v>
      </c>
      <c r="AE344">
        <f t="shared" si="121"/>
        <v>13107</v>
      </c>
      <c r="AF344">
        <v>8081</v>
      </c>
      <c r="AG344">
        <v>11478</v>
      </c>
      <c r="AH344">
        <v>8095</v>
      </c>
      <c r="AI344">
        <f t="shared" si="122"/>
        <v>3383</v>
      </c>
      <c r="AJ344" t="s">
        <v>1037</v>
      </c>
      <c r="AK344">
        <v>0</v>
      </c>
      <c r="AL344">
        <v>1009</v>
      </c>
      <c r="AM344">
        <v>800</v>
      </c>
      <c r="AN344">
        <v>571</v>
      </c>
      <c r="AO344">
        <v>190</v>
      </c>
      <c r="AP344">
        <v>443</v>
      </c>
      <c r="AQ344">
        <v>699</v>
      </c>
      <c r="AR344">
        <v>262</v>
      </c>
      <c r="AS344">
        <v>44</v>
      </c>
      <c r="AT344">
        <v>314</v>
      </c>
      <c r="AU344">
        <v>395</v>
      </c>
      <c r="AV344">
        <v>769</v>
      </c>
      <c r="AX344">
        <v>504</v>
      </c>
      <c r="AY344">
        <v>1134</v>
      </c>
      <c r="AZ344">
        <v>3514</v>
      </c>
      <c r="BA344">
        <v>11</v>
      </c>
      <c r="BB344">
        <v>1310</v>
      </c>
      <c r="BD344">
        <v>61</v>
      </c>
    </row>
    <row r="345" spans="1:56" x14ac:dyDescent="0.25">
      <c r="A345" t="s">
        <v>600</v>
      </c>
      <c r="B345" t="s">
        <v>331</v>
      </c>
      <c r="C345">
        <f t="shared" si="119"/>
        <v>49888</v>
      </c>
      <c r="D345">
        <v>52902</v>
      </c>
      <c r="E345">
        <v>3014</v>
      </c>
      <c r="F345">
        <f t="shared" si="120"/>
        <v>45838</v>
      </c>
      <c r="G345">
        <v>48852</v>
      </c>
      <c r="H345">
        <v>3014</v>
      </c>
      <c r="I345">
        <f t="shared" si="108"/>
        <v>2391</v>
      </c>
      <c r="J345">
        <f t="shared" si="109"/>
        <v>999</v>
      </c>
      <c r="K345">
        <f t="shared" si="110"/>
        <v>11225</v>
      </c>
      <c r="L345">
        <f t="shared" si="111"/>
        <v>2682</v>
      </c>
      <c r="M345">
        <f t="shared" si="112"/>
        <v>1596</v>
      </c>
      <c r="N345">
        <f t="shared" si="113"/>
        <v>1665</v>
      </c>
      <c r="O345">
        <f t="shared" si="114"/>
        <v>3304</v>
      </c>
      <c r="P345">
        <f t="shared" si="115"/>
        <v>9894</v>
      </c>
      <c r="Q345">
        <f t="shared" si="116"/>
        <v>7399</v>
      </c>
      <c r="R345">
        <f t="shared" si="117"/>
        <v>4294</v>
      </c>
      <c r="S345">
        <f t="shared" si="118"/>
        <v>2158</v>
      </c>
      <c r="U345">
        <v>12368</v>
      </c>
      <c r="V345">
        <v>2718</v>
      </c>
      <c r="W345">
        <v>6344</v>
      </c>
      <c r="X345">
        <v>1596</v>
      </c>
      <c r="Y345">
        <v>1877</v>
      </c>
      <c r="Z345">
        <v>3529</v>
      </c>
      <c r="AA345">
        <v>17295</v>
      </c>
      <c r="AB345">
        <v>7635</v>
      </c>
      <c r="AC345">
        <v>1409</v>
      </c>
      <c r="AD345">
        <v>850</v>
      </c>
      <c r="AE345">
        <f t="shared" si="121"/>
        <v>7401</v>
      </c>
      <c r="AF345">
        <v>4704</v>
      </c>
      <c r="AG345">
        <v>2471</v>
      </c>
      <c r="AH345">
        <v>115</v>
      </c>
      <c r="AI345">
        <f t="shared" si="122"/>
        <v>2356</v>
      </c>
      <c r="AJ345" t="s">
        <v>1099</v>
      </c>
      <c r="AK345">
        <v>198</v>
      </c>
      <c r="AM345">
        <v>410</v>
      </c>
      <c r="AO345">
        <v>225</v>
      </c>
      <c r="AQ345">
        <v>212</v>
      </c>
      <c r="AU345">
        <v>1164</v>
      </c>
      <c r="AW345">
        <v>36</v>
      </c>
      <c r="AY345">
        <v>144</v>
      </c>
      <c r="AZ345">
        <v>999</v>
      </c>
      <c r="BA345">
        <v>2</v>
      </c>
    </row>
    <row r="346" spans="1:56" x14ac:dyDescent="0.25">
      <c r="A346" t="s">
        <v>605</v>
      </c>
      <c r="B346" t="s">
        <v>499</v>
      </c>
      <c r="C346">
        <f t="shared" si="119"/>
        <v>53901</v>
      </c>
      <c r="D346">
        <v>54082</v>
      </c>
      <c r="E346">
        <v>181</v>
      </c>
      <c r="F346">
        <f t="shared" si="120"/>
        <v>51417</v>
      </c>
      <c r="G346">
        <v>51598</v>
      </c>
      <c r="H346">
        <v>181</v>
      </c>
      <c r="I346">
        <f t="shared" si="108"/>
        <v>964</v>
      </c>
      <c r="J346">
        <f t="shared" si="109"/>
        <v>6767</v>
      </c>
      <c r="K346">
        <f t="shared" si="110"/>
        <v>12870</v>
      </c>
      <c r="L346">
        <f t="shared" si="111"/>
        <v>1366</v>
      </c>
      <c r="M346">
        <f t="shared" si="112"/>
        <v>487</v>
      </c>
      <c r="N346">
        <f t="shared" si="113"/>
        <v>1281</v>
      </c>
      <c r="O346">
        <f t="shared" si="114"/>
        <v>2746</v>
      </c>
      <c r="P346">
        <f t="shared" si="115"/>
        <v>7163</v>
      </c>
      <c r="Q346">
        <f t="shared" si="116"/>
        <v>10743</v>
      </c>
      <c r="R346">
        <f t="shared" si="117"/>
        <v>4481</v>
      </c>
      <c r="S346">
        <f t="shared" si="118"/>
        <v>156</v>
      </c>
      <c r="U346">
        <v>15915</v>
      </c>
      <c r="V346">
        <v>1670</v>
      </c>
      <c r="W346">
        <v>5682</v>
      </c>
      <c r="X346">
        <v>754</v>
      </c>
      <c r="Y346">
        <v>1674</v>
      </c>
      <c r="Z346">
        <v>3630</v>
      </c>
      <c r="AA346">
        <v>18983</v>
      </c>
      <c r="AB346">
        <v>6363</v>
      </c>
      <c r="AC346">
        <v>382</v>
      </c>
      <c r="AD346">
        <v>435</v>
      </c>
      <c r="AE346">
        <f t="shared" si="121"/>
        <v>11803</v>
      </c>
      <c r="AF346">
        <v>4715</v>
      </c>
      <c r="AG346">
        <v>1059</v>
      </c>
      <c r="AH346">
        <v>5</v>
      </c>
      <c r="AI346">
        <f t="shared" si="122"/>
        <v>1054</v>
      </c>
      <c r="AJ346" t="s">
        <v>963</v>
      </c>
      <c r="AK346">
        <v>0</v>
      </c>
      <c r="AL346">
        <v>898</v>
      </c>
      <c r="AM346">
        <v>40</v>
      </c>
      <c r="AN346">
        <v>194</v>
      </c>
      <c r="AO346">
        <v>204</v>
      </c>
      <c r="AP346">
        <v>680</v>
      </c>
      <c r="AQ346">
        <v>320</v>
      </c>
      <c r="AR346">
        <v>73</v>
      </c>
      <c r="AS346">
        <v>18</v>
      </c>
      <c r="AT346">
        <v>249</v>
      </c>
      <c r="AU346">
        <v>84</v>
      </c>
      <c r="AV346">
        <v>545</v>
      </c>
      <c r="AX346">
        <v>304</v>
      </c>
      <c r="AY346">
        <v>292</v>
      </c>
      <c r="AZ346">
        <v>2753</v>
      </c>
      <c r="BA346">
        <v>6</v>
      </c>
      <c r="BB346">
        <v>1054</v>
      </c>
      <c r="BD346">
        <v>17</v>
      </c>
    </row>
    <row r="347" spans="1:56" x14ac:dyDescent="0.25">
      <c r="A347" t="s">
        <v>606</v>
      </c>
      <c r="B347" t="s">
        <v>286</v>
      </c>
      <c r="C347">
        <f t="shared" si="119"/>
        <v>155052</v>
      </c>
      <c r="D347">
        <v>162247</v>
      </c>
      <c r="E347">
        <v>7195</v>
      </c>
      <c r="F347">
        <f t="shared" si="120"/>
        <v>148833</v>
      </c>
      <c r="G347">
        <v>156028</v>
      </c>
      <c r="H347">
        <v>7195</v>
      </c>
      <c r="I347">
        <f t="shared" si="108"/>
        <v>6359</v>
      </c>
      <c r="J347">
        <f t="shared" si="109"/>
        <v>26744</v>
      </c>
      <c r="K347">
        <f t="shared" si="110"/>
        <v>22813</v>
      </c>
      <c r="L347">
        <f t="shared" si="111"/>
        <v>5694</v>
      </c>
      <c r="M347">
        <f t="shared" si="112"/>
        <v>880</v>
      </c>
      <c r="N347">
        <f t="shared" si="113"/>
        <v>2762</v>
      </c>
      <c r="O347">
        <f t="shared" si="114"/>
        <v>11984</v>
      </c>
      <c r="P347">
        <f t="shared" si="115"/>
        <v>33766</v>
      </c>
      <c r="Q347">
        <f t="shared" si="116"/>
        <v>33638</v>
      </c>
      <c r="R347">
        <f t="shared" si="117"/>
        <v>11377</v>
      </c>
      <c r="S347">
        <f t="shared" si="118"/>
        <v>1123</v>
      </c>
      <c r="U347">
        <v>37506</v>
      </c>
      <c r="V347">
        <v>7117</v>
      </c>
      <c r="W347">
        <v>8290</v>
      </c>
      <c r="X347">
        <v>885</v>
      </c>
      <c r="Y347">
        <v>5103</v>
      </c>
      <c r="Z347">
        <v>14635</v>
      </c>
      <c r="AA347">
        <v>70890</v>
      </c>
      <c r="AB347">
        <v>26934</v>
      </c>
      <c r="AC347">
        <v>4650</v>
      </c>
      <c r="AD347">
        <v>2470</v>
      </c>
      <c r="AE347">
        <f t="shared" si="121"/>
        <v>36836</v>
      </c>
      <c r="AF347">
        <v>13383</v>
      </c>
      <c r="AG347">
        <v>4438</v>
      </c>
      <c r="AH347">
        <v>364</v>
      </c>
      <c r="AI347">
        <f t="shared" si="122"/>
        <v>4074</v>
      </c>
      <c r="AJ347" t="s">
        <v>1060</v>
      </c>
      <c r="AK347">
        <v>106</v>
      </c>
      <c r="AL347">
        <v>2845</v>
      </c>
      <c r="AM347">
        <v>850</v>
      </c>
      <c r="AN347">
        <v>1156</v>
      </c>
      <c r="AO347">
        <v>822</v>
      </c>
      <c r="AP347">
        <v>1829</v>
      </c>
      <c r="AQ347">
        <v>1763</v>
      </c>
      <c r="AR347">
        <v>578</v>
      </c>
      <c r="AS347">
        <v>5</v>
      </c>
      <c r="AU347">
        <v>1437</v>
      </c>
      <c r="AV347">
        <v>2110</v>
      </c>
      <c r="AW347">
        <v>46</v>
      </c>
      <c r="AX347">
        <v>1377</v>
      </c>
      <c r="AY347">
        <v>1330</v>
      </c>
      <c r="AZ347">
        <v>13363</v>
      </c>
      <c r="BB347">
        <v>3198</v>
      </c>
      <c r="BD347">
        <v>288</v>
      </c>
    </row>
    <row r="348" spans="1:56" x14ac:dyDescent="0.25">
      <c r="A348" t="s">
        <v>601</v>
      </c>
      <c r="B348" t="s">
        <v>260</v>
      </c>
      <c r="C348">
        <f t="shared" si="119"/>
        <v>120903</v>
      </c>
      <c r="D348">
        <v>122513</v>
      </c>
      <c r="E348">
        <v>1610</v>
      </c>
      <c r="F348" s="312">
        <f t="shared" si="120"/>
        <v>120903</v>
      </c>
      <c r="G348" s="312">
        <v>122513</v>
      </c>
      <c r="H348">
        <v>1610</v>
      </c>
      <c r="I348">
        <f t="shared" si="108"/>
        <v>4812</v>
      </c>
      <c r="J348">
        <f t="shared" si="109"/>
        <v>21673</v>
      </c>
      <c r="K348">
        <f t="shared" si="110"/>
        <v>11158</v>
      </c>
      <c r="L348">
        <f t="shared" si="111"/>
        <v>2557</v>
      </c>
      <c r="M348">
        <f t="shared" si="112"/>
        <v>9691</v>
      </c>
      <c r="N348">
        <f t="shared" si="113"/>
        <v>3605</v>
      </c>
      <c r="O348">
        <f t="shared" si="114"/>
        <v>6362</v>
      </c>
      <c r="P348">
        <f t="shared" si="115"/>
        <v>20607</v>
      </c>
      <c r="Q348">
        <f t="shared" si="116"/>
        <v>25456</v>
      </c>
      <c r="R348">
        <f t="shared" si="117"/>
        <v>8085</v>
      </c>
      <c r="S348">
        <f t="shared" si="118"/>
        <v>1317</v>
      </c>
      <c r="U348">
        <v>26425</v>
      </c>
      <c r="V348">
        <v>2766</v>
      </c>
      <c r="W348">
        <v>5224</v>
      </c>
      <c r="X348">
        <v>10040</v>
      </c>
      <c r="Y348">
        <v>5382</v>
      </c>
      <c r="Z348">
        <v>8069</v>
      </c>
      <c r="AA348">
        <v>49668</v>
      </c>
      <c r="AB348">
        <v>15852</v>
      </c>
      <c r="AC348">
        <v>5508</v>
      </c>
      <c r="AD348">
        <v>0</v>
      </c>
      <c r="AE348">
        <f t="shared" si="121"/>
        <v>28308</v>
      </c>
      <c r="AF348">
        <v>9885</v>
      </c>
      <c r="AG348">
        <v>5054</v>
      </c>
      <c r="AH348">
        <v>3574</v>
      </c>
      <c r="AI348">
        <f t="shared" si="122"/>
        <v>1480</v>
      </c>
      <c r="AJ348" t="s">
        <v>1038</v>
      </c>
      <c r="AK348">
        <v>6</v>
      </c>
      <c r="AL348">
        <v>157</v>
      </c>
      <c r="AM348">
        <v>1035</v>
      </c>
      <c r="AN348">
        <v>765</v>
      </c>
      <c r="AO348">
        <v>591</v>
      </c>
      <c r="AP348">
        <v>1116</v>
      </c>
      <c r="AQ348">
        <v>1392</v>
      </c>
      <c r="AR348">
        <v>385</v>
      </c>
      <c r="AS348">
        <v>28</v>
      </c>
      <c r="AT348">
        <v>321</v>
      </c>
      <c r="AU348">
        <v>602</v>
      </c>
      <c r="AV348">
        <v>1006</v>
      </c>
      <c r="AW348">
        <v>10</v>
      </c>
      <c r="AX348">
        <v>199</v>
      </c>
      <c r="AY348">
        <v>885</v>
      </c>
      <c r="AZ348">
        <v>14382</v>
      </c>
      <c r="BA348">
        <v>203</v>
      </c>
      <c r="BB348">
        <v>2649</v>
      </c>
      <c r="BC348">
        <v>60</v>
      </c>
      <c r="BD348">
        <v>693</v>
      </c>
    </row>
    <row r="349" spans="1:56" x14ac:dyDescent="0.25">
      <c r="A349" t="s">
        <v>603</v>
      </c>
      <c r="B349" t="s">
        <v>385</v>
      </c>
      <c r="C349">
        <f t="shared" si="119"/>
        <v>357686</v>
      </c>
      <c r="D349">
        <v>369479</v>
      </c>
      <c r="E349">
        <v>11793</v>
      </c>
      <c r="F349">
        <f t="shared" si="120"/>
        <v>370662</v>
      </c>
      <c r="G349">
        <v>382455</v>
      </c>
      <c r="H349">
        <v>11793</v>
      </c>
      <c r="I349">
        <f t="shared" si="108"/>
        <v>23371</v>
      </c>
      <c r="J349">
        <f t="shared" si="109"/>
        <v>73454</v>
      </c>
      <c r="K349">
        <f t="shared" si="110"/>
        <v>26557</v>
      </c>
      <c r="L349">
        <f t="shared" si="111"/>
        <v>10089</v>
      </c>
      <c r="M349">
        <f t="shared" si="112"/>
        <v>2726</v>
      </c>
      <c r="N349">
        <f t="shared" si="113"/>
        <v>12398</v>
      </c>
      <c r="O349">
        <f t="shared" si="114"/>
        <v>24203</v>
      </c>
      <c r="P349">
        <f t="shared" si="115"/>
        <v>68468</v>
      </c>
      <c r="Q349">
        <f t="shared" si="116"/>
        <v>74878</v>
      </c>
      <c r="R349">
        <f t="shared" si="117"/>
        <v>17452</v>
      </c>
      <c r="S349">
        <f t="shared" si="118"/>
        <v>5936</v>
      </c>
      <c r="U349">
        <v>65510</v>
      </c>
      <c r="V349">
        <v>13048</v>
      </c>
      <c r="W349">
        <v>24826</v>
      </c>
      <c r="X349">
        <v>4630</v>
      </c>
      <c r="Y349">
        <v>24490</v>
      </c>
      <c r="Z349">
        <v>33245</v>
      </c>
      <c r="AA349">
        <v>163612</v>
      </c>
      <c r="AB349">
        <v>58983</v>
      </c>
      <c r="AC349">
        <v>8381</v>
      </c>
      <c r="AD349">
        <v>11809</v>
      </c>
      <c r="AE349">
        <f t="shared" si="121"/>
        <v>84439</v>
      </c>
      <c r="AF349">
        <v>22182</v>
      </c>
      <c r="AG349">
        <v>17936</v>
      </c>
      <c r="AH349">
        <v>8151</v>
      </c>
      <c r="AI349">
        <f t="shared" si="122"/>
        <v>9785</v>
      </c>
      <c r="AJ349" t="s">
        <v>1140</v>
      </c>
      <c r="AK349">
        <v>14</v>
      </c>
      <c r="AL349">
        <v>3835</v>
      </c>
      <c r="AM349">
        <v>1291</v>
      </c>
      <c r="AN349">
        <v>3439</v>
      </c>
      <c r="AO349">
        <v>4785</v>
      </c>
      <c r="AP349">
        <v>4257</v>
      </c>
      <c r="AQ349">
        <v>10675</v>
      </c>
      <c r="AR349">
        <v>1417</v>
      </c>
      <c r="AS349">
        <v>420</v>
      </c>
      <c r="AT349">
        <v>1484</v>
      </c>
      <c r="AU349">
        <v>119</v>
      </c>
      <c r="AV349">
        <v>2911</v>
      </c>
      <c r="AW349">
        <v>115</v>
      </c>
      <c r="AX349">
        <v>2844</v>
      </c>
      <c r="AY349">
        <v>4864</v>
      </c>
      <c r="AZ349">
        <v>34089</v>
      </c>
      <c r="BA349">
        <v>1088</v>
      </c>
      <c r="BB349">
        <v>8473</v>
      </c>
      <c r="BD349">
        <v>10705</v>
      </c>
    </row>
    <row r="350" spans="1:56" x14ac:dyDescent="0.25">
      <c r="A350" t="s">
        <v>603</v>
      </c>
      <c r="B350" t="s">
        <v>386</v>
      </c>
      <c r="C350">
        <f t="shared" si="119"/>
        <v>19817</v>
      </c>
      <c r="D350">
        <v>19870</v>
      </c>
      <c r="E350">
        <v>53</v>
      </c>
      <c r="F350">
        <f t="shared" si="120"/>
        <v>19604</v>
      </c>
      <c r="G350">
        <v>19657</v>
      </c>
      <c r="H350">
        <v>53</v>
      </c>
      <c r="I350">
        <f t="shared" si="108"/>
        <v>1441</v>
      </c>
      <c r="J350">
        <f t="shared" si="109"/>
        <v>5322</v>
      </c>
      <c r="K350">
        <f t="shared" si="110"/>
        <v>3285</v>
      </c>
      <c r="L350">
        <f t="shared" si="111"/>
        <v>672</v>
      </c>
      <c r="M350">
        <f t="shared" si="112"/>
        <v>73</v>
      </c>
      <c r="N350">
        <f t="shared" si="113"/>
        <v>297</v>
      </c>
      <c r="O350">
        <f t="shared" si="114"/>
        <v>1000</v>
      </c>
      <c r="P350">
        <f t="shared" si="115"/>
        <v>1461</v>
      </c>
      <c r="Q350">
        <f t="shared" si="116"/>
        <v>3308</v>
      </c>
      <c r="R350">
        <f t="shared" si="117"/>
        <v>1618</v>
      </c>
      <c r="S350">
        <f t="shared" si="118"/>
        <v>359</v>
      </c>
      <c r="U350">
        <v>5978</v>
      </c>
      <c r="V350">
        <v>880</v>
      </c>
      <c r="W350">
        <v>1595</v>
      </c>
      <c r="X350">
        <v>73</v>
      </c>
      <c r="Y350">
        <v>488</v>
      </c>
      <c r="Z350">
        <v>1844</v>
      </c>
      <c r="AA350">
        <v>5361</v>
      </c>
      <c r="AB350">
        <v>1636</v>
      </c>
      <c r="AC350">
        <v>0</v>
      </c>
      <c r="AD350">
        <v>79</v>
      </c>
      <c r="AE350">
        <f t="shared" si="121"/>
        <v>3646</v>
      </c>
      <c r="AF350">
        <v>2405</v>
      </c>
      <c r="AG350">
        <v>1246</v>
      </c>
      <c r="AH350">
        <v>271</v>
      </c>
      <c r="AI350">
        <f t="shared" si="122"/>
        <v>975</v>
      </c>
      <c r="AJ350" t="s">
        <v>1141</v>
      </c>
      <c r="AK350">
        <v>20</v>
      </c>
      <c r="AL350">
        <v>596</v>
      </c>
      <c r="AM350">
        <v>473</v>
      </c>
      <c r="AN350">
        <v>314</v>
      </c>
      <c r="AO350">
        <v>160</v>
      </c>
      <c r="AP350">
        <v>684</v>
      </c>
      <c r="AQ350">
        <v>158</v>
      </c>
      <c r="AR350">
        <v>33</v>
      </c>
      <c r="AU350">
        <v>481</v>
      </c>
      <c r="AV350">
        <v>351</v>
      </c>
      <c r="AW350">
        <v>9</v>
      </c>
      <c r="AX350">
        <v>199</v>
      </c>
      <c r="AY350">
        <v>139</v>
      </c>
      <c r="AZ350">
        <v>2554</v>
      </c>
      <c r="BA350">
        <v>1</v>
      </c>
      <c r="BB350">
        <v>337</v>
      </c>
      <c r="BD350">
        <v>254</v>
      </c>
    </row>
    <row r="351" spans="1:56" x14ac:dyDescent="0.25">
      <c r="A351" t="s">
        <v>603</v>
      </c>
      <c r="B351" t="s">
        <v>387</v>
      </c>
      <c r="C351">
        <f t="shared" si="119"/>
        <v>106524</v>
      </c>
      <c r="D351">
        <v>112297</v>
      </c>
      <c r="E351">
        <v>5773</v>
      </c>
      <c r="F351">
        <f t="shared" si="120"/>
        <v>94251</v>
      </c>
      <c r="G351">
        <v>100024</v>
      </c>
      <c r="H351">
        <v>5773</v>
      </c>
      <c r="I351">
        <f t="shared" si="108"/>
        <v>5467</v>
      </c>
      <c r="J351">
        <f t="shared" si="109"/>
        <v>17073</v>
      </c>
      <c r="K351">
        <f t="shared" si="110"/>
        <v>12183</v>
      </c>
      <c r="L351">
        <f t="shared" si="111"/>
        <v>2539</v>
      </c>
      <c r="M351">
        <f t="shared" si="112"/>
        <v>94</v>
      </c>
      <c r="N351">
        <f t="shared" si="113"/>
        <v>2481</v>
      </c>
      <c r="O351">
        <f t="shared" si="114"/>
        <v>5481</v>
      </c>
      <c r="P351">
        <f t="shared" si="115"/>
        <v>13718</v>
      </c>
      <c r="Q351">
        <f t="shared" si="116"/>
        <v>15424</v>
      </c>
      <c r="R351">
        <f t="shared" si="117"/>
        <v>9255</v>
      </c>
      <c r="S351">
        <f t="shared" si="118"/>
        <v>2872</v>
      </c>
      <c r="U351">
        <v>23476</v>
      </c>
      <c r="V351">
        <v>3044</v>
      </c>
      <c r="W351">
        <v>4766</v>
      </c>
      <c r="X351">
        <v>289</v>
      </c>
      <c r="Y351">
        <v>3593</v>
      </c>
      <c r="Z351">
        <v>7018</v>
      </c>
      <c r="AA351">
        <v>30422</v>
      </c>
      <c r="AB351">
        <v>11419</v>
      </c>
      <c r="AC351">
        <v>2011</v>
      </c>
      <c r="AD351">
        <v>395</v>
      </c>
      <c r="AE351">
        <f t="shared" si="121"/>
        <v>16597</v>
      </c>
      <c r="AF351">
        <v>12214</v>
      </c>
      <c r="AG351">
        <v>27475</v>
      </c>
      <c r="AH351">
        <v>23392</v>
      </c>
      <c r="AI351">
        <f t="shared" si="122"/>
        <v>4083</v>
      </c>
      <c r="AJ351" t="s">
        <v>1280</v>
      </c>
      <c r="AK351">
        <v>41</v>
      </c>
      <c r="AL351">
        <v>1170</v>
      </c>
      <c r="AM351">
        <v>1655</v>
      </c>
      <c r="AN351">
        <v>1304</v>
      </c>
      <c r="AO351">
        <v>700</v>
      </c>
      <c r="AP351">
        <v>837</v>
      </c>
      <c r="AQ351">
        <v>785</v>
      </c>
      <c r="AR351">
        <v>327</v>
      </c>
      <c r="AT351">
        <v>195</v>
      </c>
      <c r="AU351">
        <v>1417</v>
      </c>
      <c r="AV351">
        <v>1031</v>
      </c>
      <c r="AW351">
        <v>51</v>
      </c>
      <c r="AX351">
        <v>454</v>
      </c>
      <c r="AY351">
        <v>818</v>
      </c>
      <c r="AZ351">
        <v>10475</v>
      </c>
      <c r="BB351">
        <v>1173</v>
      </c>
      <c r="BD351">
        <v>107</v>
      </c>
    </row>
    <row r="352" spans="1:56" x14ac:dyDescent="0.25">
      <c r="A352" t="s">
        <v>599</v>
      </c>
      <c r="B352" t="s">
        <v>461</v>
      </c>
      <c r="C352">
        <f t="shared" si="119"/>
        <v>47263</v>
      </c>
      <c r="D352">
        <v>47263</v>
      </c>
      <c r="E352">
        <v>0</v>
      </c>
      <c r="F352">
        <f t="shared" si="120"/>
        <v>46554</v>
      </c>
      <c r="G352">
        <v>46554</v>
      </c>
      <c r="H352">
        <v>0</v>
      </c>
      <c r="I352">
        <f t="shared" si="108"/>
        <v>1866</v>
      </c>
      <c r="J352">
        <f t="shared" si="109"/>
        <v>8985</v>
      </c>
      <c r="K352">
        <f t="shared" si="110"/>
        <v>4226</v>
      </c>
      <c r="L352">
        <f t="shared" si="111"/>
        <v>1389</v>
      </c>
      <c r="M352">
        <f t="shared" si="112"/>
        <v>1715</v>
      </c>
      <c r="N352">
        <f t="shared" si="113"/>
        <v>1376</v>
      </c>
      <c r="O352">
        <f t="shared" si="114"/>
        <v>3217</v>
      </c>
      <c r="P352">
        <f t="shared" si="115"/>
        <v>6322</v>
      </c>
      <c r="Q352">
        <f t="shared" si="116"/>
        <v>10106</v>
      </c>
      <c r="R352">
        <f t="shared" si="117"/>
        <v>3545</v>
      </c>
      <c r="S352">
        <f t="shared" si="118"/>
        <v>662</v>
      </c>
      <c r="U352">
        <v>9357</v>
      </c>
      <c r="V352">
        <v>2280</v>
      </c>
      <c r="W352">
        <v>3130</v>
      </c>
      <c r="X352">
        <v>1837</v>
      </c>
      <c r="Y352">
        <v>1884</v>
      </c>
      <c r="Z352">
        <v>3860</v>
      </c>
      <c r="AA352">
        <v>17052</v>
      </c>
      <c r="AB352">
        <v>3900</v>
      </c>
      <c r="AC352">
        <v>2255</v>
      </c>
      <c r="AD352">
        <v>272</v>
      </c>
      <c r="AE352">
        <f t="shared" si="121"/>
        <v>10625</v>
      </c>
      <c r="AF352">
        <v>4547</v>
      </c>
      <c r="AG352">
        <v>3316</v>
      </c>
      <c r="AH352">
        <v>1498</v>
      </c>
      <c r="AI352">
        <f t="shared" si="122"/>
        <v>1818</v>
      </c>
      <c r="AJ352" t="s">
        <v>1200</v>
      </c>
      <c r="AK352">
        <v>70</v>
      </c>
      <c r="AL352">
        <v>1086</v>
      </c>
      <c r="AM352">
        <v>501</v>
      </c>
      <c r="AN352">
        <v>501</v>
      </c>
      <c r="AO352">
        <v>279</v>
      </c>
      <c r="AP352">
        <v>364</v>
      </c>
      <c r="AQ352">
        <v>357</v>
      </c>
      <c r="AR352">
        <v>151</v>
      </c>
      <c r="AS352">
        <v>3</v>
      </c>
      <c r="AT352">
        <v>119</v>
      </c>
      <c r="AU352">
        <v>329</v>
      </c>
      <c r="AV352">
        <v>445</v>
      </c>
      <c r="AW352">
        <v>20</v>
      </c>
      <c r="AX352">
        <v>871</v>
      </c>
      <c r="AY352">
        <v>288</v>
      </c>
      <c r="AZ352">
        <v>4843</v>
      </c>
      <c r="BA352">
        <v>19</v>
      </c>
      <c r="BB352">
        <v>500</v>
      </c>
      <c r="BD352">
        <v>105</v>
      </c>
    </row>
    <row r="353" spans="1:56" x14ac:dyDescent="0.25">
      <c r="A353" t="s">
        <v>601</v>
      </c>
      <c r="B353" t="s">
        <v>261</v>
      </c>
      <c r="C353">
        <f t="shared" si="119"/>
        <v>175037</v>
      </c>
      <c r="D353">
        <v>179606</v>
      </c>
      <c r="E353">
        <v>4569</v>
      </c>
      <c r="F353">
        <f t="shared" si="120"/>
        <v>173872</v>
      </c>
      <c r="G353">
        <v>178441</v>
      </c>
      <c r="H353">
        <v>4569</v>
      </c>
      <c r="I353">
        <f t="shared" si="108"/>
        <v>8349</v>
      </c>
      <c r="J353">
        <f t="shared" si="109"/>
        <v>24251</v>
      </c>
      <c r="K353">
        <f t="shared" si="110"/>
        <v>16039</v>
      </c>
      <c r="L353">
        <f t="shared" si="111"/>
        <v>2747</v>
      </c>
      <c r="M353">
        <f t="shared" si="112"/>
        <v>3186</v>
      </c>
      <c r="N353">
        <f t="shared" si="113"/>
        <v>4484</v>
      </c>
      <c r="O353">
        <f t="shared" si="114"/>
        <v>9138</v>
      </c>
      <c r="P353">
        <f t="shared" si="115"/>
        <v>44007</v>
      </c>
      <c r="Q353">
        <f t="shared" si="116"/>
        <v>34684</v>
      </c>
      <c r="R353">
        <f t="shared" si="117"/>
        <v>10052</v>
      </c>
      <c r="S353">
        <f t="shared" si="118"/>
        <v>771</v>
      </c>
      <c r="U353">
        <v>29521</v>
      </c>
      <c r="V353">
        <v>4277</v>
      </c>
      <c r="W353">
        <v>6337</v>
      </c>
      <c r="X353">
        <v>4088</v>
      </c>
      <c r="Y353">
        <v>7731</v>
      </c>
      <c r="Z353">
        <v>12377</v>
      </c>
      <c r="AA353">
        <v>81174</v>
      </c>
      <c r="AB353">
        <v>30733</v>
      </c>
      <c r="AC353">
        <v>11606</v>
      </c>
      <c r="AD353">
        <v>2377</v>
      </c>
      <c r="AE353">
        <f t="shared" si="121"/>
        <v>36458</v>
      </c>
      <c r="AF353">
        <v>12709</v>
      </c>
      <c r="AG353">
        <v>21392</v>
      </c>
      <c r="AH353">
        <v>18166</v>
      </c>
      <c r="AI353">
        <f t="shared" si="122"/>
        <v>3226</v>
      </c>
      <c r="AJ353" t="s">
        <v>1039</v>
      </c>
      <c r="AK353">
        <v>103</v>
      </c>
      <c r="AL353">
        <v>2352</v>
      </c>
      <c r="AM353">
        <v>1471</v>
      </c>
      <c r="AN353">
        <v>1186</v>
      </c>
      <c r="AO353">
        <v>938</v>
      </c>
      <c r="AP353">
        <v>2301</v>
      </c>
      <c r="AQ353">
        <v>2495</v>
      </c>
      <c r="AR353">
        <v>752</v>
      </c>
      <c r="AS353">
        <v>316</v>
      </c>
      <c r="AT353">
        <v>586</v>
      </c>
      <c r="AU353">
        <v>1201</v>
      </c>
      <c r="AV353">
        <v>1404</v>
      </c>
      <c r="AW353">
        <v>154</v>
      </c>
      <c r="AX353">
        <v>1376</v>
      </c>
      <c r="AY353">
        <v>1006</v>
      </c>
      <c r="AZ353">
        <v>12476</v>
      </c>
      <c r="BA353">
        <v>130</v>
      </c>
      <c r="BB353">
        <v>1644</v>
      </c>
      <c r="BC353">
        <v>535</v>
      </c>
      <c r="BD353">
        <v>174</v>
      </c>
    </row>
    <row r="354" spans="1:56" x14ac:dyDescent="0.25">
      <c r="A354" t="s">
        <v>604</v>
      </c>
      <c r="B354" t="s">
        <v>207</v>
      </c>
      <c r="C354">
        <f t="shared" si="119"/>
        <v>49510</v>
      </c>
      <c r="D354">
        <v>49510</v>
      </c>
      <c r="E354">
        <v>0</v>
      </c>
      <c r="F354">
        <f t="shared" si="120"/>
        <v>48037</v>
      </c>
      <c r="G354">
        <v>48037</v>
      </c>
      <c r="H354">
        <v>0</v>
      </c>
      <c r="I354">
        <f t="shared" si="108"/>
        <v>3282</v>
      </c>
      <c r="J354">
        <f t="shared" si="109"/>
        <v>8934</v>
      </c>
      <c r="K354">
        <f t="shared" si="110"/>
        <v>4598</v>
      </c>
      <c r="L354">
        <f t="shared" si="111"/>
        <v>1830</v>
      </c>
      <c r="M354">
        <f t="shared" si="112"/>
        <v>678</v>
      </c>
      <c r="N354">
        <f t="shared" si="113"/>
        <v>1732</v>
      </c>
      <c r="O354">
        <f t="shared" si="114"/>
        <v>2423</v>
      </c>
      <c r="P354">
        <f t="shared" si="115"/>
        <v>5289</v>
      </c>
      <c r="Q354">
        <f t="shared" si="116"/>
        <v>9737</v>
      </c>
      <c r="R354">
        <f t="shared" si="117"/>
        <v>4737</v>
      </c>
      <c r="S354">
        <f t="shared" si="118"/>
        <v>1615</v>
      </c>
      <c r="U354">
        <v>10345</v>
      </c>
      <c r="V354">
        <v>2111</v>
      </c>
      <c r="W354">
        <v>3018</v>
      </c>
      <c r="X354">
        <v>792</v>
      </c>
      <c r="Y354">
        <v>2258</v>
      </c>
      <c r="Z354">
        <v>3102</v>
      </c>
      <c r="AA354">
        <v>16299</v>
      </c>
      <c r="AB354">
        <v>4213</v>
      </c>
      <c r="AC354">
        <v>1057</v>
      </c>
      <c r="AD354">
        <v>503</v>
      </c>
      <c r="AE354">
        <f t="shared" si="121"/>
        <v>10526</v>
      </c>
      <c r="AF354">
        <v>6159</v>
      </c>
      <c r="AG354">
        <v>5426</v>
      </c>
      <c r="AH354">
        <v>2572</v>
      </c>
      <c r="AI354">
        <f t="shared" si="122"/>
        <v>2854</v>
      </c>
      <c r="AJ354" t="s">
        <v>1283</v>
      </c>
      <c r="AK354">
        <v>231</v>
      </c>
      <c r="AL354">
        <v>1008</v>
      </c>
      <c r="AM354">
        <v>701</v>
      </c>
      <c r="AN354">
        <v>721</v>
      </c>
      <c r="AO354">
        <v>206</v>
      </c>
      <c r="AP354">
        <v>473</v>
      </c>
      <c r="AQ354">
        <v>427</v>
      </c>
      <c r="AR354">
        <v>99</v>
      </c>
      <c r="AS354">
        <v>11</v>
      </c>
      <c r="AT354">
        <v>103</v>
      </c>
      <c r="AU354">
        <v>382</v>
      </c>
      <c r="AV354">
        <v>553</v>
      </c>
      <c r="AW354">
        <v>25</v>
      </c>
      <c r="AX354">
        <v>256</v>
      </c>
      <c r="AY354">
        <v>1148</v>
      </c>
      <c r="AZ354">
        <v>4599</v>
      </c>
      <c r="BA354">
        <v>141</v>
      </c>
      <c r="BB354">
        <v>648</v>
      </c>
      <c r="BC354">
        <v>10</v>
      </c>
      <c r="BD354">
        <v>474</v>
      </c>
    </row>
    <row r="355" spans="1:56" x14ac:dyDescent="0.25">
      <c r="A355" t="s">
        <v>603</v>
      </c>
      <c r="B355" t="s">
        <v>388</v>
      </c>
      <c r="C355">
        <f t="shared" si="119"/>
        <v>122238</v>
      </c>
      <c r="D355">
        <v>123221</v>
      </c>
      <c r="E355">
        <v>983</v>
      </c>
      <c r="F355">
        <f t="shared" si="120"/>
        <v>122821</v>
      </c>
      <c r="G355">
        <v>123804</v>
      </c>
      <c r="H355">
        <v>983</v>
      </c>
      <c r="I355">
        <f t="shared" si="108"/>
        <v>6404</v>
      </c>
      <c r="J355">
        <f t="shared" si="109"/>
        <v>15414</v>
      </c>
      <c r="K355">
        <f t="shared" si="110"/>
        <v>10900</v>
      </c>
      <c r="L355">
        <f t="shared" si="111"/>
        <v>3428</v>
      </c>
      <c r="M355">
        <f t="shared" si="112"/>
        <v>1243</v>
      </c>
      <c r="N355">
        <f t="shared" si="113"/>
        <v>3113</v>
      </c>
      <c r="O355">
        <f t="shared" si="114"/>
        <v>6987</v>
      </c>
      <c r="P355">
        <f t="shared" si="115"/>
        <v>28611</v>
      </c>
      <c r="Q355">
        <f t="shared" si="116"/>
        <v>25469</v>
      </c>
      <c r="R355">
        <f t="shared" si="117"/>
        <v>13139</v>
      </c>
      <c r="S355">
        <f t="shared" si="118"/>
        <v>886</v>
      </c>
      <c r="U355">
        <v>18669</v>
      </c>
      <c r="V355">
        <v>3460</v>
      </c>
      <c r="W355">
        <v>8271</v>
      </c>
      <c r="X355">
        <v>1667</v>
      </c>
      <c r="Y355">
        <v>4504</v>
      </c>
      <c r="Z355">
        <v>10113</v>
      </c>
      <c r="AA355">
        <v>55467</v>
      </c>
      <c r="AB355">
        <v>23031</v>
      </c>
      <c r="AC355">
        <v>4101</v>
      </c>
      <c r="AD355">
        <v>1577</v>
      </c>
      <c r="AE355">
        <f t="shared" si="121"/>
        <v>26758</v>
      </c>
      <c r="AF355">
        <v>15874</v>
      </c>
      <c r="AG355">
        <v>5196</v>
      </c>
      <c r="AH355">
        <v>2049</v>
      </c>
      <c r="AI355">
        <f t="shared" si="122"/>
        <v>3147</v>
      </c>
      <c r="AJ355" t="s">
        <v>1142</v>
      </c>
      <c r="AK355">
        <v>68</v>
      </c>
      <c r="AL355">
        <v>2193</v>
      </c>
      <c r="AM355">
        <v>1547</v>
      </c>
      <c r="AN355">
        <v>1188</v>
      </c>
      <c r="AO355">
        <v>1184</v>
      </c>
      <c r="AP355">
        <v>1942</v>
      </c>
      <c r="AQ355">
        <v>1091</v>
      </c>
      <c r="AR355">
        <v>300</v>
      </c>
      <c r="AS355">
        <v>6</v>
      </c>
      <c r="AT355">
        <v>418</v>
      </c>
      <c r="AU355">
        <v>1583</v>
      </c>
      <c r="AV355">
        <v>1110</v>
      </c>
      <c r="AW355">
        <v>32</v>
      </c>
      <c r="AY355">
        <v>696</v>
      </c>
      <c r="AZ355">
        <v>7073</v>
      </c>
      <c r="BA355">
        <v>197</v>
      </c>
      <c r="BB355">
        <v>1092</v>
      </c>
      <c r="BD355">
        <v>98</v>
      </c>
    </row>
    <row r="356" spans="1:56" x14ac:dyDescent="0.25">
      <c r="A356" t="s">
        <v>604</v>
      </c>
      <c r="B356" t="s">
        <v>208</v>
      </c>
      <c r="C356">
        <f t="shared" si="119"/>
        <v>525282</v>
      </c>
      <c r="D356">
        <v>544953</v>
      </c>
      <c r="E356">
        <v>19671</v>
      </c>
      <c r="F356">
        <f t="shared" si="120"/>
        <v>477580</v>
      </c>
      <c r="G356">
        <v>497251</v>
      </c>
      <c r="H356">
        <v>19671</v>
      </c>
      <c r="I356">
        <f t="shared" si="108"/>
        <v>20312</v>
      </c>
      <c r="J356">
        <f t="shared" si="109"/>
        <v>72490</v>
      </c>
      <c r="K356">
        <f t="shared" si="110"/>
        <v>47028</v>
      </c>
      <c r="L356">
        <f t="shared" si="111"/>
        <v>10982</v>
      </c>
      <c r="M356">
        <f t="shared" si="112"/>
        <v>2267</v>
      </c>
      <c r="N356">
        <f t="shared" si="113"/>
        <v>13596</v>
      </c>
      <c r="O356">
        <f t="shared" si="114"/>
        <v>34202</v>
      </c>
      <c r="P356">
        <f t="shared" si="115"/>
        <v>72331</v>
      </c>
      <c r="Q356">
        <f t="shared" si="116"/>
        <v>167760</v>
      </c>
      <c r="R356">
        <f t="shared" si="117"/>
        <v>25869</v>
      </c>
      <c r="S356">
        <f t="shared" si="118"/>
        <v>2157</v>
      </c>
      <c r="U356">
        <v>81237</v>
      </c>
      <c r="V356">
        <v>13082</v>
      </c>
      <c r="W356">
        <v>21037</v>
      </c>
      <c r="X356">
        <v>3569</v>
      </c>
      <c r="Y356">
        <v>18983</v>
      </c>
      <c r="Z356">
        <v>38705</v>
      </c>
      <c r="AA356">
        <v>273513</v>
      </c>
      <c r="AB356">
        <v>70475</v>
      </c>
      <c r="AC356">
        <v>19087</v>
      </c>
      <c r="AD356">
        <v>5737</v>
      </c>
      <c r="AE356">
        <f t="shared" si="121"/>
        <v>178214</v>
      </c>
      <c r="AF356">
        <v>28945</v>
      </c>
      <c r="AG356">
        <v>65882</v>
      </c>
      <c r="AH356">
        <v>59222</v>
      </c>
      <c r="AI356">
        <f t="shared" si="122"/>
        <v>6660</v>
      </c>
      <c r="AJ356" t="s">
        <v>1000</v>
      </c>
      <c r="AK356">
        <v>12</v>
      </c>
      <c r="AL356">
        <v>4491</v>
      </c>
      <c r="AM356">
        <v>1434</v>
      </c>
      <c r="AN356">
        <v>1642</v>
      </c>
      <c r="AO356">
        <v>2293</v>
      </c>
      <c r="AP356">
        <v>2210</v>
      </c>
      <c r="AQ356">
        <v>4372</v>
      </c>
      <c r="AR356">
        <v>1015</v>
      </c>
      <c r="AS356">
        <v>80</v>
      </c>
      <c r="AT356">
        <v>1222</v>
      </c>
      <c r="AU356">
        <v>1492</v>
      </c>
      <c r="AV356">
        <v>2808</v>
      </c>
      <c r="AX356">
        <v>2100</v>
      </c>
      <c r="AY356">
        <v>10623</v>
      </c>
      <c r="AZ356">
        <v>23586</v>
      </c>
      <c r="BA356">
        <v>6</v>
      </c>
      <c r="BB356">
        <v>10448</v>
      </c>
      <c r="BD356">
        <v>22968</v>
      </c>
    </row>
    <row r="357" spans="1:56" x14ac:dyDescent="0.25">
      <c r="B357" t="s">
        <v>510</v>
      </c>
      <c r="C357">
        <f t="shared" ref="C357:H357" si="123">SUM(C2:C356)</f>
        <v>57953610</v>
      </c>
      <c r="D357">
        <f t="shared" si="123"/>
        <v>57214872</v>
      </c>
      <c r="E357">
        <f t="shared" si="123"/>
        <v>2106401</v>
      </c>
      <c r="F357">
        <f t="shared" si="123"/>
        <v>56085186</v>
      </c>
      <c r="G357">
        <f t="shared" si="123"/>
        <v>58030027</v>
      </c>
      <c r="H357">
        <f t="shared" si="123"/>
        <v>2065746</v>
      </c>
      <c r="I357">
        <f t="shared" ref="I357:S357" si="124">SUM(I2:I356)</f>
        <v>2515547.923</v>
      </c>
      <c r="J357">
        <f t="shared" si="124"/>
        <v>9942272.9719999991</v>
      </c>
      <c r="K357">
        <f t="shared" si="124"/>
        <v>6001870</v>
      </c>
      <c r="L357">
        <f t="shared" si="124"/>
        <v>1344344</v>
      </c>
      <c r="M357">
        <f t="shared" si="124"/>
        <v>1077462</v>
      </c>
      <c r="N357">
        <f t="shared" si="124"/>
        <v>1809959</v>
      </c>
      <c r="O357">
        <f t="shared" si="124"/>
        <v>3405278</v>
      </c>
      <c r="P357">
        <f t="shared" si="124"/>
        <v>7751331</v>
      </c>
      <c r="Q357">
        <f t="shared" si="124"/>
        <v>11545218</v>
      </c>
      <c r="R357">
        <f t="shared" si="124"/>
        <v>3433569</v>
      </c>
      <c r="S357">
        <f t="shared" si="124"/>
        <v>805420</v>
      </c>
    </row>
    <row r="359" spans="1:56" x14ac:dyDescent="0.25">
      <c r="U359" t="s">
        <v>843</v>
      </c>
      <c r="V359" t="s">
        <v>843</v>
      </c>
      <c r="W359" t="s">
        <v>843</v>
      </c>
      <c r="X359" t="s">
        <v>843</v>
      </c>
      <c r="Y359" t="s">
        <v>843</v>
      </c>
      <c r="Z359" t="s">
        <v>843</v>
      </c>
      <c r="AA359" t="s">
        <v>843</v>
      </c>
      <c r="AB359" t="s">
        <v>843</v>
      </c>
      <c r="AC359" t="s">
        <v>843</v>
      </c>
      <c r="AD359" t="s">
        <v>843</v>
      </c>
      <c r="AF359" t="s">
        <v>843</v>
      </c>
      <c r="AG359" t="s">
        <v>843</v>
      </c>
      <c r="AH359" t="s">
        <v>843</v>
      </c>
    </row>
    <row r="360" spans="1:56" x14ac:dyDescent="0.25">
      <c r="U360" t="s">
        <v>843</v>
      </c>
      <c r="V360" t="s">
        <v>843</v>
      </c>
      <c r="W360" t="s">
        <v>843</v>
      </c>
      <c r="X360" t="s">
        <v>843</v>
      </c>
      <c r="Y360" t="s">
        <v>843</v>
      </c>
      <c r="Z360" t="s">
        <v>843</v>
      </c>
      <c r="AA360" t="s">
        <v>843</v>
      </c>
      <c r="AB360" t="s">
        <v>843</v>
      </c>
      <c r="AC360" t="s">
        <v>843</v>
      </c>
      <c r="AD360" t="s">
        <v>843</v>
      </c>
      <c r="AF360" t="s">
        <v>843</v>
      </c>
      <c r="AG360" t="s">
        <v>843</v>
      </c>
      <c r="AH360" t="s">
        <v>843</v>
      </c>
    </row>
    <row r="361" spans="1:56" x14ac:dyDescent="0.25">
      <c r="U361" t="s">
        <v>843</v>
      </c>
      <c r="V361" t="s">
        <v>843</v>
      </c>
      <c r="W361" t="s">
        <v>843</v>
      </c>
      <c r="X361" t="s">
        <v>843</v>
      </c>
      <c r="Y361" t="s">
        <v>843</v>
      </c>
      <c r="Z361" t="s">
        <v>843</v>
      </c>
      <c r="AA361" t="s">
        <v>843</v>
      </c>
      <c r="AB361" t="s">
        <v>843</v>
      </c>
      <c r="AC361" t="s">
        <v>843</v>
      </c>
      <c r="AD361" t="s">
        <v>843</v>
      </c>
      <c r="AF361" t="s">
        <v>843</v>
      </c>
      <c r="AG361" t="s">
        <v>843</v>
      </c>
      <c r="AH361" t="s">
        <v>843</v>
      </c>
    </row>
    <row r="362" spans="1:56" x14ac:dyDescent="0.25">
      <c r="B362" t="s">
        <v>402</v>
      </c>
      <c r="C362" t="e">
        <f>SUM(D362,-E362)</f>
        <v>#VALUE!</v>
      </c>
      <c r="D362" t="s">
        <v>843</v>
      </c>
      <c r="E362" t="s">
        <v>843</v>
      </c>
      <c r="F362">
        <f>SUM(G362,-H362)</f>
        <v>29729</v>
      </c>
      <c r="G362">
        <v>29729</v>
      </c>
      <c r="H362">
        <v>0</v>
      </c>
      <c r="U362" t="s">
        <v>843</v>
      </c>
      <c r="V362" t="s">
        <v>843</v>
      </c>
      <c r="W362" t="s">
        <v>843</v>
      </c>
      <c r="X362" t="s">
        <v>843</v>
      </c>
      <c r="Y362" t="s">
        <v>843</v>
      </c>
      <c r="Z362" t="s">
        <v>843</v>
      </c>
      <c r="AA362" t="s">
        <v>843</v>
      </c>
      <c r="AB362" t="s">
        <v>843</v>
      </c>
      <c r="AC362" t="s">
        <v>843</v>
      </c>
      <c r="AD362" t="s">
        <v>843</v>
      </c>
      <c r="AF362" t="s">
        <v>843</v>
      </c>
      <c r="AG362" t="s">
        <v>843</v>
      </c>
      <c r="AH362" t="s">
        <v>843</v>
      </c>
    </row>
    <row r="363" spans="1:56" x14ac:dyDescent="0.25">
      <c r="B363" t="s">
        <v>458</v>
      </c>
      <c r="C363" t="e">
        <f>SUM(D363,-E363)</f>
        <v>#VALUE!</v>
      </c>
      <c r="D363" t="s">
        <v>843</v>
      </c>
      <c r="E363" t="s">
        <v>843</v>
      </c>
      <c r="F363">
        <f>SUM(G363,-H363)</f>
        <v>58391</v>
      </c>
      <c r="G363">
        <v>58391</v>
      </c>
      <c r="H363">
        <v>0</v>
      </c>
      <c r="U363" t="s">
        <v>843</v>
      </c>
      <c r="V363" t="s">
        <v>843</v>
      </c>
      <c r="W363" t="s">
        <v>843</v>
      </c>
      <c r="X363" t="s">
        <v>843</v>
      </c>
      <c r="Y363" t="s">
        <v>843</v>
      </c>
      <c r="Z363" t="s">
        <v>843</v>
      </c>
      <c r="AA363" t="s">
        <v>843</v>
      </c>
      <c r="AB363" t="s">
        <v>843</v>
      </c>
      <c r="AC363" t="s">
        <v>843</v>
      </c>
      <c r="AD363" t="s">
        <v>843</v>
      </c>
      <c r="AF363" t="s">
        <v>843</v>
      </c>
      <c r="AG363" t="s">
        <v>843</v>
      </c>
      <c r="AH363" t="s">
        <v>843</v>
      </c>
    </row>
    <row r="364" spans="1:56" x14ac:dyDescent="0.25">
      <c r="B364" t="s">
        <v>460</v>
      </c>
      <c r="C364" t="e">
        <f>SUM(D364,-E364)</f>
        <v>#VALUE!</v>
      </c>
      <c r="D364" t="s">
        <v>843</v>
      </c>
      <c r="E364" t="s">
        <v>843</v>
      </c>
      <c r="F364">
        <f>SUM(G364,-H364)</f>
        <v>39707</v>
      </c>
      <c r="G364">
        <v>39707</v>
      </c>
      <c r="H364">
        <v>0</v>
      </c>
      <c r="U364" t="s">
        <v>843</v>
      </c>
      <c r="V364" t="s">
        <v>843</v>
      </c>
      <c r="W364" t="s">
        <v>843</v>
      </c>
      <c r="X364" t="s">
        <v>843</v>
      </c>
      <c r="Y364" t="s">
        <v>843</v>
      </c>
      <c r="Z364" t="s">
        <v>843</v>
      </c>
      <c r="AA364" t="s">
        <v>843</v>
      </c>
      <c r="AB364" t="s">
        <v>843</v>
      </c>
      <c r="AC364" t="s">
        <v>843</v>
      </c>
      <c r="AD364" t="s">
        <v>843</v>
      </c>
      <c r="AF364" t="s">
        <v>843</v>
      </c>
      <c r="AG364" t="s">
        <v>843</v>
      </c>
      <c r="AH364" t="s">
        <v>843</v>
      </c>
    </row>
    <row r="365" spans="1:56" x14ac:dyDescent="0.25">
      <c r="B365" t="s">
        <v>745</v>
      </c>
      <c r="C365" s="312">
        <v>127827</v>
      </c>
      <c r="D365">
        <f t="shared" ref="D365:H365" si="125">SUM(D362:D364)</f>
        <v>0</v>
      </c>
      <c r="E365">
        <f t="shared" si="125"/>
        <v>0</v>
      </c>
      <c r="F365">
        <f t="shared" si="125"/>
        <v>127827</v>
      </c>
      <c r="G365">
        <f t="shared" si="125"/>
        <v>127827</v>
      </c>
      <c r="H365">
        <f t="shared" si="125"/>
        <v>0</v>
      </c>
      <c r="U365" t="s">
        <v>843</v>
      </c>
      <c r="V365" t="s">
        <v>843</v>
      </c>
      <c r="W365" t="s">
        <v>843</v>
      </c>
      <c r="X365" t="s">
        <v>843</v>
      </c>
      <c r="Y365" t="s">
        <v>843</v>
      </c>
      <c r="Z365" t="s">
        <v>843</v>
      </c>
      <c r="AA365" t="s">
        <v>843</v>
      </c>
      <c r="AB365" t="s">
        <v>843</v>
      </c>
      <c r="AC365" t="s">
        <v>843</v>
      </c>
      <c r="AD365" t="s">
        <v>843</v>
      </c>
      <c r="AF365" t="s">
        <v>843</v>
      </c>
      <c r="AG365" t="s">
        <v>843</v>
      </c>
      <c r="AH365" t="s">
        <v>843</v>
      </c>
    </row>
    <row r="366" spans="1:56" x14ac:dyDescent="0.25">
      <c r="U366" t="s">
        <v>843</v>
      </c>
      <c r="V366" t="s">
        <v>843</v>
      </c>
      <c r="W366" t="s">
        <v>843</v>
      </c>
      <c r="X366" t="s">
        <v>843</v>
      </c>
      <c r="Y366" t="s">
        <v>843</v>
      </c>
      <c r="Z366" t="s">
        <v>843</v>
      </c>
      <c r="AA366" t="s">
        <v>843</v>
      </c>
      <c r="AB366" t="s">
        <v>843</v>
      </c>
      <c r="AC366" t="s">
        <v>843</v>
      </c>
      <c r="AD366" t="s">
        <v>843</v>
      </c>
      <c r="AF366" t="s">
        <v>843</v>
      </c>
      <c r="AG366" t="s">
        <v>843</v>
      </c>
      <c r="AH366" t="s">
        <v>843</v>
      </c>
    </row>
    <row r="367" spans="1:56" x14ac:dyDescent="0.25">
      <c r="B367" t="s">
        <v>143</v>
      </c>
      <c r="C367" t="e">
        <f>SUM(D367,-E367)</f>
        <v>#VALUE!</v>
      </c>
      <c r="D367" t="s">
        <v>843</v>
      </c>
      <c r="E367" t="s">
        <v>843</v>
      </c>
      <c r="F367">
        <f>SUM(G367,-H367)</f>
        <v>24462</v>
      </c>
      <c r="G367">
        <v>24462</v>
      </c>
      <c r="H367">
        <v>0</v>
      </c>
      <c r="U367" t="s">
        <v>843</v>
      </c>
      <c r="V367" t="s">
        <v>843</v>
      </c>
      <c r="W367" t="s">
        <v>843</v>
      </c>
      <c r="X367" t="s">
        <v>843</v>
      </c>
      <c r="Y367" t="s">
        <v>843</v>
      </c>
      <c r="Z367" t="s">
        <v>843</v>
      </c>
      <c r="AA367" t="s">
        <v>843</v>
      </c>
      <c r="AB367" t="s">
        <v>843</v>
      </c>
      <c r="AC367" t="s">
        <v>843</v>
      </c>
      <c r="AD367" t="s">
        <v>843</v>
      </c>
      <c r="AF367" t="s">
        <v>843</v>
      </c>
      <c r="AG367" t="s">
        <v>843</v>
      </c>
      <c r="AH367" t="s">
        <v>843</v>
      </c>
    </row>
    <row r="368" spans="1:56" x14ac:dyDescent="0.25">
      <c r="B368" t="s">
        <v>145</v>
      </c>
      <c r="C368" t="e">
        <f>SUM(D368,-E368)</f>
        <v>#VALUE!</v>
      </c>
      <c r="D368" t="s">
        <v>843</v>
      </c>
      <c r="E368" t="s">
        <v>843</v>
      </c>
      <c r="F368">
        <f>SUM(G368,-H368)</f>
        <v>32221</v>
      </c>
      <c r="G368">
        <v>32221</v>
      </c>
      <c r="H368">
        <v>0</v>
      </c>
      <c r="U368" t="s">
        <v>843</v>
      </c>
      <c r="V368" t="s">
        <v>843</v>
      </c>
      <c r="W368" t="s">
        <v>843</v>
      </c>
      <c r="X368" t="s">
        <v>843</v>
      </c>
      <c r="Y368" t="s">
        <v>843</v>
      </c>
      <c r="Z368" t="s">
        <v>843</v>
      </c>
      <c r="AA368" t="s">
        <v>843</v>
      </c>
      <c r="AB368" t="s">
        <v>843</v>
      </c>
      <c r="AC368" t="s">
        <v>843</v>
      </c>
      <c r="AD368" t="s">
        <v>843</v>
      </c>
      <c r="AF368" t="s">
        <v>843</v>
      </c>
      <c r="AG368" t="s">
        <v>843</v>
      </c>
      <c r="AH368" t="s">
        <v>843</v>
      </c>
    </row>
    <row r="369" spans="2:34" x14ac:dyDescent="0.25">
      <c r="B369" t="s">
        <v>147</v>
      </c>
      <c r="C369" t="e">
        <f>SUM(D369,-E369)</f>
        <v>#VALUE!</v>
      </c>
      <c r="D369" t="s">
        <v>843</v>
      </c>
      <c r="E369" t="s">
        <v>843</v>
      </c>
      <c r="F369">
        <f>SUM(G369,-H369)</f>
        <v>64910</v>
      </c>
      <c r="G369">
        <v>64910</v>
      </c>
      <c r="H369">
        <v>0</v>
      </c>
      <c r="U369" t="s">
        <v>843</v>
      </c>
      <c r="V369" t="s">
        <v>843</v>
      </c>
      <c r="W369" t="s">
        <v>843</v>
      </c>
      <c r="X369" t="s">
        <v>843</v>
      </c>
      <c r="Y369" t="s">
        <v>843</v>
      </c>
      <c r="Z369" t="s">
        <v>843</v>
      </c>
      <c r="AA369" t="s">
        <v>843</v>
      </c>
      <c r="AB369" t="s">
        <v>843</v>
      </c>
      <c r="AC369" t="s">
        <v>843</v>
      </c>
      <c r="AD369" t="s">
        <v>843</v>
      </c>
      <c r="AF369" t="s">
        <v>843</v>
      </c>
      <c r="AG369" t="s">
        <v>843</v>
      </c>
      <c r="AH369" t="s">
        <v>843</v>
      </c>
    </row>
    <row r="370" spans="2:34" x14ac:dyDescent="0.25">
      <c r="B370" t="s">
        <v>163</v>
      </c>
      <c r="C370" t="e">
        <f>SUM(D370,-E370)</f>
        <v>#VALUE!</v>
      </c>
      <c r="D370" t="s">
        <v>843</v>
      </c>
      <c r="E370" t="s">
        <v>843</v>
      </c>
      <c r="F370">
        <f>SUM(G370,-H370)</f>
        <v>36424</v>
      </c>
      <c r="G370">
        <v>36424</v>
      </c>
      <c r="H370">
        <v>0</v>
      </c>
      <c r="U370" t="s">
        <v>843</v>
      </c>
      <c r="V370" t="s">
        <v>843</v>
      </c>
      <c r="W370" t="s">
        <v>843</v>
      </c>
      <c r="X370" t="s">
        <v>843</v>
      </c>
      <c r="Y370" t="s">
        <v>843</v>
      </c>
      <c r="Z370" t="s">
        <v>843</v>
      </c>
      <c r="AA370" t="s">
        <v>843</v>
      </c>
      <c r="AB370" t="s">
        <v>843</v>
      </c>
      <c r="AC370" t="s">
        <v>843</v>
      </c>
      <c r="AD370" t="s">
        <v>843</v>
      </c>
      <c r="AF370" t="s">
        <v>843</v>
      </c>
      <c r="AG370" t="s">
        <v>843</v>
      </c>
      <c r="AH370" t="s">
        <v>843</v>
      </c>
    </row>
    <row r="371" spans="2:34" x14ac:dyDescent="0.25">
      <c r="B371" t="s">
        <v>747</v>
      </c>
      <c r="C371" s="312">
        <v>158017</v>
      </c>
      <c r="D371">
        <f t="shared" ref="D371:H371" si="126">SUM(D367:D370)</f>
        <v>0</v>
      </c>
      <c r="E371">
        <f t="shared" si="126"/>
        <v>0</v>
      </c>
      <c r="F371">
        <f t="shared" si="126"/>
        <v>158017</v>
      </c>
      <c r="G371">
        <f t="shared" si="126"/>
        <v>158017</v>
      </c>
      <c r="H371">
        <f t="shared" si="126"/>
        <v>0</v>
      </c>
      <c r="U371" t="s">
        <v>843</v>
      </c>
      <c r="V371" t="s">
        <v>843</v>
      </c>
      <c r="W371" t="s">
        <v>843</v>
      </c>
      <c r="X371" t="s">
        <v>843</v>
      </c>
      <c r="Y371" t="s">
        <v>843</v>
      </c>
      <c r="Z371" t="s">
        <v>843</v>
      </c>
      <c r="AA371" t="s">
        <v>843</v>
      </c>
      <c r="AB371" t="s">
        <v>843</v>
      </c>
      <c r="AC371" t="s">
        <v>843</v>
      </c>
      <c r="AD371" t="s">
        <v>843</v>
      </c>
      <c r="AF371" t="s">
        <v>843</v>
      </c>
      <c r="AG371" t="s">
        <v>843</v>
      </c>
      <c r="AH371" t="s">
        <v>843</v>
      </c>
    </row>
    <row r="372" spans="2:34" x14ac:dyDescent="0.25">
      <c r="U372" t="s">
        <v>843</v>
      </c>
      <c r="V372" t="s">
        <v>843</v>
      </c>
      <c r="W372" t="s">
        <v>843</v>
      </c>
      <c r="X372" t="s">
        <v>843</v>
      </c>
      <c r="Y372" t="s">
        <v>843</v>
      </c>
      <c r="Z372" t="s">
        <v>843</v>
      </c>
      <c r="AA372" t="s">
        <v>843</v>
      </c>
      <c r="AB372" t="s">
        <v>843</v>
      </c>
      <c r="AC372" t="s">
        <v>843</v>
      </c>
      <c r="AD372" t="s">
        <v>843</v>
      </c>
      <c r="AF372" t="s">
        <v>843</v>
      </c>
      <c r="AG372" t="s">
        <v>843</v>
      </c>
      <c r="AH372" t="s">
        <v>843</v>
      </c>
    </row>
    <row r="373" spans="2:34" x14ac:dyDescent="0.25">
      <c r="B373" t="s">
        <v>479</v>
      </c>
      <c r="C373" t="e">
        <f>SUM(D373,-E373)</f>
        <v>#VALUE!</v>
      </c>
      <c r="D373" t="s">
        <v>843</v>
      </c>
      <c r="E373" t="s">
        <v>843</v>
      </c>
      <c r="F373">
        <f>SUM(G373,-H373)</f>
        <v>38664</v>
      </c>
      <c r="G373">
        <v>38664</v>
      </c>
      <c r="H373">
        <v>0</v>
      </c>
      <c r="U373" t="s">
        <v>843</v>
      </c>
      <c r="V373" t="s">
        <v>843</v>
      </c>
      <c r="W373" t="s">
        <v>843</v>
      </c>
      <c r="X373" t="s">
        <v>843</v>
      </c>
      <c r="Y373" t="s">
        <v>843</v>
      </c>
      <c r="Z373" t="s">
        <v>843</v>
      </c>
      <c r="AA373" t="s">
        <v>843</v>
      </c>
      <c r="AB373" t="s">
        <v>843</v>
      </c>
      <c r="AC373" t="s">
        <v>843</v>
      </c>
      <c r="AD373" t="s">
        <v>843</v>
      </c>
      <c r="AF373" t="s">
        <v>843</v>
      </c>
      <c r="AG373" t="s">
        <v>843</v>
      </c>
      <c r="AH373" t="s">
        <v>843</v>
      </c>
    </row>
    <row r="374" spans="2:34" x14ac:dyDescent="0.25">
      <c r="B374" t="s">
        <v>480</v>
      </c>
      <c r="C374" t="e">
        <f>SUM(D374,-E374)</f>
        <v>#VALUE!</v>
      </c>
      <c r="D374" t="s">
        <v>843</v>
      </c>
      <c r="E374" t="s">
        <v>843</v>
      </c>
      <c r="F374">
        <f>SUM(G374,-H374)</f>
        <v>22707</v>
      </c>
      <c r="G374">
        <v>22707</v>
      </c>
      <c r="H374">
        <v>0</v>
      </c>
      <c r="U374" t="s">
        <v>843</v>
      </c>
      <c r="V374" t="s">
        <v>843</v>
      </c>
      <c r="W374" t="s">
        <v>843</v>
      </c>
      <c r="X374" t="s">
        <v>843</v>
      </c>
      <c r="Y374" t="s">
        <v>843</v>
      </c>
      <c r="Z374" t="s">
        <v>843</v>
      </c>
      <c r="AA374" t="s">
        <v>843</v>
      </c>
      <c r="AB374" t="s">
        <v>843</v>
      </c>
      <c r="AC374" t="s">
        <v>843</v>
      </c>
      <c r="AD374" t="s">
        <v>843</v>
      </c>
      <c r="AF374" t="s">
        <v>843</v>
      </c>
      <c r="AG374" t="s">
        <v>843</v>
      </c>
      <c r="AH374" t="s">
        <v>843</v>
      </c>
    </row>
    <row r="375" spans="2:34" x14ac:dyDescent="0.25">
      <c r="B375" t="s">
        <v>484</v>
      </c>
      <c r="C375" t="e">
        <f>SUM(D375,-E375)</f>
        <v>#VALUE!</v>
      </c>
      <c r="D375" t="s">
        <v>843</v>
      </c>
      <c r="E375" t="s">
        <v>843</v>
      </c>
      <c r="F375">
        <f>SUM(G375,-H375)</f>
        <v>28499</v>
      </c>
      <c r="G375">
        <v>28499</v>
      </c>
      <c r="H375">
        <v>0</v>
      </c>
      <c r="U375" t="s">
        <v>843</v>
      </c>
      <c r="V375" t="s">
        <v>843</v>
      </c>
      <c r="W375" t="s">
        <v>843</v>
      </c>
      <c r="X375" t="s">
        <v>843</v>
      </c>
      <c r="Y375" t="s">
        <v>843</v>
      </c>
      <c r="Z375" t="s">
        <v>843</v>
      </c>
      <c r="AA375" t="s">
        <v>843</v>
      </c>
      <c r="AB375" t="s">
        <v>843</v>
      </c>
      <c r="AC375" t="s">
        <v>843</v>
      </c>
      <c r="AD375" t="s">
        <v>843</v>
      </c>
      <c r="AF375" t="s">
        <v>843</v>
      </c>
      <c r="AG375" t="s">
        <v>843</v>
      </c>
      <c r="AH375" t="s">
        <v>843</v>
      </c>
    </row>
    <row r="376" spans="2:34" x14ac:dyDescent="0.25">
      <c r="B376" t="s">
        <v>746</v>
      </c>
      <c r="C376" s="312">
        <v>89870</v>
      </c>
      <c r="D376">
        <f t="shared" ref="D376:H376" si="127">SUM(D373:D375)</f>
        <v>0</v>
      </c>
      <c r="E376">
        <f t="shared" si="127"/>
        <v>0</v>
      </c>
      <c r="F376">
        <f t="shared" si="127"/>
        <v>89870</v>
      </c>
      <c r="G376">
        <f t="shared" si="127"/>
        <v>89870</v>
      </c>
      <c r="H376">
        <f t="shared" si="127"/>
        <v>0</v>
      </c>
      <c r="U376" t="s">
        <v>843</v>
      </c>
      <c r="V376" t="s">
        <v>843</v>
      </c>
      <c r="W376" t="s">
        <v>843</v>
      </c>
      <c r="X376" t="s">
        <v>843</v>
      </c>
      <c r="Y376" t="s">
        <v>843</v>
      </c>
      <c r="Z376" t="s">
        <v>843</v>
      </c>
      <c r="AA376" t="s">
        <v>843</v>
      </c>
      <c r="AB376" t="s">
        <v>843</v>
      </c>
      <c r="AC376" t="s">
        <v>843</v>
      </c>
      <c r="AD376" t="s">
        <v>843</v>
      </c>
      <c r="AF376" t="s">
        <v>843</v>
      </c>
      <c r="AG376" t="s">
        <v>843</v>
      </c>
      <c r="AH376" t="s">
        <v>843</v>
      </c>
    </row>
    <row r="377" spans="2:34" x14ac:dyDescent="0.25">
      <c r="U377" t="s">
        <v>843</v>
      </c>
      <c r="V377" t="s">
        <v>843</v>
      </c>
      <c r="W377" t="s">
        <v>843</v>
      </c>
      <c r="X377" t="s">
        <v>843</v>
      </c>
      <c r="Y377" t="s">
        <v>843</v>
      </c>
      <c r="Z377" t="s">
        <v>843</v>
      </c>
      <c r="AA377" t="s">
        <v>843</v>
      </c>
      <c r="AB377" t="s">
        <v>843</v>
      </c>
      <c r="AC377" t="s">
        <v>843</v>
      </c>
      <c r="AD377" t="s">
        <v>843</v>
      </c>
      <c r="AF377" t="s">
        <v>843</v>
      </c>
      <c r="AG377" t="s">
        <v>843</v>
      </c>
      <c r="AH377" t="s">
        <v>843</v>
      </c>
    </row>
    <row r="378" spans="2:34" x14ac:dyDescent="0.25">
      <c r="B378" t="s">
        <v>336</v>
      </c>
      <c r="C378" t="e">
        <f>SUM(D378,-E378)</f>
        <v>#VALUE!</v>
      </c>
      <c r="D378" t="s">
        <v>843</v>
      </c>
      <c r="E378" t="s">
        <v>843</v>
      </c>
      <c r="F378">
        <f>SUM(G378,-H378)</f>
        <v>60332</v>
      </c>
      <c r="G378">
        <v>60332</v>
      </c>
      <c r="H378">
        <v>0</v>
      </c>
      <c r="U378" t="s">
        <v>843</v>
      </c>
      <c r="V378" t="s">
        <v>843</v>
      </c>
      <c r="W378" t="s">
        <v>843</v>
      </c>
      <c r="X378" t="s">
        <v>843</v>
      </c>
      <c r="Y378" t="s">
        <v>843</v>
      </c>
      <c r="Z378" t="s">
        <v>843</v>
      </c>
      <c r="AA378" t="s">
        <v>843</v>
      </c>
      <c r="AB378" t="s">
        <v>843</v>
      </c>
      <c r="AC378" t="s">
        <v>843</v>
      </c>
      <c r="AD378" t="s">
        <v>843</v>
      </c>
      <c r="AF378" t="s">
        <v>843</v>
      </c>
      <c r="AG378" t="s">
        <v>843</v>
      </c>
      <c r="AH378" t="s">
        <v>843</v>
      </c>
    </row>
    <row r="379" spans="2:34" x14ac:dyDescent="0.25">
      <c r="B379" t="s">
        <v>340</v>
      </c>
      <c r="C379" t="e">
        <f>SUM(D379,-E379)</f>
        <v>#VALUE!</v>
      </c>
      <c r="D379" t="s">
        <v>843</v>
      </c>
      <c r="E379" t="s">
        <v>843</v>
      </c>
      <c r="F379">
        <f>SUM(G379,-H379)</f>
        <v>26405</v>
      </c>
      <c r="G379">
        <v>26405</v>
      </c>
      <c r="H379">
        <v>0</v>
      </c>
      <c r="U379" t="s">
        <v>843</v>
      </c>
      <c r="V379" t="s">
        <v>843</v>
      </c>
      <c r="W379" t="s">
        <v>843</v>
      </c>
      <c r="X379" t="s">
        <v>843</v>
      </c>
      <c r="Y379" t="s">
        <v>843</v>
      </c>
      <c r="Z379" t="s">
        <v>843</v>
      </c>
      <c r="AA379" t="s">
        <v>843</v>
      </c>
      <c r="AB379" t="s">
        <v>843</v>
      </c>
      <c r="AC379" t="s">
        <v>843</v>
      </c>
      <c r="AD379" t="s">
        <v>843</v>
      </c>
      <c r="AF379" t="s">
        <v>843</v>
      </c>
      <c r="AG379" t="s">
        <v>843</v>
      </c>
      <c r="AH379" t="s">
        <v>843</v>
      </c>
    </row>
    <row r="380" spans="2:34" x14ac:dyDescent="0.25">
      <c r="B380" t="s">
        <v>353</v>
      </c>
      <c r="C380" t="e">
        <f>SUM(D380,-E380)</f>
        <v>#VALUE!</v>
      </c>
      <c r="D380" t="s">
        <v>843</v>
      </c>
      <c r="E380" t="s">
        <v>843</v>
      </c>
      <c r="F380">
        <f>SUM(G380,-H380)</f>
        <v>23074</v>
      </c>
      <c r="G380">
        <v>23074</v>
      </c>
      <c r="H380">
        <v>0</v>
      </c>
      <c r="U380" t="s">
        <v>843</v>
      </c>
      <c r="V380" t="s">
        <v>843</v>
      </c>
      <c r="W380" t="s">
        <v>843</v>
      </c>
      <c r="X380" t="s">
        <v>843</v>
      </c>
      <c r="Y380" t="s">
        <v>843</v>
      </c>
      <c r="Z380" t="s">
        <v>843</v>
      </c>
      <c r="AA380" t="s">
        <v>843</v>
      </c>
      <c r="AB380" t="s">
        <v>843</v>
      </c>
      <c r="AC380" t="s">
        <v>843</v>
      </c>
      <c r="AD380" t="s">
        <v>843</v>
      </c>
      <c r="AF380" t="s">
        <v>843</v>
      </c>
      <c r="AG380" t="s">
        <v>843</v>
      </c>
      <c r="AH380" t="s">
        <v>843</v>
      </c>
    </row>
    <row r="381" spans="2:34" x14ac:dyDescent="0.25">
      <c r="B381" t="s">
        <v>368</v>
      </c>
      <c r="C381" t="e">
        <f>SUM(D381,-E381)</f>
        <v>#VALUE!</v>
      </c>
      <c r="D381" t="s">
        <v>843</v>
      </c>
      <c r="E381" t="s">
        <v>843</v>
      </c>
      <c r="F381">
        <f>SUM(G381,-H381)</f>
        <v>51014</v>
      </c>
      <c r="G381">
        <v>51014</v>
      </c>
      <c r="H381">
        <v>0</v>
      </c>
      <c r="U381" t="s">
        <v>843</v>
      </c>
      <c r="V381" t="s">
        <v>843</v>
      </c>
      <c r="W381" t="s">
        <v>843</v>
      </c>
      <c r="X381" t="s">
        <v>843</v>
      </c>
      <c r="Y381" t="s">
        <v>843</v>
      </c>
      <c r="Z381" t="s">
        <v>843</v>
      </c>
      <c r="AA381" t="s">
        <v>843</v>
      </c>
      <c r="AB381" t="s">
        <v>843</v>
      </c>
      <c r="AC381" t="s">
        <v>843</v>
      </c>
      <c r="AD381" t="s">
        <v>843</v>
      </c>
      <c r="AF381" t="s">
        <v>843</v>
      </c>
      <c r="AG381" t="s">
        <v>843</v>
      </c>
      <c r="AH381" t="s">
        <v>843</v>
      </c>
    </row>
    <row r="382" spans="2:34" x14ac:dyDescent="0.25">
      <c r="B382" t="s">
        <v>376</v>
      </c>
      <c r="C382" t="e">
        <f>SUM(D382,-E382)</f>
        <v>#VALUE!</v>
      </c>
      <c r="D382" t="s">
        <v>843</v>
      </c>
      <c r="E382" t="s">
        <v>843</v>
      </c>
      <c r="F382">
        <f>SUM(G382,-H382)</f>
        <v>24992</v>
      </c>
      <c r="G382">
        <v>24992</v>
      </c>
      <c r="H382">
        <v>0</v>
      </c>
      <c r="U382" t="s">
        <v>843</v>
      </c>
      <c r="V382" t="s">
        <v>843</v>
      </c>
      <c r="W382" t="s">
        <v>843</v>
      </c>
      <c r="X382" t="s">
        <v>843</v>
      </c>
      <c r="Y382" t="s">
        <v>843</v>
      </c>
      <c r="Z382" t="s">
        <v>843</v>
      </c>
      <c r="AA382" t="s">
        <v>843</v>
      </c>
      <c r="AB382" t="s">
        <v>843</v>
      </c>
      <c r="AC382" t="s">
        <v>843</v>
      </c>
      <c r="AD382" t="s">
        <v>843</v>
      </c>
      <c r="AF382" t="s">
        <v>843</v>
      </c>
      <c r="AG382" t="s">
        <v>843</v>
      </c>
      <c r="AH382" t="s">
        <v>843</v>
      </c>
    </row>
    <row r="383" spans="2:34" x14ac:dyDescent="0.25">
      <c r="B383" t="s">
        <v>748</v>
      </c>
      <c r="C383" s="312">
        <v>185817</v>
      </c>
      <c r="D383">
        <f t="shared" ref="D383:H383" si="128">SUM(D378:D382)</f>
        <v>0</v>
      </c>
      <c r="E383">
        <f t="shared" si="128"/>
        <v>0</v>
      </c>
      <c r="F383">
        <f t="shared" si="128"/>
        <v>185817</v>
      </c>
      <c r="G383">
        <f t="shared" si="128"/>
        <v>185817</v>
      </c>
      <c r="H383">
        <f t="shared" si="128"/>
        <v>0</v>
      </c>
      <c r="U383" t="s">
        <v>843</v>
      </c>
      <c r="V383" t="s">
        <v>843</v>
      </c>
      <c r="W383" t="s">
        <v>843</v>
      </c>
      <c r="X383" t="s">
        <v>843</v>
      </c>
      <c r="Y383" t="s">
        <v>843</v>
      </c>
      <c r="Z383" t="s">
        <v>843</v>
      </c>
      <c r="AA383" t="s">
        <v>843</v>
      </c>
      <c r="AB383" t="s">
        <v>843</v>
      </c>
      <c r="AC383" t="s">
        <v>843</v>
      </c>
      <c r="AD383" t="s">
        <v>843</v>
      </c>
      <c r="AF383" t="s">
        <v>843</v>
      </c>
      <c r="AG383" t="s">
        <v>843</v>
      </c>
      <c r="AH383" t="s">
        <v>843</v>
      </c>
    </row>
    <row r="384" spans="2:34" x14ac:dyDescent="0.25">
      <c r="U384" t="s">
        <v>843</v>
      </c>
      <c r="V384" t="s">
        <v>843</v>
      </c>
      <c r="W384" t="s">
        <v>843</v>
      </c>
      <c r="X384" t="s">
        <v>843</v>
      </c>
      <c r="Y384" t="s">
        <v>843</v>
      </c>
      <c r="Z384" t="s">
        <v>843</v>
      </c>
      <c r="AA384" t="s">
        <v>843</v>
      </c>
      <c r="AB384" t="s">
        <v>843</v>
      </c>
      <c r="AC384" t="s">
        <v>843</v>
      </c>
      <c r="AD384" t="s">
        <v>843</v>
      </c>
      <c r="AF384" t="s">
        <v>843</v>
      </c>
      <c r="AG384" t="s">
        <v>843</v>
      </c>
      <c r="AH384" t="s">
        <v>843</v>
      </c>
    </row>
    <row r="385" spans="2:34" x14ac:dyDescent="0.25">
      <c r="B385" t="s">
        <v>168</v>
      </c>
      <c r="C385" t="e">
        <f>SUM(D385,-E385)</f>
        <v>#VALUE!</v>
      </c>
      <c r="D385" t="s">
        <v>843</v>
      </c>
      <c r="E385" t="s">
        <v>843</v>
      </c>
      <c r="F385">
        <f>SUM(G385,-H385)</f>
        <v>74383</v>
      </c>
      <c r="G385">
        <v>74383</v>
      </c>
      <c r="H385">
        <v>0</v>
      </c>
      <c r="U385" t="s">
        <v>843</v>
      </c>
      <c r="V385" t="s">
        <v>843</v>
      </c>
      <c r="W385" t="s">
        <v>843</v>
      </c>
      <c r="X385" t="s">
        <v>843</v>
      </c>
      <c r="Y385" t="s">
        <v>843</v>
      </c>
      <c r="Z385" t="s">
        <v>843</v>
      </c>
      <c r="AA385" t="s">
        <v>843</v>
      </c>
      <c r="AB385" t="s">
        <v>843</v>
      </c>
      <c r="AC385" t="s">
        <v>843</v>
      </c>
      <c r="AD385" t="s">
        <v>843</v>
      </c>
      <c r="AF385" t="s">
        <v>843</v>
      </c>
      <c r="AG385" t="s">
        <v>843</v>
      </c>
      <c r="AH385" t="s">
        <v>843</v>
      </c>
    </row>
    <row r="386" spans="2:34" x14ac:dyDescent="0.25">
      <c r="B386" t="s">
        <v>169</v>
      </c>
      <c r="C386" t="e">
        <f>SUM(D386,-E386)</f>
        <v>#VALUE!</v>
      </c>
      <c r="D386" t="s">
        <v>843</v>
      </c>
      <c r="E386" t="s">
        <v>843</v>
      </c>
      <c r="F386">
        <f>SUM(G386,-H386)</f>
        <v>24238</v>
      </c>
      <c r="G386">
        <v>24238</v>
      </c>
      <c r="H386">
        <v>0</v>
      </c>
      <c r="U386" t="s">
        <v>843</v>
      </c>
      <c r="V386" t="s">
        <v>843</v>
      </c>
      <c r="W386" t="s">
        <v>843</v>
      </c>
      <c r="X386" t="s">
        <v>843</v>
      </c>
      <c r="Y386" t="s">
        <v>843</v>
      </c>
      <c r="Z386" t="s">
        <v>843</v>
      </c>
      <c r="AA386" t="s">
        <v>843</v>
      </c>
      <c r="AB386" t="s">
        <v>843</v>
      </c>
      <c r="AC386" t="s">
        <v>843</v>
      </c>
      <c r="AF386" t="s">
        <v>843</v>
      </c>
      <c r="AG386" t="s">
        <v>843</v>
      </c>
      <c r="AH386" t="s">
        <v>843</v>
      </c>
    </row>
    <row r="387" spans="2:34" x14ac:dyDescent="0.25">
      <c r="B387" t="s">
        <v>922</v>
      </c>
      <c r="C387" t="e">
        <f>SUM(D387,-E387)</f>
        <v>#VALUE!</v>
      </c>
      <c r="D387" t="s">
        <v>843</v>
      </c>
      <c r="E387" t="s">
        <v>843</v>
      </c>
      <c r="F387">
        <f>SUM(G387,-H387)</f>
        <v>39110</v>
      </c>
      <c r="G387">
        <v>39110</v>
      </c>
      <c r="H387">
        <v>0</v>
      </c>
      <c r="U387" t="s">
        <v>843</v>
      </c>
      <c r="V387" t="s">
        <v>843</v>
      </c>
      <c r="W387" t="s">
        <v>843</v>
      </c>
      <c r="X387" t="s">
        <v>843</v>
      </c>
      <c r="Y387" t="s">
        <v>843</v>
      </c>
      <c r="Z387" t="s">
        <v>843</v>
      </c>
      <c r="AA387" t="s">
        <v>843</v>
      </c>
      <c r="AB387" t="s">
        <v>843</v>
      </c>
      <c r="AC387" t="s">
        <v>843</v>
      </c>
      <c r="AD387" t="s">
        <v>843</v>
      </c>
      <c r="AF387" t="s">
        <v>843</v>
      </c>
      <c r="AG387" t="s">
        <v>843</v>
      </c>
      <c r="AH387" t="s">
        <v>843</v>
      </c>
    </row>
    <row r="388" spans="2:34" x14ac:dyDescent="0.25">
      <c r="B388" t="s">
        <v>751</v>
      </c>
      <c r="C388" s="312">
        <v>137731</v>
      </c>
      <c r="D388">
        <f t="shared" ref="D388:H388" si="129">SUM(D385:D387)</f>
        <v>0</v>
      </c>
      <c r="E388">
        <f t="shared" si="129"/>
        <v>0</v>
      </c>
      <c r="F388">
        <f t="shared" si="129"/>
        <v>137731</v>
      </c>
      <c r="G388">
        <f t="shared" si="129"/>
        <v>137731</v>
      </c>
      <c r="H388">
        <f t="shared" si="129"/>
        <v>0</v>
      </c>
      <c r="U388" t="s">
        <v>843</v>
      </c>
      <c r="V388" t="s">
        <v>843</v>
      </c>
      <c r="W388" t="s">
        <v>843</v>
      </c>
      <c r="X388" t="s">
        <v>843</v>
      </c>
      <c r="Y388" t="s">
        <v>843</v>
      </c>
      <c r="Z388" t="s">
        <v>843</v>
      </c>
      <c r="AA388" t="s">
        <v>843</v>
      </c>
      <c r="AB388" t="s">
        <v>843</v>
      </c>
      <c r="AC388" t="s">
        <v>843</v>
      </c>
      <c r="AD388" t="s">
        <v>843</v>
      </c>
      <c r="AF388" t="s">
        <v>843</v>
      </c>
      <c r="AG388" t="s">
        <v>843</v>
      </c>
      <c r="AH388" t="s">
        <v>843</v>
      </c>
    </row>
    <row r="389" spans="2:34" x14ac:dyDescent="0.25">
      <c r="U389" t="s">
        <v>843</v>
      </c>
      <c r="V389" t="s">
        <v>843</v>
      </c>
      <c r="W389" t="s">
        <v>843</v>
      </c>
      <c r="X389" t="s">
        <v>843</v>
      </c>
      <c r="Y389" t="s">
        <v>843</v>
      </c>
      <c r="Z389" t="s">
        <v>843</v>
      </c>
      <c r="AA389" t="s">
        <v>843</v>
      </c>
      <c r="AB389" t="s">
        <v>843</v>
      </c>
      <c r="AC389" t="s">
        <v>843</v>
      </c>
      <c r="AD389" t="s">
        <v>843</v>
      </c>
      <c r="AF389" t="s">
        <v>843</v>
      </c>
      <c r="AG389" t="s">
        <v>843</v>
      </c>
      <c r="AH389" t="s">
        <v>843</v>
      </c>
    </row>
    <row r="390" spans="2:34" x14ac:dyDescent="0.25">
      <c r="B390" t="s">
        <v>227</v>
      </c>
      <c r="C390" t="e">
        <f>SUM(D390,-E390)</f>
        <v>#VALUE!</v>
      </c>
      <c r="D390" t="s">
        <v>843</v>
      </c>
      <c r="E390" t="s">
        <v>843</v>
      </c>
      <c r="F390">
        <f>SUM(G390,-H390)</f>
        <v>64886</v>
      </c>
      <c r="G390">
        <v>64886</v>
      </c>
      <c r="H390">
        <v>0</v>
      </c>
      <c r="U390" t="s">
        <v>843</v>
      </c>
      <c r="V390" t="s">
        <v>843</v>
      </c>
      <c r="W390" t="s">
        <v>843</v>
      </c>
      <c r="X390" t="s">
        <v>843</v>
      </c>
      <c r="Y390" t="s">
        <v>843</v>
      </c>
      <c r="Z390" t="s">
        <v>843</v>
      </c>
      <c r="AA390" t="s">
        <v>843</v>
      </c>
      <c r="AB390" t="s">
        <v>843</v>
      </c>
      <c r="AC390" t="s">
        <v>843</v>
      </c>
      <c r="AD390" t="s">
        <v>843</v>
      </c>
      <c r="AF390" t="s">
        <v>843</v>
      </c>
      <c r="AG390" t="s">
        <v>843</v>
      </c>
      <c r="AH390" t="s">
        <v>843</v>
      </c>
    </row>
    <row r="391" spans="2:34" x14ac:dyDescent="0.25">
      <c r="B391" t="s">
        <v>232</v>
      </c>
      <c r="C391" t="e">
        <f>SUM(D391,-E391)</f>
        <v>#VALUE!</v>
      </c>
      <c r="D391" t="s">
        <v>843</v>
      </c>
      <c r="E391" t="s">
        <v>843</v>
      </c>
      <c r="F391">
        <f>SUM(G391,-H391)</f>
        <v>22541</v>
      </c>
      <c r="G391">
        <v>22541</v>
      </c>
      <c r="H391">
        <v>0</v>
      </c>
      <c r="U391" t="s">
        <v>843</v>
      </c>
      <c r="V391" t="s">
        <v>843</v>
      </c>
      <c r="W391" t="s">
        <v>843</v>
      </c>
      <c r="X391" t="s">
        <v>843</v>
      </c>
      <c r="Y391" t="s">
        <v>843</v>
      </c>
      <c r="Z391" t="s">
        <v>843</v>
      </c>
      <c r="AA391" t="s">
        <v>843</v>
      </c>
      <c r="AB391" t="s">
        <v>843</v>
      </c>
      <c r="AC391" t="s">
        <v>843</v>
      </c>
      <c r="AD391" t="s">
        <v>843</v>
      </c>
      <c r="AF391" t="s">
        <v>843</v>
      </c>
      <c r="AG391" t="s">
        <v>843</v>
      </c>
      <c r="AH391" t="s">
        <v>843</v>
      </c>
    </row>
    <row r="392" spans="2:34" x14ac:dyDescent="0.25">
      <c r="B392" t="s">
        <v>238</v>
      </c>
      <c r="C392" t="e">
        <f>SUM(D392,-E392)</f>
        <v>#VALUE!</v>
      </c>
      <c r="D392" t="s">
        <v>843</v>
      </c>
      <c r="E392" t="s">
        <v>843</v>
      </c>
      <c r="F392">
        <f>SUM(G392,-H392)</f>
        <v>28736</v>
      </c>
      <c r="G392">
        <v>28736</v>
      </c>
      <c r="H392">
        <v>0</v>
      </c>
    </row>
    <row r="393" spans="2:34" x14ac:dyDescent="0.25">
      <c r="B393" t="s">
        <v>754</v>
      </c>
      <c r="C393" s="312">
        <v>116163</v>
      </c>
      <c r="D393">
        <f>SUM(Y365:Y367)</f>
        <v>0</v>
      </c>
      <c r="E393">
        <f>SUM(Z365:Z367)</f>
        <v>0</v>
      </c>
      <c r="F393">
        <f>SUM(AA365:AA367)</f>
        <v>0</v>
      </c>
      <c r="G393">
        <f>SUM(AB365:AB367)</f>
        <v>0</v>
      </c>
      <c r="H393">
        <f>SUM(AC365:AC367)</f>
        <v>0</v>
      </c>
    </row>
    <row r="395" spans="2:34" x14ac:dyDescent="0.25">
      <c r="B395" t="s">
        <v>343</v>
      </c>
      <c r="C395" t="e">
        <f>SUM(D395,-E395)</f>
        <v>#VALUE!</v>
      </c>
      <c r="D395" t="s">
        <v>843</v>
      </c>
      <c r="E395" t="s">
        <v>843</v>
      </c>
      <c r="F395">
        <f>SUM(G395,-H395)</f>
        <v>37092</v>
      </c>
      <c r="G395">
        <v>37092</v>
      </c>
      <c r="H395">
        <v>0</v>
      </c>
    </row>
    <row r="396" spans="2:34" x14ac:dyDescent="0.25">
      <c r="B396" t="s">
        <v>363</v>
      </c>
      <c r="C396" t="e">
        <f>SUM(D396,-E396)</f>
        <v>#VALUE!</v>
      </c>
      <c r="D396" t="s">
        <v>843</v>
      </c>
      <c r="E396" t="s">
        <v>843</v>
      </c>
      <c r="F396">
        <f>SUM(G396,-H396)</f>
        <v>65403</v>
      </c>
      <c r="G396">
        <v>65403</v>
      </c>
      <c r="H396">
        <v>0</v>
      </c>
    </row>
    <row r="397" spans="2:34" x14ac:dyDescent="0.25">
      <c r="B397" t="s">
        <v>750</v>
      </c>
      <c r="C397" s="312">
        <v>102495</v>
      </c>
      <c r="D397">
        <f t="shared" ref="D397:H397" si="130">SUM(D395:D396)</f>
        <v>0</v>
      </c>
      <c r="E397">
        <f t="shared" si="130"/>
        <v>0</v>
      </c>
      <c r="F397">
        <f t="shared" si="130"/>
        <v>102495</v>
      </c>
      <c r="G397">
        <f t="shared" si="130"/>
        <v>102495</v>
      </c>
      <c r="H397">
        <f t="shared" si="130"/>
        <v>0</v>
      </c>
    </row>
    <row r="399" spans="2:34" x14ac:dyDescent="0.25">
      <c r="B399" t="s">
        <v>148</v>
      </c>
      <c r="C399" t="e">
        <f>SUM(D399,-E399)</f>
        <v>#VALUE!</v>
      </c>
      <c r="D399" t="s">
        <v>843</v>
      </c>
      <c r="E399" t="s">
        <v>844</v>
      </c>
      <c r="F399">
        <f>SUM(G399,-H399)</f>
        <v>993047</v>
      </c>
      <c r="G399">
        <v>993047</v>
      </c>
      <c r="H399">
        <v>0</v>
      </c>
    </row>
    <row r="400" spans="2:34" x14ac:dyDescent="0.25">
      <c r="B400" t="s">
        <v>150</v>
      </c>
      <c r="C400" t="e">
        <f>SUM(D400,-E400)</f>
        <v>#VALUE!</v>
      </c>
      <c r="D400" t="s">
        <v>843</v>
      </c>
      <c r="E400" t="s">
        <v>843</v>
      </c>
      <c r="F400">
        <f>SUM(G400,-H400)</f>
        <v>55287</v>
      </c>
      <c r="G400">
        <v>55287</v>
      </c>
      <c r="H400">
        <v>0</v>
      </c>
    </row>
    <row r="401" spans="2:8" x14ac:dyDescent="0.25">
      <c r="B401" t="s">
        <v>160</v>
      </c>
      <c r="C401" t="e">
        <f>SUM(D401,-E401)</f>
        <v>#VALUE!</v>
      </c>
      <c r="D401" t="s">
        <v>843</v>
      </c>
      <c r="E401" t="s">
        <v>843</v>
      </c>
      <c r="F401">
        <f>SUM(G401,-H401)</f>
        <v>17812</v>
      </c>
      <c r="G401">
        <v>17812</v>
      </c>
      <c r="H401">
        <v>0</v>
      </c>
    </row>
    <row r="402" spans="2:8" x14ac:dyDescent="0.25">
      <c r="B402" t="s">
        <v>148</v>
      </c>
      <c r="C402" s="312">
        <v>1066146</v>
      </c>
      <c r="D402">
        <f t="shared" ref="D402:H402" si="131">SUM(D399:D401)</f>
        <v>0</v>
      </c>
      <c r="E402">
        <f t="shared" si="131"/>
        <v>0</v>
      </c>
      <c r="F402">
        <f t="shared" si="131"/>
        <v>1066146</v>
      </c>
      <c r="G402">
        <f t="shared" si="131"/>
        <v>1066146</v>
      </c>
      <c r="H402">
        <f t="shared" si="131"/>
        <v>0</v>
      </c>
    </row>
    <row r="404" spans="2:8" x14ac:dyDescent="0.25">
      <c r="B404" t="s">
        <v>149</v>
      </c>
      <c r="C404" t="e">
        <v>#VALUE!</v>
      </c>
      <c r="D404" t="s">
        <v>843</v>
      </c>
      <c r="E404" t="s">
        <v>843</v>
      </c>
      <c r="F404">
        <v>30305</v>
      </c>
      <c r="G404">
        <v>30305</v>
      </c>
      <c r="H404">
        <v>0</v>
      </c>
    </row>
    <row r="405" spans="2:8" x14ac:dyDescent="0.25">
      <c r="B405" t="s">
        <v>152</v>
      </c>
      <c r="C405" t="e">
        <f>SUM(D405,-E405)</f>
        <v>#VALUE!</v>
      </c>
      <c r="D405" t="s">
        <v>843</v>
      </c>
      <c r="E405" t="s">
        <v>843</v>
      </c>
      <c r="F405">
        <f>SUM(G405,-H405)</f>
        <v>55645</v>
      </c>
      <c r="G405">
        <v>55645</v>
      </c>
      <c r="H405">
        <v>0</v>
      </c>
    </row>
    <row r="406" spans="2:8" x14ac:dyDescent="0.25">
      <c r="B406" t="s">
        <v>154</v>
      </c>
      <c r="C406" t="e">
        <f>SUM(D406,-E406)</f>
        <v>#VALUE!</v>
      </c>
      <c r="D406" t="s">
        <v>843</v>
      </c>
      <c r="E406" t="s">
        <v>843</v>
      </c>
      <c r="F406">
        <f>SUM(G406,-H406)</f>
        <v>26319</v>
      </c>
      <c r="G406">
        <v>26319</v>
      </c>
      <c r="H406">
        <v>0</v>
      </c>
    </row>
    <row r="407" spans="2:8" x14ac:dyDescent="0.25">
      <c r="B407" t="s">
        <v>164</v>
      </c>
      <c r="C407" t="e">
        <f>SUM(D407,-E407)</f>
        <v>#VALUE!</v>
      </c>
      <c r="D407" t="s">
        <v>843</v>
      </c>
      <c r="E407" t="s">
        <v>843</v>
      </c>
      <c r="F407">
        <f>SUM(G407,-H407)</f>
        <v>45183</v>
      </c>
      <c r="G407">
        <v>45183</v>
      </c>
      <c r="H407">
        <v>0</v>
      </c>
    </row>
    <row r="408" spans="2:8" x14ac:dyDescent="0.25">
      <c r="B408" t="s">
        <v>755</v>
      </c>
      <c r="C408" s="312">
        <v>157452</v>
      </c>
      <c r="D408">
        <f t="shared" ref="D408:H408" si="132">SUM(D404:D407)</f>
        <v>0</v>
      </c>
      <c r="E408">
        <f t="shared" si="132"/>
        <v>0</v>
      </c>
      <c r="F408">
        <f t="shared" si="132"/>
        <v>157452</v>
      </c>
      <c r="G408">
        <f t="shared" si="132"/>
        <v>157452</v>
      </c>
      <c r="H408">
        <f t="shared" si="132"/>
        <v>0</v>
      </c>
    </row>
    <row r="410" spans="2:8" x14ac:dyDescent="0.25">
      <c r="B410" t="s">
        <v>921</v>
      </c>
      <c r="C410" t="e">
        <f>SUM(D410,-E410)</f>
        <v>#VALUE!</v>
      </c>
      <c r="D410" t="s">
        <v>843</v>
      </c>
      <c r="E410" t="s">
        <v>843</v>
      </c>
      <c r="F410">
        <f>SUM(G410,-H410)</f>
        <v>14563</v>
      </c>
      <c r="G410">
        <v>14563</v>
      </c>
      <c r="H410">
        <v>0</v>
      </c>
    </row>
    <row r="411" spans="2:8" x14ac:dyDescent="0.25">
      <c r="B411" t="s">
        <v>302</v>
      </c>
      <c r="C411" t="e">
        <f>SUM(D411,-E411)</f>
        <v>#VALUE!</v>
      </c>
      <c r="D411" t="s">
        <v>843</v>
      </c>
      <c r="E411" t="s">
        <v>844</v>
      </c>
      <c r="F411">
        <f>SUM(G411,-H411)</f>
        <v>431636</v>
      </c>
      <c r="G411">
        <v>431636</v>
      </c>
      <c r="H411">
        <v>0</v>
      </c>
    </row>
    <row r="412" spans="2:8" x14ac:dyDescent="0.25">
      <c r="B412" t="s">
        <v>302</v>
      </c>
      <c r="C412" s="312">
        <v>446199</v>
      </c>
      <c r="D412">
        <f t="shared" ref="D412:H412" si="133">SUM(D410:D411)</f>
        <v>0</v>
      </c>
      <c r="E412">
        <f t="shared" si="133"/>
        <v>0</v>
      </c>
      <c r="F412">
        <f t="shared" si="133"/>
        <v>446199</v>
      </c>
      <c r="G412">
        <f t="shared" si="133"/>
        <v>446199</v>
      </c>
      <c r="H412">
        <f t="shared" si="133"/>
        <v>0</v>
      </c>
    </row>
    <row r="414" spans="2:8" x14ac:dyDescent="0.25">
      <c r="B414" t="s">
        <v>356</v>
      </c>
      <c r="C414" t="e">
        <f>SUM(D414,-E414)</f>
        <v>#VALUE!</v>
      </c>
      <c r="D414" t="s">
        <v>843</v>
      </c>
      <c r="E414" t="s">
        <v>843</v>
      </c>
      <c r="F414">
        <f>SUM(G414,-H414)</f>
        <v>64531</v>
      </c>
      <c r="G414">
        <v>64531</v>
      </c>
      <c r="H414">
        <v>0</v>
      </c>
    </row>
    <row r="415" spans="2:8" x14ac:dyDescent="0.25">
      <c r="B415" t="s">
        <v>282</v>
      </c>
      <c r="C415" t="e">
        <f>SUM(D415,-E415)</f>
        <v>#VALUE!</v>
      </c>
      <c r="D415" t="s">
        <v>843</v>
      </c>
      <c r="E415" t="s">
        <v>843</v>
      </c>
      <c r="F415">
        <f>SUM(G415,-H415)</f>
        <v>46032</v>
      </c>
      <c r="G415">
        <v>46032</v>
      </c>
      <c r="H415">
        <v>0</v>
      </c>
    </row>
    <row r="416" spans="2:8" x14ac:dyDescent="0.25">
      <c r="B416" t="s">
        <v>384</v>
      </c>
      <c r="C416" t="e">
        <f>SUM(D416,-E416)</f>
        <v>#VALUE!</v>
      </c>
      <c r="D416" t="s">
        <v>843</v>
      </c>
      <c r="E416" t="s">
        <v>843</v>
      </c>
      <c r="F416">
        <f>SUM(G416,-H416)</f>
        <v>29273</v>
      </c>
      <c r="G416">
        <v>29273</v>
      </c>
      <c r="H416">
        <v>0</v>
      </c>
    </row>
    <row r="417" spans="2:8" x14ac:dyDescent="0.25">
      <c r="B417" t="s">
        <v>752</v>
      </c>
      <c r="C417" s="312">
        <v>139836</v>
      </c>
      <c r="D417">
        <f t="shared" ref="D417:H417" si="134">SUM(D414:D416)</f>
        <v>0</v>
      </c>
      <c r="E417">
        <f t="shared" si="134"/>
        <v>0</v>
      </c>
      <c r="F417">
        <f t="shared" si="134"/>
        <v>139836</v>
      </c>
      <c r="G417">
        <f t="shared" si="134"/>
        <v>139836</v>
      </c>
      <c r="H417">
        <f t="shared" si="134"/>
        <v>0</v>
      </c>
    </row>
    <row r="419" spans="2:8" x14ac:dyDescent="0.25">
      <c r="B419" t="s">
        <v>365</v>
      </c>
      <c r="C419" t="e">
        <f>SUM(D419,-E419)</f>
        <v>#VALUE!</v>
      </c>
      <c r="D419" t="s">
        <v>843</v>
      </c>
      <c r="E419" t="s">
        <v>844</v>
      </c>
      <c r="F419">
        <f>SUM(G419,-H419)</f>
        <v>77895</v>
      </c>
      <c r="G419">
        <v>77895</v>
      </c>
      <c r="H419">
        <v>0</v>
      </c>
    </row>
    <row r="420" spans="2:8" x14ac:dyDescent="0.25">
      <c r="B420" t="s">
        <v>366</v>
      </c>
      <c r="C420" t="e">
        <f>SUM(D420,-E420)</f>
        <v>#VALUE!</v>
      </c>
      <c r="D420" t="s">
        <v>843</v>
      </c>
      <c r="E420" t="s">
        <v>843</v>
      </c>
      <c r="F420">
        <f>SUM(G420,-H420)</f>
        <v>39691</v>
      </c>
      <c r="G420">
        <v>39691</v>
      </c>
      <c r="H420">
        <v>0</v>
      </c>
    </row>
    <row r="421" spans="2:8" x14ac:dyDescent="0.25">
      <c r="B421" t="s">
        <v>365</v>
      </c>
      <c r="C421" s="312">
        <v>117586</v>
      </c>
      <c r="D421">
        <f t="shared" ref="D421:H421" si="135">SUM(D419:D420)</f>
        <v>0</v>
      </c>
      <c r="E421">
        <f t="shared" si="135"/>
        <v>0</v>
      </c>
      <c r="F421">
        <f t="shared" si="135"/>
        <v>117586</v>
      </c>
      <c r="G421">
        <f t="shared" si="135"/>
        <v>117586</v>
      </c>
      <c r="H421">
        <f t="shared" si="135"/>
        <v>0</v>
      </c>
    </row>
  </sheetData>
  <sheetProtection algorithmName="SHA-512" hashValue="Ox8uuzFCbyRh/KUaGxK9vuVNwifnx22Uu7ObbRKfm7QthIJDB9QiB9DVm29r9Bc6qgbFCiCFa7FvXdG6QCE2AA==" saltValue="+cuwXufYn5kGJ3SzDypx1w==" spinCount="100000" sheet="1" objects="1" scenarios="1" selectLockedCells="1" selectUnlockedCells="1"/>
  <sortState ref="M2:AI356">
    <sortCondition ref="M2:M356"/>
  </sortState>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Macrogegevens</vt:lpstr>
      <vt:lpstr>Balansprognose</vt:lpstr>
      <vt:lpstr>Investeringen &amp; financiering</vt:lpstr>
      <vt:lpstr>Inkomsten &amp; uitgaven</vt:lpstr>
      <vt:lpstr>Balans &amp; kengetallen 2017</vt:lpstr>
      <vt:lpstr>Data macrogegevens</vt:lpstr>
      <vt:lpstr>Data investeringen</vt:lpstr>
      <vt:lpstr>Inkomsten</vt:lpstr>
      <vt:lpstr>Uitgaven</vt:lpstr>
      <vt:lpstr> Data belastingen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Houdbaarheidstest gemeentefinancien 2013</dc:title>
  <dc:creator>Jan van der Lei</dc:creator>
  <cp:keywords>Jan van der Lei</cp:keywords>
  <cp:lastModifiedBy>Jan van der Lei</cp:lastModifiedBy>
  <dcterms:created xsi:type="dcterms:W3CDTF">2013-03-05T13:22:00Z</dcterms:created>
  <dcterms:modified xsi:type="dcterms:W3CDTF">2019-04-09T19:13:59Z</dcterms:modified>
</cp:coreProperties>
</file>